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12" yWindow="-180" windowWidth="9576" windowHeight="13356" tabRatio="723" firstSheet="8" activeTab="8"/>
  </bookViews>
  <sheets>
    <sheet name="NNG MCF PRA (99)12-month" sheetId="29" r:id="rId1"/>
    <sheet name="NNG DTH PRA (99)12-month" sheetId="30" r:id="rId2"/>
    <sheet name="NNG CYTD MCF 2000" sheetId="34" r:id="rId3"/>
    <sheet name="NNG CYTD DTH 2000" sheetId="35" r:id="rId4"/>
    <sheet name="NNG MCF PRA (01)12-month" sheetId="38" r:id="rId5"/>
    <sheet name="NNG DTH PRA (01)12-month" sheetId="39" r:id="rId6"/>
    <sheet name="NNG CYTD MCF2001" sheetId="19" r:id="rId7"/>
    <sheet name="NNG CYTD DTH 2001" sheetId="20" r:id="rId8"/>
    <sheet name="NNG Corrections" sheetId="9" r:id="rId9"/>
    <sheet name="TW MCF PRA (99)12-Month" sheetId="31" r:id="rId10"/>
    <sheet name="TW DTH PRA (99)12-Month" sheetId="32" r:id="rId11"/>
    <sheet name="TW CYTD MCF 2000" sheetId="36" r:id="rId12"/>
    <sheet name="TW CYTD DTH 2000" sheetId="37" r:id="rId13"/>
    <sheet name="TW MCF PRA (00)12-Month" sheetId="40" r:id="rId14"/>
    <sheet name="TW DTH PRA (00)12-Month" sheetId="41" r:id="rId15"/>
    <sheet name="TW CYTD MCF 2001" sheetId="21" r:id="rId16"/>
    <sheet name="TW CYTD DTH 2001" sheetId="22" r:id="rId17"/>
    <sheet name="TW Corrections" sheetId="18" r:id="rId18"/>
    <sheet name="Sheet11" sheetId="23" r:id="rId19"/>
    <sheet name="Sheet12" sheetId="24" r:id="rId20"/>
    <sheet name="Sheet13" sheetId="25" r:id="rId21"/>
    <sheet name="Sheet14" sheetId="26" r:id="rId22"/>
    <sheet name="Sheet15" sheetId="27" r:id="rId23"/>
    <sheet name="Sheet16" sheetId="28" r:id="rId24"/>
  </sheets>
  <definedNames>
    <definedName name="_xlnm.Print_Area" localSheetId="8">'NNG Corrections'!#REF!</definedName>
    <definedName name="_xlnm.Print_Area" localSheetId="2">'NNG CYTD MCF 2000'!$A$1:$N$24</definedName>
    <definedName name="_xlnm.Print_Area" localSheetId="5">'NNG DTH PRA (01)12-month'!$A$1:$W$25</definedName>
    <definedName name="_xlnm.Print_Area" localSheetId="1">'NNG DTH PRA (99)12-month'!$A$1:$N$25</definedName>
    <definedName name="_xlnm.Print_Area" localSheetId="4">'NNG MCF PRA (01)12-month'!$A$1:$W$25</definedName>
    <definedName name="_xlnm.Print_Area" localSheetId="0">'NNG MCF PRA (99)12-month'!$A$1:$N$25</definedName>
    <definedName name="_xlnm.Print_Area" localSheetId="14">'TW DTH PRA (00)12-Month'!$A$1:$W$25</definedName>
    <definedName name="_xlnm.Print_Area" localSheetId="10">'TW DTH PRA (99)12-Month'!$A$1:$N$25</definedName>
    <definedName name="_xlnm.Print_Area" localSheetId="13">'TW MCF PRA (00)12-Month'!$A$1:$W$25</definedName>
    <definedName name="_xlnm.Print_Area" localSheetId="9">'TW MCF PRA (99)12-Month'!$A$1:$N$25</definedName>
    <definedName name="_xlnm.Print_Titles" localSheetId="8">'NNG Corrections'!$1:$2</definedName>
  </definedNames>
  <calcPr calcId="92512" fullCalcOnLoad="1"/>
</workbook>
</file>

<file path=xl/calcChain.xml><?xml version="1.0" encoding="utf-8"?>
<calcChain xmlns="http://schemas.openxmlformats.org/spreadsheetml/2006/main">
  <c r="G3" i="9" l="1"/>
  <c r="J3" i="9"/>
  <c r="G4" i="9"/>
  <c r="J4" i="9"/>
  <c r="G5" i="9"/>
  <c r="J5" i="9"/>
  <c r="G6" i="9"/>
  <c r="J6" i="9"/>
  <c r="G7" i="9"/>
  <c r="J7" i="9"/>
  <c r="G8" i="9"/>
  <c r="J8" i="9"/>
  <c r="G9" i="9"/>
  <c r="J9" i="9"/>
  <c r="G10" i="9"/>
  <c r="J10" i="9"/>
  <c r="G11" i="9"/>
  <c r="J11" i="9"/>
  <c r="G12" i="9"/>
  <c r="J12" i="9"/>
  <c r="G13" i="9"/>
  <c r="J13" i="9"/>
  <c r="G14" i="9"/>
  <c r="J14" i="9"/>
  <c r="G15" i="9"/>
  <c r="J15" i="9"/>
  <c r="G16" i="9"/>
  <c r="J16" i="9"/>
  <c r="G17" i="9"/>
  <c r="J17" i="9"/>
  <c r="G18" i="9"/>
  <c r="J18" i="9"/>
  <c r="N8" i="35"/>
  <c r="N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N16" i="35"/>
  <c r="N18" i="35"/>
  <c r="N19" i="35"/>
  <c r="N20" i="35"/>
  <c r="N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E8" i="20"/>
  <c r="F8" i="20"/>
  <c r="G8" i="20"/>
  <c r="H8" i="20"/>
  <c r="I8" i="20"/>
  <c r="J8" i="20"/>
  <c r="K8" i="20"/>
  <c r="L8" i="20"/>
  <c r="M8" i="20"/>
  <c r="N8" i="20"/>
  <c r="E9" i="20"/>
  <c r="F9" i="20"/>
  <c r="G9" i="20"/>
  <c r="H9" i="20"/>
  <c r="I9" i="20"/>
  <c r="J9" i="20"/>
  <c r="K9" i="20"/>
  <c r="L9" i="20"/>
  <c r="M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N16" i="20"/>
  <c r="N18" i="20"/>
  <c r="N19" i="20"/>
  <c r="N20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N8" i="34"/>
  <c r="N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N16" i="34"/>
  <c r="N18" i="34"/>
  <c r="N19" i="34"/>
  <c r="N20" i="34"/>
  <c r="N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E8" i="19"/>
  <c r="F8" i="19"/>
  <c r="G8" i="19"/>
  <c r="H8" i="19"/>
  <c r="I8" i="19"/>
  <c r="J8" i="19"/>
  <c r="K8" i="19"/>
  <c r="L8" i="19"/>
  <c r="M8" i="19"/>
  <c r="N8" i="19"/>
  <c r="E9" i="19"/>
  <c r="F9" i="19"/>
  <c r="G9" i="19"/>
  <c r="H9" i="19"/>
  <c r="I9" i="19"/>
  <c r="J9" i="19"/>
  <c r="K9" i="19"/>
  <c r="L9" i="19"/>
  <c r="M9" i="19"/>
  <c r="N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N16" i="19"/>
  <c r="N18" i="19"/>
  <c r="N19" i="19"/>
  <c r="N20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I1" i="39"/>
  <c r="N8" i="39"/>
  <c r="O8" i="39"/>
  <c r="P8" i="39"/>
  <c r="Q8" i="39"/>
  <c r="R8" i="39"/>
  <c r="S8" i="39"/>
  <c r="T8" i="39"/>
  <c r="U8" i="39"/>
  <c r="V8" i="39"/>
  <c r="W8" i="39"/>
  <c r="N9" i="39"/>
  <c r="O9" i="39"/>
  <c r="P9" i="39"/>
  <c r="Q9" i="39"/>
  <c r="R9" i="39"/>
  <c r="S9" i="39"/>
  <c r="T9" i="39"/>
  <c r="U9" i="39"/>
  <c r="V9" i="39"/>
  <c r="W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W16" i="39"/>
  <c r="W18" i="39"/>
  <c r="W19" i="39"/>
  <c r="W20" i="39"/>
  <c r="W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I1" i="30"/>
  <c r="N8" i="30"/>
  <c r="N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N16" i="30"/>
  <c r="N18" i="30"/>
  <c r="N19" i="30"/>
  <c r="N20" i="30"/>
  <c r="N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J1" i="38"/>
  <c r="N8" i="38"/>
  <c r="O8" i="38"/>
  <c r="P8" i="38"/>
  <c r="Q8" i="38"/>
  <c r="R8" i="38"/>
  <c r="S8" i="38"/>
  <c r="T8" i="38"/>
  <c r="U8" i="38"/>
  <c r="V8" i="38"/>
  <c r="W8" i="38"/>
  <c r="N9" i="38"/>
  <c r="O9" i="38"/>
  <c r="P9" i="38"/>
  <c r="Q9" i="38"/>
  <c r="R9" i="38"/>
  <c r="S9" i="38"/>
  <c r="T9" i="38"/>
  <c r="U9" i="38"/>
  <c r="V9" i="38"/>
  <c r="W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W16" i="38"/>
  <c r="W18" i="38"/>
  <c r="W19" i="38"/>
  <c r="W20" i="38"/>
  <c r="W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J1" i="29"/>
  <c r="N8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N16" i="29"/>
  <c r="N18" i="29"/>
  <c r="N19" i="29"/>
  <c r="N20" i="29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G3" i="18"/>
  <c r="J3" i="18"/>
  <c r="G4" i="18"/>
  <c r="J4" i="18"/>
  <c r="N8" i="37"/>
  <c r="N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N16" i="37"/>
  <c r="N18" i="37"/>
  <c r="N19" i="37"/>
  <c r="N20" i="37"/>
  <c r="N21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E8" i="22"/>
  <c r="F8" i="22"/>
  <c r="G8" i="22"/>
  <c r="H8" i="22"/>
  <c r="I8" i="22"/>
  <c r="J8" i="22"/>
  <c r="K8" i="22"/>
  <c r="L8" i="22"/>
  <c r="M8" i="22"/>
  <c r="N8" i="22"/>
  <c r="E9" i="22"/>
  <c r="F9" i="22"/>
  <c r="G9" i="22"/>
  <c r="H9" i="22"/>
  <c r="I9" i="22"/>
  <c r="J9" i="22"/>
  <c r="K9" i="22"/>
  <c r="L9" i="22"/>
  <c r="M9" i="22"/>
  <c r="N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N16" i="22"/>
  <c r="N18" i="22"/>
  <c r="N19" i="22"/>
  <c r="N20" i="22"/>
  <c r="N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N8" i="36"/>
  <c r="N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N16" i="36"/>
  <c r="N18" i="36"/>
  <c r="N19" i="36"/>
  <c r="N20" i="36"/>
  <c r="N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E8" i="21"/>
  <c r="F8" i="21"/>
  <c r="G8" i="21"/>
  <c r="H8" i="21"/>
  <c r="I8" i="21"/>
  <c r="J8" i="21"/>
  <c r="K8" i="21"/>
  <c r="L8" i="21"/>
  <c r="M8" i="21"/>
  <c r="N8" i="21"/>
  <c r="E9" i="21"/>
  <c r="F9" i="21"/>
  <c r="G9" i="21"/>
  <c r="H9" i="21"/>
  <c r="I9" i="21"/>
  <c r="J9" i="21"/>
  <c r="K9" i="21"/>
  <c r="L9" i="21"/>
  <c r="M9" i="21"/>
  <c r="N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N16" i="21"/>
  <c r="N18" i="21"/>
  <c r="N19" i="21"/>
  <c r="N20" i="21"/>
  <c r="N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I1" i="41"/>
  <c r="N8" i="41"/>
  <c r="O8" i="41"/>
  <c r="P8" i="41"/>
  <c r="Q8" i="41"/>
  <c r="R8" i="41"/>
  <c r="S8" i="41"/>
  <c r="T8" i="41"/>
  <c r="U8" i="41"/>
  <c r="V8" i="41"/>
  <c r="W8" i="41"/>
  <c r="N9" i="41"/>
  <c r="O9" i="41"/>
  <c r="P9" i="41"/>
  <c r="Q9" i="41"/>
  <c r="R9" i="41"/>
  <c r="S9" i="41"/>
  <c r="T9" i="41"/>
  <c r="U9" i="41"/>
  <c r="V9" i="41"/>
  <c r="W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W16" i="41"/>
  <c r="W18" i="41"/>
  <c r="W19" i="41"/>
  <c r="W20" i="41"/>
  <c r="W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B23" i="41"/>
  <c r="C23" i="41"/>
  <c r="D23" i="41"/>
  <c r="E23" i="41"/>
  <c r="F23" i="41"/>
  <c r="G23" i="41"/>
  <c r="H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I1" i="32"/>
  <c r="N8" i="32"/>
  <c r="N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N16" i="32"/>
  <c r="N18" i="32"/>
  <c r="N19" i="32"/>
  <c r="N20" i="32"/>
  <c r="N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M1" i="40"/>
  <c r="N8" i="40"/>
  <c r="O8" i="40"/>
  <c r="P8" i="40"/>
  <c r="Q8" i="40"/>
  <c r="R8" i="40"/>
  <c r="S8" i="40"/>
  <c r="T8" i="40"/>
  <c r="U8" i="40"/>
  <c r="V8" i="40"/>
  <c r="W8" i="40"/>
  <c r="N9" i="40"/>
  <c r="O9" i="40"/>
  <c r="P9" i="40"/>
  <c r="Q9" i="40"/>
  <c r="R9" i="40"/>
  <c r="S9" i="40"/>
  <c r="T9" i="40"/>
  <c r="U9" i="40"/>
  <c r="V9" i="40"/>
  <c r="W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W16" i="40"/>
  <c r="W18" i="40"/>
  <c r="W19" i="40"/>
  <c r="W20" i="40"/>
  <c r="W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M1" i="31"/>
  <c r="N8" i="31"/>
  <c r="N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N16" i="31"/>
  <c r="N18" i="31"/>
  <c r="N19" i="31"/>
  <c r="N20" i="31"/>
  <c r="N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</calcChain>
</file>

<file path=xl/sharedStrings.xml><?xml version="1.0" encoding="utf-8"?>
<sst xmlns="http://schemas.openxmlformats.org/spreadsheetml/2006/main" count="651" uniqueCount="69">
  <si>
    <t>NORTHERN NATURAL GAS</t>
  </si>
  <si>
    <t xml:space="preserve"> </t>
  </si>
  <si>
    <t xml:space="preserve">             Revised: </t>
  </si>
  <si>
    <t>Calculation of System Gain or (Loss) - in MCF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</si>
  <si>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</si>
  <si>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</si>
  <si>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</si>
  <si>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</si>
  <si>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</si>
  <si>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</si>
  <si>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</si>
  <si>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</si>
  <si>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</si>
  <si>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</si>
  <si>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</si>
  <si>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</si>
  <si>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</si>
  <si>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</si>
  <si>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</si>
  <si>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</si>
  <si>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</si>
  <si>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</si>
  <si>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</si>
  <si>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</si>
  <si>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</si>
  <si>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</si>
  <si>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</si>
  <si>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</si>
  <si>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</si>
  <si>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</si>
  <si>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Starting Imbal MCF</t>
  </si>
  <si>
    <t>Calculation of System Gain or (Loss) - in Dth</t>
  </si>
  <si>
    <t>Starting Imbal Dth</t>
  </si>
  <si>
    <t>MCF @ 14.73</t>
  </si>
  <si>
    <t>MMBTU @ 14.73</t>
  </si>
  <si>
    <t>Corr</t>
  </si>
  <si>
    <t>Reason for Correction</t>
  </si>
  <si>
    <t>Station #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</si>
  <si>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</si>
  <si>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</si>
  <si>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</si>
  <si>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</si>
  <si>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</si>
  <si>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</si>
  <si>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</si>
  <si>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</si>
  <si>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</si>
  <si>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</si>
  <si>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</si>
  <si>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Transwestern Pipeline</t>
  </si>
  <si>
    <t>Starting Imbalance MCF</t>
  </si>
  <si>
    <t>Starting Imbalance Dth</t>
  </si>
  <si>
    <t>JANAURY</t>
  </si>
  <si>
    <t>Station ID</t>
  </si>
  <si>
    <t>Calculation of System Gain or (Loss) - in DTH</t>
  </si>
  <si>
    <t>R.Panzer</t>
  </si>
  <si>
    <t>R. Panzer</t>
  </si>
  <si>
    <t xml:space="preserve">               R. Panzer</t>
  </si>
  <si>
    <t>D</t>
  </si>
  <si>
    <t>?</t>
  </si>
  <si>
    <t>CARDINAL IG PLANT</t>
  </si>
  <si>
    <t>BUSHTON #4 FUEL COMPRESSOR</t>
  </si>
  <si>
    <t>A. MENDEZ</t>
  </si>
  <si>
    <t>IPI-F INT SCAN PROCESS INCORRECT</t>
  </si>
  <si>
    <t>D. BOSWELL</t>
  </si>
  <si>
    <t>ERA-O ESTIMATE REPCD WITH ACTUAL LATE</t>
  </si>
  <si>
    <t>TESCOTT #2 COMP STA TRANS</t>
  </si>
  <si>
    <t>C. SOMMER</t>
  </si>
  <si>
    <t>ICT-F INVALID CALCULATION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</si>
</sst>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_);[Red]\(0\)"/>
  </numFmts>
  <fonts count="14" x14ac:knownFonts="1">
    <font>
      <sz val="10"/>
      <name val="Arial"/>
    </font>
    <font>
      <sz val="10"/>
      <name val="Arial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 Narrow"/>
      <family val="2"/>
    </font>
    <font>
      <sz val="6"/>
      <color indexed="8"/>
      <name val="Arial Narrow"/>
      <family val="2"/>
    </font>
    <font>
      <sz val="8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sz val="8"/>
      <name val="Arial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5" fontId="2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left" vertical="center"/>
    </xf>
    <xf numFmtId="3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38" fontId="4" fillId="0" borderId="0" xfId="0" applyNumberFormat="1" applyFont="1" applyAlignment="1">
      <alignment horizontal="center" vertical="center"/>
    </xf>
    <xf numFmtId="0" fontId="5" fillId="0" borderId="0" xfId="0" applyFont="1"/>
    <xf numFmtId="38" fontId="6" fillId="0" borderId="0" xfId="0" applyNumberFormat="1" applyFont="1" applyAlignment="1">
      <alignment horizontal="left" vertical="center"/>
    </xf>
    <xf numFmtId="37" fontId="3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 applyProtection="1">
      <alignment horizontal="center" vertical="center"/>
    </xf>
    <xf numFmtId="164" fontId="3" fillId="0" borderId="0" xfId="1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/>
    <xf numFmtId="38" fontId="8" fillId="0" borderId="0" xfId="0" applyNumberFormat="1" applyFont="1" applyAlignment="1">
      <alignment horizontal="left" vertical="center"/>
    </xf>
    <xf numFmtId="38" fontId="8" fillId="0" borderId="0" xfId="0" applyNumberFormat="1" applyFont="1" applyAlignment="1">
      <alignment horizontal="center" vertical="center"/>
    </xf>
    <xf numFmtId="0" fontId="9" fillId="0" borderId="0" xfId="0" applyFont="1"/>
    <xf numFmtId="1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38" fontId="10" fillId="0" borderId="0" xfId="0" applyNumberFormat="1" applyFont="1" applyAlignment="1">
      <alignment horizontal="center" vertical="center"/>
    </xf>
    <xf numFmtId="38" fontId="11" fillId="0" borderId="0" xfId="0" applyNumberFormat="1" applyFont="1" applyAlignment="1">
      <alignment horizontal="left" vertical="center"/>
    </xf>
    <xf numFmtId="37" fontId="8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center" vertical="center"/>
    </xf>
    <xf numFmtId="38" fontId="8" fillId="0" borderId="0" xfId="0" applyNumberFormat="1" applyFont="1" applyAlignment="1" applyProtection="1">
      <alignment horizontal="center" vertical="center"/>
    </xf>
    <xf numFmtId="38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38" fontId="13" fillId="0" borderId="0" xfId="0" applyNumberFormat="1" applyFont="1" applyAlignment="1">
      <alignment horizontal="left" vertical="center"/>
    </xf>
    <xf numFmtId="10" fontId="13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17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17" fontId="12" fillId="0" borderId="0" xfId="0" applyNumberFormat="1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zoomScale="90" workbookViewId="0">
      <selection activeCell="F43" sqref="F43"/>
    </sheetView>
  </sheetViews>
  <sheetFormatPr defaultColWidth="9.109375" defaultRowHeight="10.199999999999999" x14ac:dyDescent="0.25"/>
  <cols>
    <col min="1" max="1" width="15" style="2" customWidth="1"/>
    <col min="2" max="2" width="11.88671875" style="3" customWidth="1"/>
    <col min="3" max="3" width="12" style="3" customWidth="1"/>
    <col min="4" max="4" width="11.6640625" style="3" customWidth="1"/>
    <col min="5" max="5" width="12.109375" style="3" customWidth="1"/>
    <col min="6" max="6" width="11.44140625" style="3" customWidth="1"/>
    <col min="7" max="7" width="11.88671875" style="3" customWidth="1"/>
    <col min="8" max="8" width="11.44140625" style="3" customWidth="1"/>
    <col min="9" max="9" width="11" style="3" customWidth="1"/>
    <col min="10" max="10" width="11.44140625" style="3" customWidth="1"/>
    <col min="11" max="11" width="10" style="3" customWidth="1"/>
    <col min="12" max="12" width="10.5546875" style="3" customWidth="1"/>
    <col min="13" max="13" width="9.88671875" style="3" customWidth="1"/>
    <col min="14" max="14" width="13" style="3" customWidth="1"/>
    <col min="15" max="16384" width="9.109375" style="3"/>
  </cols>
  <sheetData>
    <row r="1" spans="1:15" ht="12" customHeight="1" x14ac:dyDescent="0.25">
      <c r="A1" s="2" t="s">
        <v>0</v>
      </c>
      <c r="F1" s="3" t="s">
        <v>1</v>
      </c>
      <c r="I1" s="3" t="s">
        <v>2</v>
      </c>
      <c r="J1" s="4">
        <f ca="1">NOW()</f>
        <v>37285.808733796293</v>
      </c>
    </row>
    <row r="2" spans="1:15" ht="12" customHeight="1" x14ac:dyDescent="0.25">
      <c r="A2" s="2" t="s">
        <v>3</v>
      </c>
      <c r="I2" s="5" t="s">
        <v>57</v>
      </c>
    </row>
    <row r="3" spans="1:15" ht="12" customHeight="1" x14ac:dyDescent="0.25">
      <c r="A3" s="2" t="s">
        <v>4</v>
      </c>
    </row>
    <row r="4" spans="1:15" ht="12" customHeight="1" x14ac:dyDescent="0.25"/>
    <row r="5" spans="1:15" ht="12" customHeight="1" x14ac:dyDescent="0.2"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7" t="s">
        <v>17</v>
      </c>
    </row>
    <row r="6" spans="1:15" ht="12" customHeight="1" x14ac:dyDescent="0.2">
      <c r="B6" s="6">
        <v>1999</v>
      </c>
      <c r="C6" s="6">
        <v>1999</v>
      </c>
      <c r="D6" s="6">
        <v>1999</v>
      </c>
      <c r="E6" s="6">
        <v>1999</v>
      </c>
      <c r="F6" s="6">
        <v>1999</v>
      </c>
      <c r="G6" s="6">
        <v>1999</v>
      </c>
      <c r="H6" s="6">
        <v>1999</v>
      </c>
      <c r="I6" s="6">
        <v>1999</v>
      </c>
      <c r="J6" s="6">
        <v>1999</v>
      </c>
      <c r="K6" s="6">
        <v>2000</v>
      </c>
      <c r="L6" s="6">
        <v>2000</v>
      </c>
      <c r="M6" s="6">
        <v>2000</v>
      </c>
      <c r="N6" s="7" t="s">
        <v>18</v>
      </c>
    </row>
    <row r="7" spans="1:15" ht="12" customHeight="1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5" ht="12" customHeight="1" x14ac:dyDescent="0.2">
      <c r="A8" s="9" t="s">
        <v>19</v>
      </c>
      <c r="B8" s="10">
        <v>282180035</v>
      </c>
      <c r="C8" s="10">
        <v>230053858</v>
      </c>
      <c r="D8" s="10">
        <v>222660443</v>
      </c>
      <c r="E8" s="10">
        <v>235809332</v>
      </c>
      <c r="F8" s="10">
        <v>232185020</v>
      </c>
      <c r="G8" s="10">
        <v>237064261</v>
      </c>
      <c r="H8" s="10">
        <v>291533210</v>
      </c>
      <c r="I8" s="10">
        <v>282076452</v>
      </c>
      <c r="J8" s="10">
        <v>327415955</v>
      </c>
      <c r="K8" s="10">
        <v>383648778</v>
      </c>
      <c r="L8" s="10">
        <v>322883049</v>
      </c>
      <c r="M8" s="10">
        <v>282853628</v>
      </c>
      <c r="N8" s="3">
        <f>SUM(B8:M8)</f>
        <v>3330364021</v>
      </c>
    </row>
    <row r="9" spans="1:15" ht="12" customHeight="1" x14ac:dyDescent="0.2">
      <c r="A9" s="9" t="s">
        <v>20</v>
      </c>
      <c r="B9" s="10">
        <v>280370927</v>
      </c>
      <c r="C9" s="10">
        <v>228677794</v>
      </c>
      <c r="D9" s="10">
        <v>220996654</v>
      </c>
      <c r="E9" s="10">
        <v>233544408</v>
      </c>
      <c r="F9" s="10">
        <v>230123416</v>
      </c>
      <c r="G9" s="10">
        <v>234796114</v>
      </c>
      <c r="H9" s="10">
        <v>289267141</v>
      </c>
      <c r="I9" s="10">
        <v>279843043</v>
      </c>
      <c r="J9" s="10">
        <v>324868107</v>
      </c>
      <c r="K9" s="10">
        <v>380965837</v>
      </c>
      <c r="L9" s="10">
        <v>319742774</v>
      </c>
      <c r="M9" s="10">
        <v>280808213</v>
      </c>
      <c r="N9" s="3">
        <f>SUM(B9:M9)</f>
        <v>3304004428</v>
      </c>
    </row>
    <row r="10" spans="1:15" ht="12" customHeight="1" x14ac:dyDescent="0.25">
      <c r="A10" s="9" t="s">
        <v>21</v>
      </c>
      <c r="B10" s="3">
        <f t="shared" ref="B10:M10" si="0">+B9+B19+B20+B21</f>
        <v>282459020</v>
      </c>
      <c r="C10" s="3">
        <f t="shared" si="0"/>
        <v>230175755</v>
      </c>
      <c r="D10" s="3">
        <f t="shared" si="0"/>
        <v>222561094</v>
      </c>
      <c r="E10" s="3">
        <f t="shared" si="0"/>
        <v>235325293</v>
      </c>
      <c r="F10" s="3">
        <f t="shared" si="0"/>
        <v>231726532</v>
      </c>
      <c r="G10" s="3">
        <f t="shared" si="0"/>
        <v>236731528</v>
      </c>
      <c r="H10" s="3">
        <f t="shared" si="0"/>
        <v>291397958</v>
      </c>
      <c r="I10" s="3">
        <f t="shared" si="0"/>
        <v>281937654</v>
      </c>
      <c r="J10" s="3">
        <f t="shared" si="0"/>
        <v>327280253</v>
      </c>
      <c r="K10" s="3">
        <f t="shared" si="0"/>
        <v>383510647</v>
      </c>
      <c r="L10" s="3">
        <f t="shared" si="0"/>
        <v>322373162</v>
      </c>
      <c r="M10" s="3">
        <f t="shared" si="0"/>
        <v>282828865</v>
      </c>
      <c r="N10" s="3">
        <f>SUM(B10:M10)</f>
        <v>3328307761</v>
      </c>
    </row>
    <row r="11" spans="1:15" ht="12" customHeight="1" x14ac:dyDescent="0.25">
      <c r="A11" s="9" t="s">
        <v>22</v>
      </c>
      <c r="B11" s="3">
        <f t="shared" ref="B11:M11" si="1">-B8+B10</f>
        <v>278985</v>
      </c>
      <c r="C11" s="3">
        <f t="shared" si="1"/>
        <v>121897</v>
      </c>
      <c r="D11" s="3">
        <f t="shared" si="1"/>
        <v>-99349</v>
      </c>
      <c r="E11" s="3">
        <f t="shared" si="1"/>
        <v>-484039</v>
      </c>
      <c r="F11" s="3">
        <f t="shared" si="1"/>
        <v>-458488</v>
      </c>
      <c r="G11" s="3">
        <f t="shared" si="1"/>
        <v>-332733</v>
      </c>
      <c r="H11" s="3">
        <f t="shared" si="1"/>
        <v>-135252</v>
      </c>
      <c r="I11" s="3">
        <f t="shared" si="1"/>
        <v>-138798</v>
      </c>
      <c r="J11" s="3">
        <f t="shared" si="1"/>
        <v>-135702</v>
      </c>
      <c r="K11" s="3">
        <f t="shared" si="1"/>
        <v>-138131</v>
      </c>
      <c r="L11" s="3">
        <f t="shared" si="1"/>
        <v>-509887</v>
      </c>
      <c r="M11" s="3">
        <f t="shared" si="1"/>
        <v>-24763</v>
      </c>
      <c r="N11" s="3">
        <f>SUM(B11:M11)</f>
        <v>-2056260</v>
      </c>
      <c r="O11" s="3" t="s">
        <v>1</v>
      </c>
    </row>
    <row r="12" spans="1:15" s="12" customFormat="1" ht="12" customHeight="1" x14ac:dyDescent="0.25">
      <c r="A12" s="11" t="s">
        <v>23</v>
      </c>
      <c r="B12" s="12">
        <f t="shared" ref="B12:M12" si="2">B11/B8</f>
        <v>9.8867731730205495E-4</v>
      </c>
      <c r="C12" s="12">
        <f t="shared" si="2"/>
        <v>5.2986288106500695E-4</v>
      </c>
      <c r="D12" s="12">
        <f t="shared" si="2"/>
        <v>-4.4619061500744434E-4</v>
      </c>
      <c r="E12" s="12">
        <f t="shared" si="2"/>
        <v>-2.0526710961549224E-3</v>
      </c>
      <c r="F12" s="12">
        <f t="shared" si="2"/>
        <v>-1.9746665827106331E-3</v>
      </c>
      <c r="G12" s="12">
        <f t="shared" si="2"/>
        <v>-1.4035561437917459E-3</v>
      </c>
      <c r="H12" s="12">
        <f t="shared" si="2"/>
        <v>-4.6393342288516632E-4</v>
      </c>
      <c r="I12" s="12">
        <f t="shared" si="2"/>
        <v>-4.9205808927290393E-4</v>
      </c>
      <c r="J12" s="12">
        <f t="shared" si="2"/>
        <v>-4.1446361402882763E-4</v>
      </c>
      <c r="K12" s="12">
        <f t="shared" si="2"/>
        <v>-3.6004545803609991E-4</v>
      </c>
      <c r="L12" s="12">
        <f t="shared" si="2"/>
        <v>-1.5791693047348546E-3</v>
      </c>
      <c r="M12" s="12">
        <f t="shared" si="2"/>
        <v>-8.7547047478563718E-5</v>
      </c>
      <c r="N12" s="12">
        <f>N11/N8</f>
        <v>-6.1742800097347081E-4</v>
      </c>
      <c r="O12" s="12" t="s">
        <v>1</v>
      </c>
    </row>
    <row r="13" spans="1:15" ht="12" customHeight="1" x14ac:dyDescent="0.25">
      <c r="A13" s="9" t="s">
        <v>24</v>
      </c>
      <c r="B13" s="3">
        <f t="shared" ref="B13:M13" si="3">-B8+B10</f>
        <v>278985</v>
      </c>
      <c r="C13" s="3">
        <f t="shared" si="3"/>
        <v>121897</v>
      </c>
      <c r="D13" s="3">
        <f t="shared" si="3"/>
        <v>-99349</v>
      </c>
      <c r="E13" s="3">
        <f t="shared" si="3"/>
        <v>-484039</v>
      </c>
      <c r="F13" s="3">
        <f t="shared" si="3"/>
        <v>-458488</v>
      </c>
      <c r="G13" s="3">
        <f t="shared" si="3"/>
        <v>-332733</v>
      </c>
      <c r="H13" s="3">
        <f t="shared" si="3"/>
        <v>-135252</v>
      </c>
      <c r="I13" s="3">
        <f t="shared" si="3"/>
        <v>-138798</v>
      </c>
      <c r="J13" s="3">
        <f t="shared" si="3"/>
        <v>-135702</v>
      </c>
      <c r="K13" s="3">
        <f t="shared" si="3"/>
        <v>-138131</v>
      </c>
      <c r="L13" s="3">
        <f t="shared" si="3"/>
        <v>-509887</v>
      </c>
      <c r="M13" s="3">
        <f t="shared" si="3"/>
        <v>-24763</v>
      </c>
      <c r="N13" s="3">
        <f>SUM(B13:M13)</f>
        <v>-2056260</v>
      </c>
    </row>
    <row r="14" spans="1:15" s="12" customFormat="1" ht="12" customHeight="1" x14ac:dyDescent="0.25">
      <c r="A14" s="11" t="s">
        <v>23</v>
      </c>
      <c r="B14" s="12">
        <f t="shared" ref="B14:M14" si="4">B13/B8</f>
        <v>9.8867731730205495E-4</v>
      </c>
      <c r="C14" s="12">
        <f t="shared" si="4"/>
        <v>5.2986288106500695E-4</v>
      </c>
      <c r="D14" s="12">
        <f t="shared" si="4"/>
        <v>-4.4619061500744434E-4</v>
      </c>
      <c r="E14" s="12">
        <f t="shared" si="4"/>
        <v>-2.0526710961549224E-3</v>
      </c>
      <c r="F14" s="12">
        <f t="shared" si="4"/>
        <v>-1.9746665827106331E-3</v>
      </c>
      <c r="G14" s="12">
        <f t="shared" si="4"/>
        <v>-1.4035561437917459E-3</v>
      </c>
      <c r="H14" s="12">
        <f t="shared" si="4"/>
        <v>-4.6393342288516632E-4</v>
      </c>
      <c r="I14" s="12">
        <f t="shared" si="4"/>
        <v>-4.9205808927290393E-4</v>
      </c>
      <c r="J14" s="12">
        <f t="shared" si="4"/>
        <v>-4.1446361402882763E-4</v>
      </c>
      <c r="K14" s="12">
        <f t="shared" si="4"/>
        <v>-3.6004545803609991E-4</v>
      </c>
      <c r="L14" s="12">
        <f t="shared" si="4"/>
        <v>-1.5791693047348546E-3</v>
      </c>
      <c r="M14" s="12">
        <f t="shared" si="4"/>
        <v>-8.7547047478563718E-5</v>
      </c>
      <c r="N14" s="12">
        <f>N13/N8</f>
        <v>-6.1742800097347081E-4</v>
      </c>
    </row>
    <row r="15" spans="1:15" ht="12" customHeight="1" x14ac:dyDescent="0.3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3" t="s">
        <v>1</v>
      </c>
    </row>
    <row r="16" spans="1:15" ht="12" customHeight="1" x14ac:dyDescent="0.25">
      <c r="A16" s="9" t="s">
        <v>25</v>
      </c>
      <c r="B16" s="3">
        <v>109118092</v>
      </c>
      <c r="C16" s="3">
        <v>98900412</v>
      </c>
      <c r="D16" s="3">
        <v>100061596</v>
      </c>
      <c r="E16" s="3">
        <v>104883300</v>
      </c>
      <c r="F16" s="3">
        <v>106974650</v>
      </c>
      <c r="G16" s="3">
        <v>103518717</v>
      </c>
      <c r="H16" s="3">
        <v>111420726</v>
      </c>
      <c r="I16" s="3">
        <v>111854198</v>
      </c>
      <c r="J16" s="3">
        <v>132480974</v>
      </c>
      <c r="K16" s="3">
        <v>146830605</v>
      </c>
      <c r="L16" s="3">
        <v>125650260</v>
      </c>
      <c r="M16" s="3">
        <v>117994083</v>
      </c>
      <c r="N16" s="3">
        <f>SUM(B16:M16)</f>
        <v>1369687613</v>
      </c>
    </row>
    <row r="17" spans="1:14" ht="12" customHeight="1" x14ac:dyDescent="0.25">
      <c r="A17" s="9"/>
      <c r="N17" s="3" t="s">
        <v>1</v>
      </c>
    </row>
    <row r="18" spans="1:14" ht="12" customHeight="1" x14ac:dyDescent="0.25">
      <c r="A18" s="9" t="s">
        <v>26</v>
      </c>
      <c r="B18" s="3">
        <v>107308984</v>
      </c>
      <c r="C18" s="3">
        <v>97524348</v>
      </c>
      <c r="D18" s="3">
        <v>98397807</v>
      </c>
      <c r="E18" s="3">
        <v>102618376</v>
      </c>
      <c r="F18" s="3">
        <v>104913046</v>
      </c>
      <c r="G18" s="3">
        <v>101250570</v>
      </c>
      <c r="H18" s="3">
        <v>109154657</v>
      </c>
      <c r="I18" s="3">
        <v>109620789</v>
      </c>
      <c r="J18" s="3">
        <v>129933126</v>
      </c>
      <c r="K18" s="3">
        <v>144147664</v>
      </c>
      <c r="L18" s="3">
        <v>122509985</v>
      </c>
      <c r="M18" s="3">
        <v>115948668</v>
      </c>
      <c r="N18" s="3">
        <f t="shared" ref="N18:N23" si="5">SUM(B18:M18)</f>
        <v>1343328020</v>
      </c>
    </row>
    <row r="19" spans="1:14" ht="12" customHeight="1" x14ac:dyDescent="0.25">
      <c r="A19" s="9" t="s">
        <v>27</v>
      </c>
      <c r="B19" s="3">
        <v>2092773</v>
      </c>
      <c r="C19" s="3">
        <v>1726935</v>
      </c>
      <c r="D19" s="3">
        <v>1630061</v>
      </c>
      <c r="E19" s="3">
        <v>1674308</v>
      </c>
      <c r="F19" s="3">
        <v>1679098</v>
      </c>
      <c r="G19" s="3">
        <v>1759875</v>
      </c>
      <c r="H19" s="3">
        <v>2113874</v>
      </c>
      <c r="I19" s="3">
        <v>2065810</v>
      </c>
      <c r="J19" s="3">
        <v>2293507</v>
      </c>
      <c r="K19" s="3">
        <v>2790141</v>
      </c>
      <c r="L19" s="3">
        <v>2491772</v>
      </c>
      <c r="M19" s="3">
        <v>2207421</v>
      </c>
      <c r="N19" s="3">
        <f t="shared" si="5"/>
        <v>24525575</v>
      </c>
    </row>
    <row r="20" spans="1:14" ht="12" customHeight="1" x14ac:dyDescent="0.25">
      <c r="A20" s="9" t="s">
        <v>28</v>
      </c>
      <c r="B20" s="3">
        <v>-41000</v>
      </c>
      <c r="C20" s="3">
        <v>-244000</v>
      </c>
      <c r="D20" s="3">
        <v>-93000</v>
      </c>
      <c r="E20" s="3">
        <v>84000</v>
      </c>
      <c r="F20" s="3">
        <v>-101000</v>
      </c>
      <c r="G20" s="3">
        <v>149000</v>
      </c>
      <c r="H20" s="3">
        <v>-5490</v>
      </c>
      <c r="I20" s="3">
        <v>5209</v>
      </c>
      <c r="J20" s="3">
        <v>93250</v>
      </c>
      <c r="K20" s="3">
        <v>-273610</v>
      </c>
      <c r="L20" s="3">
        <v>107270</v>
      </c>
      <c r="M20" s="3">
        <v>-216580</v>
      </c>
      <c r="N20" s="3">
        <f t="shared" si="5"/>
        <v>-535951</v>
      </c>
    </row>
    <row r="21" spans="1:14" ht="12" customHeight="1" x14ac:dyDescent="0.25">
      <c r="A21" s="9" t="s">
        <v>29</v>
      </c>
      <c r="B21" s="3">
        <v>36320</v>
      </c>
      <c r="C21" s="3">
        <v>15026</v>
      </c>
      <c r="D21" s="3">
        <v>27379</v>
      </c>
      <c r="E21" s="3">
        <v>22577</v>
      </c>
      <c r="F21" s="3">
        <v>25018</v>
      </c>
      <c r="G21" s="3">
        <v>26539</v>
      </c>
      <c r="H21" s="3">
        <v>22433</v>
      </c>
      <c r="I21" s="3">
        <v>23592</v>
      </c>
      <c r="J21" s="3">
        <v>25389</v>
      </c>
      <c r="K21" s="3">
        <v>28279</v>
      </c>
      <c r="L21" s="3">
        <v>31346</v>
      </c>
      <c r="M21" s="3">
        <v>29811</v>
      </c>
      <c r="N21" s="3">
        <f t="shared" si="5"/>
        <v>313709</v>
      </c>
    </row>
    <row r="22" spans="1:14" ht="12" customHeight="1" x14ac:dyDescent="0.25">
      <c r="A22" s="9" t="s">
        <v>21</v>
      </c>
      <c r="B22" s="3">
        <f t="shared" ref="B22:M22" si="6">SUM(B18:B21)</f>
        <v>109397077</v>
      </c>
      <c r="C22" s="3">
        <f t="shared" si="6"/>
        <v>99022309</v>
      </c>
      <c r="D22" s="3">
        <f t="shared" si="6"/>
        <v>99962247</v>
      </c>
      <c r="E22" s="3">
        <f t="shared" si="6"/>
        <v>104399261</v>
      </c>
      <c r="F22" s="3">
        <f t="shared" si="6"/>
        <v>106516162</v>
      </c>
      <c r="G22" s="3">
        <f t="shared" si="6"/>
        <v>103185984</v>
      </c>
      <c r="H22" s="3">
        <f t="shared" si="6"/>
        <v>111285474</v>
      </c>
      <c r="I22" s="3">
        <f t="shared" si="6"/>
        <v>111715400</v>
      </c>
      <c r="J22" s="3">
        <f t="shared" si="6"/>
        <v>132345272</v>
      </c>
      <c r="K22" s="3">
        <f t="shared" si="6"/>
        <v>146692474</v>
      </c>
      <c r="L22" s="3">
        <f t="shared" si="6"/>
        <v>125140373</v>
      </c>
      <c r="M22" s="3">
        <f t="shared" si="6"/>
        <v>117969320</v>
      </c>
      <c r="N22" s="3">
        <f t="shared" si="5"/>
        <v>1367631353</v>
      </c>
    </row>
    <row r="23" spans="1:14" ht="12" customHeight="1" x14ac:dyDescent="0.25">
      <c r="A23" s="9" t="s">
        <v>30</v>
      </c>
      <c r="B23" s="3">
        <f t="shared" ref="B23:M23" si="7">-B16+B22</f>
        <v>278985</v>
      </c>
      <c r="C23" s="3">
        <f t="shared" si="7"/>
        <v>121897</v>
      </c>
      <c r="D23" s="3">
        <f t="shared" si="7"/>
        <v>-99349</v>
      </c>
      <c r="E23" s="3">
        <f t="shared" si="7"/>
        <v>-484039</v>
      </c>
      <c r="F23" s="3">
        <f t="shared" si="7"/>
        <v>-458488</v>
      </c>
      <c r="G23" s="3">
        <f t="shared" si="7"/>
        <v>-332733</v>
      </c>
      <c r="H23" s="3">
        <f t="shared" si="7"/>
        <v>-135252</v>
      </c>
      <c r="I23" s="3">
        <f t="shared" si="7"/>
        <v>-138798</v>
      </c>
      <c r="J23" s="3">
        <f t="shared" si="7"/>
        <v>-135702</v>
      </c>
      <c r="K23" s="3">
        <f t="shared" si="7"/>
        <v>-138131</v>
      </c>
      <c r="L23" s="3">
        <f t="shared" si="7"/>
        <v>-509887</v>
      </c>
      <c r="M23" s="3">
        <f t="shared" si="7"/>
        <v>-24763</v>
      </c>
      <c r="N23" s="3">
        <f t="shared" si="5"/>
        <v>-2056260</v>
      </c>
    </row>
    <row r="24" spans="1:14" s="12" customFormat="1" ht="12" customHeight="1" x14ac:dyDescent="0.25">
      <c r="A24" s="11" t="s">
        <v>23</v>
      </c>
      <c r="B24" s="12">
        <f t="shared" ref="B24:M24" si="8">B23/B16</f>
        <v>2.5567254236813454E-3</v>
      </c>
      <c r="C24" s="12">
        <f t="shared" si="8"/>
        <v>1.2325226713919047E-3</v>
      </c>
      <c r="D24" s="12">
        <f t="shared" si="8"/>
        <v>-9.9287842660434884E-4</v>
      </c>
      <c r="E24" s="12">
        <f t="shared" si="8"/>
        <v>-4.6150245081914851E-3</v>
      </c>
      <c r="F24" s="12">
        <f t="shared" si="8"/>
        <v>-4.2859499890861991E-3</v>
      </c>
      <c r="G24" s="12">
        <f t="shared" si="8"/>
        <v>-3.214230330926532E-3</v>
      </c>
      <c r="H24" s="12">
        <f t="shared" si="8"/>
        <v>-1.2138854668744484E-3</v>
      </c>
      <c r="I24" s="12">
        <f t="shared" si="8"/>
        <v>-1.2408832433808161E-3</v>
      </c>
      <c r="J24" s="12">
        <f t="shared" si="8"/>
        <v>-1.0243131213694126E-3</v>
      </c>
      <c r="K24" s="12">
        <f t="shared" si="8"/>
        <v>-9.4075073789963611E-4</v>
      </c>
      <c r="L24" s="12">
        <f t="shared" si="8"/>
        <v>-4.0579860320225361E-3</v>
      </c>
      <c r="M24" s="12">
        <f t="shared" si="8"/>
        <v>-2.0986645576117575E-4</v>
      </c>
      <c r="N24" s="12">
        <f>N23/N16</f>
        <v>-1.5012620253578946E-3</v>
      </c>
    </row>
    <row r="25" spans="1:14" ht="12" customHeight="1" x14ac:dyDescent="0.25"/>
    <row r="26" spans="1:14" ht="12" customHeight="1" x14ac:dyDescent="0.25"/>
    <row r="27" spans="1:14" ht="12" customHeight="1" x14ac:dyDescent="0.25"/>
    <row r="32" spans="1:14" ht="13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5" ht="13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5" ht="13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5" ht="13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5" ht="13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5" ht="13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5" ht="13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5" ht="13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5" ht="13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3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ht="13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s="12" customFormat="1" ht="13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5" ht="13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5" s="12" customFormat="1" ht="13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5" ht="13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3" t="s">
        <v>1</v>
      </c>
    </row>
    <row r="47" spans="1:15" ht="13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5" ht="13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3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3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3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3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3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s="12" customFormat="1" ht="13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3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3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3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3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3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3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3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3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s="12" customFormat="1" ht="13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</sheetData>
  <phoneticPr fontId="7" type="noConversion"/>
  <printOptions horizontalCentered="1" verticalCentered="1" gridLines="1" gridLinesSet="0"/>
  <pageMargins left="0.25" right="0.24" top="1" bottom="1" header="0.5" footer="0.5"/>
  <pageSetup scale="83" orientation="landscape" horizontalDpi="300" verticalDpi="300" r:id="rId1"/>
  <headerFooter alignWithMargins="0">
    <oddHeader>&amp;C&amp;"Arial,Bold Italic"&amp;12NNG MCF PRA (99)12 Month Historical</oddHeader>
    <oddFooter>&amp;L&amp;F&amp;CPage &amp;P&amp;R&amp;D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zoomScale="90" workbookViewId="0"/>
  </sheetViews>
  <sheetFormatPr defaultColWidth="9.109375" defaultRowHeight="13.8" x14ac:dyDescent="0.3"/>
  <cols>
    <col min="1" max="1" width="19.5546875" style="20" customWidth="1"/>
    <col min="2" max="13" width="11.5546875" style="20" customWidth="1"/>
    <col min="14" max="14" width="11.6640625" style="20" customWidth="1"/>
    <col min="15" max="15" width="11.33203125" style="20" customWidth="1"/>
    <col min="16" max="16384" width="9.109375" style="20"/>
  </cols>
  <sheetData>
    <row r="1" spans="1:15" s="31" customFormat="1" ht="12" customHeight="1" x14ac:dyDescent="0.2">
      <c r="A1" s="18" t="s">
        <v>49</v>
      </c>
      <c r="B1" s="19"/>
      <c r="C1" s="19"/>
      <c r="D1" s="19"/>
      <c r="E1" s="19"/>
      <c r="F1" s="19" t="s">
        <v>1</v>
      </c>
      <c r="G1" s="19"/>
      <c r="H1" s="19"/>
      <c r="K1" s="19"/>
      <c r="L1" s="19" t="s">
        <v>2</v>
      </c>
      <c r="M1" s="21">
        <f ca="1">NOW()</f>
        <v>37285.808733796293</v>
      </c>
      <c r="N1" s="19"/>
    </row>
    <row r="2" spans="1:15" s="31" customFormat="1" ht="12" customHeight="1" x14ac:dyDescent="0.2">
      <c r="A2" s="18" t="s">
        <v>3</v>
      </c>
      <c r="B2" s="19"/>
      <c r="C2" s="19"/>
      <c r="D2" s="19"/>
      <c r="E2" s="19"/>
      <c r="F2" s="19"/>
      <c r="G2" s="19"/>
      <c r="H2" s="19"/>
      <c r="K2" s="19"/>
      <c r="L2" s="19" t="s">
        <v>57</v>
      </c>
      <c r="M2" s="19"/>
      <c r="N2" s="19"/>
    </row>
    <row r="3" spans="1:15" s="31" customFormat="1" ht="12" customHeight="1" x14ac:dyDescent="0.2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5" s="31" customFormat="1" ht="12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5" s="31" customFormat="1" ht="12" customHeight="1" x14ac:dyDescent="0.2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3" t="s">
        <v>17</v>
      </c>
    </row>
    <row r="6" spans="1:15" s="31" customFormat="1" ht="12" customHeight="1" x14ac:dyDescent="0.2">
      <c r="A6" s="18"/>
      <c r="B6" s="22">
        <v>1999</v>
      </c>
      <c r="C6" s="22">
        <v>1999</v>
      </c>
      <c r="D6" s="22">
        <v>1999</v>
      </c>
      <c r="E6" s="22">
        <v>1999</v>
      </c>
      <c r="F6" s="22">
        <v>1999</v>
      </c>
      <c r="G6" s="22">
        <v>1999</v>
      </c>
      <c r="H6" s="22">
        <v>1999</v>
      </c>
      <c r="I6" s="22">
        <v>1999</v>
      </c>
      <c r="J6" s="22">
        <v>1999</v>
      </c>
      <c r="K6" s="22">
        <v>2000</v>
      </c>
      <c r="L6" s="22">
        <v>2000</v>
      </c>
      <c r="M6" s="22">
        <v>2000</v>
      </c>
      <c r="N6" s="23" t="s">
        <v>18</v>
      </c>
    </row>
    <row r="7" spans="1:15" s="31" customFormat="1" ht="12" customHeight="1" x14ac:dyDescent="0.2">
      <c r="A7" s="18"/>
      <c r="N7" s="19"/>
      <c r="O7" s="17"/>
    </row>
    <row r="8" spans="1:15" s="31" customFormat="1" ht="12" customHeight="1" x14ac:dyDescent="0.2">
      <c r="A8" s="18" t="s">
        <v>19</v>
      </c>
      <c r="B8" s="25">
        <v>84068089</v>
      </c>
      <c r="C8" s="25">
        <v>79653964</v>
      </c>
      <c r="D8" s="25">
        <v>81961162</v>
      </c>
      <c r="E8" s="25">
        <v>89085709</v>
      </c>
      <c r="F8" s="25">
        <v>104280237</v>
      </c>
      <c r="G8" s="25">
        <v>84199018</v>
      </c>
      <c r="H8" s="25">
        <v>72814726</v>
      </c>
      <c r="I8" s="25">
        <v>76368520</v>
      </c>
      <c r="J8" s="25">
        <v>84773217</v>
      </c>
      <c r="K8" s="25">
        <v>84997926</v>
      </c>
      <c r="L8" s="25">
        <v>84279045</v>
      </c>
      <c r="M8" s="25">
        <v>88970912</v>
      </c>
      <c r="N8" s="19">
        <f>SUM(B8:M8)</f>
        <v>1015452525</v>
      </c>
      <c r="O8" s="25"/>
    </row>
    <row r="9" spans="1:15" s="31" customFormat="1" ht="12" customHeight="1" x14ac:dyDescent="0.2">
      <c r="A9" s="18" t="s">
        <v>20</v>
      </c>
      <c r="B9" s="25">
        <v>83581705</v>
      </c>
      <c r="C9" s="25">
        <v>79246874</v>
      </c>
      <c r="D9" s="25">
        <v>81467786</v>
      </c>
      <c r="E9" s="25">
        <v>88644391</v>
      </c>
      <c r="F9" s="25">
        <v>103564062</v>
      </c>
      <c r="G9" s="25">
        <v>83649081</v>
      </c>
      <c r="H9" s="25">
        <v>72259716</v>
      </c>
      <c r="I9" s="25">
        <v>75591685</v>
      </c>
      <c r="J9" s="25">
        <v>84064929</v>
      </c>
      <c r="K9" s="25">
        <v>84608002</v>
      </c>
      <c r="L9" s="25">
        <v>83698206</v>
      </c>
      <c r="M9" s="25">
        <v>88462856</v>
      </c>
      <c r="N9" s="19">
        <f>SUM(B9:M9)</f>
        <v>1008839293</v>
      </c>
      <c r="O9" s="25"/>
    </row>
    <row r="10" spans="1:15" s="31" customFormat="1" ht="12" customHeight="1" x14ac:dyDescent="0.2">
      <c r="A10" s="18" t="s">
        <v>21</v>
      </c>
      <c r="B10" s="19">
        <f>+B9+B19+B20+B21</f>
        <v>83982182</v>
      </c>
      <c r="C10" s="19">
        <f t="shared" ref="C10:M10" si="0">+C9+C19+C20+C21</f>
        <v>79647577</v>
      </c>
      <c r="D10" s="19">
        <f t="shared" si="0"/>
        <v>81895682</v>
      </c>
      <c r="E10" s="19">
        <f t="shared" si="0"/>
        <v>89100942</v>
      </c>
      <c r="F10" s="19">
        <f t="shared" si="0"/>
        <v>104073684</v>
      </c>
      <c r="G10" s="19">
        <f t="shared" si="0"/>
        <v>84149049</v>
      </c>
      <c r="H10" s="19">
        <f t="shared" si="0"/>
        <v>72676388</v>
      </c>
      <c r="I10" s="19">
        <f t="shared" si="0"/>
        <v>76317124</v>
      </c>
      <c r="J10" s="19">
        <f t="shared" si="0"/>
        <v>84684373</v>
      </c>
      <c r="K10" s="19">
        <f t="shared" si="0"/>
        <v>84913350</v>
      </c>
      <c r="L10" s="19">
        <f t="shared" si="0"/>
        <v>84229734</v>
      </c>
      <c r="M10" s="19">
        <f t="shared" si="0"/>
        <v>88980727</v>
      </c>
      <c r="N10" s="19">
        <f>SUM(B10:M10)</f>
        <v>1014650812</v>
      </c>
      <c r="O10" s="19"/>
    </row>
    <row r="11" spans="1:15" s="31" customFormat="1" ht="12" customHeight="1" x14ac:dyDescent="0.2">
      <c r="A11" s="18" t="s">
        <v>22</v>
      </c>
      <c r="B11" s="19">
        <f t="shared" ref="B11:M11" si="1">-B8+B10</f>
        <v>-85907</v>
      </c>
      <c r="C11" s="19">
        <f t="shared" si="1"/>
        <v>-6387</v>
      </c>
      <c r="D11" s="19">
        <f t="shared" si="1"/>
        <v>-65480</v>
      </c>
      <c r="E11" s="19">
        <f t="shared" si="1"/>
        <v>15233</v>
      </c>
      <c r="F11" s="19">
        <f t="shared" si="1"/>
        <v>-206553</v>
      </c>
      <c r="G11" s="19">
        <f t="shared" si="1"/>
        <v>-49969</v>
      </c>
      <c r="H11" s="19">
        <f t="shared" si="1"/>
        <v>-138338</v>
      </c>
      <c r="I11" s="19">
        <f t="shared" si="1"/>
        <v>-51396</v>
      </c>
      <c r="J11" s="19">
        <f t="shared" si="1"/>
        <v>-88844</v>
      </c>
      <c r="K11" s="19">
        <f t="shared" si="1"/>
        <v>-84576</v>
      </c>
      <c r="L11" s="19">
        <f t="shared" si="1"/>
        <v>-49311</v>
      </c>
      <c r="M11" s="19">
        <f t="shared" si="1"/>
        <v>9815</v>
      </c>
      <c r="N11" s="19">
        <f>SUM(B11:M11)</f>
        <v>-801713</v>
      </c>
      <c r="O11" s="19"/>
    </row>
    <row r="12" spans="1:15" s="31" customFormat="1" ht="12" customHeight="1" x14ac:dyDescent="0.2">
      <c r="A12" s="36" t="s">
        <v>23</v>
      </c>
      <c r="B12" s="27">
        <f t="shared" ref="B12:M12" si="2">B11/B8</f>
        <v>-1.0218740668650147E-3</v>
      </c>
      <c r="C12" s="27">
        <f t="shared" si="2"/>
        <v>-8.0184333324578798E-5</v>
      </c>
      <c r="D12" s="27">
        <f t="shared" si="2"/>
        <v>-7.9891497877982744E-4</v>
      </c>
      <c r="E12" s="27">
        <f t="shared" si="2"/>
        <v>1.7099263362207735E-4</v>
      </c>
      <c r="F12" s="27">
        <f t="shared" si="2"/>
        <v>-1.9807492382281412E-3</v>
      </c>
      <c r="G12" s="27">
        <f t="shared" si="2"/>
        <v>-5.9346297839245582E-4</v>
      </c>
      <c r="H12" s="27">
        <f t="shared" si="2"/>
        <v>-1.8998629480525683E-3</v>
      </c>
      <c r="I12" s="27">
        <f t="shared" si="2"/>
        <v>-6.7299981720216658E-4</v>
      </c>
      <c r="J12" s="27">
        <f t="shared" si="2"/>
        <v>-1.0480196829147112E-3</v>
      </c>
      <c r="K12" s="27">
        <f t="shared" si="2"/>
        <v>-9.9503604358534576E-4</v>
      </c>
      <c r="L12" s="27">
        <f t="shared" si="2"/>
        <v>-5.8509205936066314E-4</v>
      </c>
      <c r="M12" s="27">
        <f t="shared" si="2"/>
        <v>1.1031695392759377E-4</v>
      </c>
      <c r="N12" s="27">
        <f>N11/N8</f>
        <v>-7.8951303016357166E-4</v>
      </c>
      <c r="O12" s="27"/>
    </row>
    <row r="13" spans="1:15" s="31" customFormat="1" ht="12" customHeight="1" x14ac:dyDescent="0.2">
      <c r="A13" s="18" t="s">
        <v>24</v>
      </c>
      <c r="B13" s="19">
        <f t="shared" ref="B13:M13" si="3">-B8+B10</f>
        <v>-85907</v>
      </c>
      <c r="C13" s="19">
        <f t="shared" si="3"/>
        <v>-6387</v>
      </c>
      <c r="D13" s="19">
        <f t="shared" si="3"/>
        <v>-65480</v>
      </c>
      <c r="E13" s="19">
        <f t="shared" si="3"/>
        <v>15233</v>
      </c>
      <c r="F13" s="19">
        <f t="shared" si="3"/>
        <v>-206553</v>
      </c>
      <c r="G13" s="19">
        <f t="shared" si="3"/>
        <v>-49969</v>
      </c>
      <c r="H13" s="19">
        <f t="shared" si="3"/>
        <v>-138338</v>
      </c>
      <c r="I13" s="19">
        <f t="shared" si="3"/>
        <v>-51396</v>
      </c>
      <c r="J13" s="19">
        <f t="shared" si="3"/>
        <v>-88844</v>
      </c>
      <c r="K13" s="19">
        <f t="shared" si="3"/>
        <v>-84576</v>
      </c>
      <c r="L13" s="19">
        <f t="shared" si="3"/>
        <v>-49311</v>
      </c>
      <c r="M13" s="19">
        <f t="shared" si="3"/>
        <v>9815</v>
      </c>
      <c r="N13" s="19">
        <f>SUM(B13:M13)</f>
        <v>-801713</v>
      </c>
      <c r="O13" s="19"/>
    </row>
    <row r="14" spans="1:15" s="31" customFormat="1" ht="12" customHeight="1" x14ac:dyDescent="0.2">
      <c r="A14" s="36" t="s">
        <v>23</v>
      </c>
      <c r="B14" s="27">
        <f t="shared" ref="B14:M14" si="4">B13/B8</f>
        <v>-1.0218740668650147E-3</v>
      </c>
      <c r="C14" s="27">
        <f t="shared" si="4"/>
        <v>-8.0184333324578798E-5</v>
      </c>
      <c r="D14" s="27">
        <f t="shared" si="4"/>
        <v>-7.9891497877982744E-4</v>
      </c>
      <c r="E14" s="27">
        <f t="shared" si="4"/>
        <v>1.7099263362207735E-4</v>
      </c>
      <c r="F14" s="27">
        <f t="shared" si="4"/>
        <v>-1.9807492382281412E-3</v>
      </c>
      <c r="G14" s="27">
        <f t="shared" si="4"/>
        <v>-5.9346297839245582E-4</v>
      </c>
      <c r="H14" s="27">
        <f t="shared" si="4"/>
        <v>-1.8998629480525683E-3</v>
      </c>
      <c r="I14" s="27">
        <f t="shared" si="4"/>
        <v>-6.7299981720216658E-4</v>
      </c>
      <c r="J14" s="27">
        <f t="shared" si="4"/>
        <v>-1.0480196829147112E-3</v>
      </c>
      <c r="K14" s="27">
        <f t="shared" si="4"/>
        <v>-9.9503604358534576E-4</v>
      </c>
      <c r="L14" s="27">
        <f t="shared" si="4"/>
        <v>-5.8509205936066314E-4</v>
      </c>
      <c r="M14" s="27">
        <f t="shared" si="4"/>
        <v>1.1031695392759377E-4</v>
      </c>
      <c r="N14" s="27">
        <f>N13/N8</f>
        <v>-7.8951303016357166E-4</v>
      </c>
      <c r="O14" s="27"/>
    </row>
    <row r="15" spans="1:15" s="31" customFormat="1" ht="12" customHeight="1" x14ac:dyDescent="0.2">
      <c r="A15" s="18"/>
      <c r="N15" s="19" t="s">
        <v>1</v>
      </c>
    </row>
    <row r="16" spans="1:15" s="31" customFormat="1" ht="12" customHeight="1" x14ac:dyDescent="0.2">
      <c r="A16" s="18" t="s">
        <v>25</v>
      </c>
      <c r="B16" s="19">
        <v>46410999</v>
      </c>
      <c r="C16" s="19">
        <v>44964324</v>
      </c>
      <c r="D16" s="19">
        <v>46152213</v>
      </c>
      <c r="E16" s="19">
        <v>50557221</v>
      </c>
      <c r="F16" s="19">
        <v>53605580</v>
      </c>
      <c r="G16" s="19">
        <v>47295701</v>
      </c>
      <c r="H16" s="19">
        <v>44709017</v>
      </c>
      <c r="I16" s="19">
        <v>45346399</v>
      </c>
      <c r="J16" s="19">
        <v>49411995</v>
      </c>
      <c r="K16" s="19">
        <v>48333294</v>
      </c>
      <c r="L16" s="19">
        <v>48613874</v>
      </c>
      <c r="M16" s="19">
        <v>51590330</v>
      </c>
      <c r="N16" s="19">
        <f>SUM(B16:M16)</f>
        <v>576990947</v>
      </c>
      <c r="O16" s="19"/>
    </row>
    <row r="17" spans="1:15" s="31" customFormat="1" ht="12" customHeight="1" x14ac:dyDescent="0.2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  <c r="O17" s="19"/>
    </row>
    <row r="18" spans="1:15" s="31" customFormat="1" ht="12" customHeight="1" x14ac:dyDescent="0.2">
      <c r="A18" s="18" t="s">
        <v>26</v>
      </c>
      <c r="B18" s="19">
        <v>45924615</v>
      </c>
      <c r="C18" s="19">
        <v>44557234</v>
      </c>
      <c r="D18" s="19">
        <v>45658837</v>
      </c>
      <c r="E18" s="19">
        <v>50115903</v>
      </c>
      <c r="F18" s="19">
        <v>52889405</v>
      </c>
      <c r="G18" s="19">
        <v>46745764</v>
      </c>
      <c r="H18" s="19">
        <v>44154007</v>
      </c>
      <c r="I18" s="19">
        <v>44569564</v>
      </c>
      <c r="J18" s="19">
        <v>48703707</v>
      </c>
      <c r="K18" s="19">
        <v>47943370</v>
      </c>
      <c r="L18" s="19">
        <v>48033035</v>
      </c>
      <c r="M18" s="19">
        <v>51082274</v>
      </c>
      <c r="N18" s="19">
        <f t="shared" ref="N18:N23" si="5">SUM(B18:M18)</f>
        <v>570377715</v>
      </c>
      <c r="O18" s="19"/>
    </row>
    <row r="19" spans="1:15" s="31" customFormat="1" ht="12" customHeight="1" x14ac:dyDescent="0.2">
      <c r="A19" s="18" t="s">
        <v>27</v>
      </c>
      <c r="B19" s="19">
        <v>437760</v>
      </c>
      <c r="C19" s="19">
        <v>405549</v>
      </c>
      <c r="D19" s="19">
        <v>449351</v>
      </c>
      <c r="E19" s="19">
        <v>473816</v>
      </c>
      <c r="F19" s="19">
        <v>501205</v>
      </c>
      <c r="G19" s="19">
        <v>427228</v>
      </c>
      <c r="H19" s="19">
        <v>499472</v>
      </c>
      <c r="I19" s="19">
        <v>531090</v>
      </c>
      <c r="J19" s="19">
        <v>539240</v>
      </c>
      <c r="K19" s="19">
        <v>539382</v>
      </c>
      <c r="L19" s="19">
        <v>496370</v>
      </c>
      <c r="M19" s="19">
        <v>534632</v>
      </c>
      <c r="N19" s="19">
        <f t="shared" si="5"/>
        <v>5835095</v>
      </c>
      <c r="O19" s="19"/>
    </row>
    <row r="20" spans="1:15" s="31" customFormat="1" ht="12" customHeight="1" x14ac:dyDescent="0.2">
      <c r="A20" s="18" t="s">
        <v>28</v>
      </c>
      <c r="B20" s="19">
        <v>-38384</v>
      </c>
      <c r="C20" s="19">
        <v>-6077</v>
      </c>
      <c r="D20" s="19">
        <v>-23867</v>
      </c>
      <c r="E20" s="19">
        <v>-19231</v>
      </c>
      <c r="F20" s="19">
        <v>6796</v>
      </c>
      <c r="G20" s="19">
        <v>71197</v>
      </c>
      <c r="H20" s="19">
        <v>-85485</v>
      </c>
      <c r="I20" s="19">
        <v>192698</v>
      </c>
      <c r="J20" s="19">
        <v>79337</v>
      </c>
      <c r="K20" s="19">
        <v>-235288</v>
      </c>
      <c r="L20" s="19">
        <v>34451</v>
      </c>
      <c r="M20" s="19">
        <v>-16761</v>
      </c>
      <c r="N20" s="19">
        <f t="shared" si="5"/>
        <v>-40614</v>
      </c>
      <c r="O20" s="19"/>
    </row>
    <row r="21" spans="1:15" s="31" customFormat="1" ht="12" customHeight="1" x14ac:dyDescent="0.2">
      <c r="A21" s="18" t="s">
        <v>29</v>
      </c>
      <c r="B21" s="19">
        <v>1101</v>
      </c>
      <c r="C21" s="19">
        <v>1231</v>
      </c>
      <c r="D21" s="19">
        <v>2412</v>
      </c>
      <c r="E21" s="19">
        <v>1966</v>
      </c>
      <c r="F21" s="19">
        <v>1621</v>
      </c>
      <c r="G21" s="19">
        <v>1543</v>
      </c>
      <c r="H21" s="19">
        <v>2685</v>
      </c>
      <c r="I21" s="19">
        <v>1651</v>
      </c>
      <c r="J21" s="19">
        <v>867</v>
      </c>
      <c r="K21" s="19">
        <v>1254</v>
      </c>
      <c r="L21" s="19">
        <v>707</v>
      </c>
      <c r="M21" s="19">
        <v>0</v>
      </c>
      <c r="N21" s="19">
        <f t="shared" si="5"/>
        <v>17038</v>
      </c>
      <c r="O21" s="19"/>
    </row>
    <row r="22" spans="1:15" s="31" customFormat="1" ht="12" customHeight="1" x14ac:dyDescent="0.2">
      <c r="A22" s="18" t="s">
        <v>21</v>
      </c>
      <c r="B22" s="19">
        <f t="shared" ref="B22:M22" si="6">SUM(B18:B21)</f>
        <v>46325092</v>
      </c>
      <c r="C22" s="19">
        <f t="shared" si="6"/>
        <v>44957937</v>
      </c>
      <c r="D22" s="19">
        <f t="shared" si="6"/>
        <v>46086733</v>
      </c>
      <c r="E22" s="19">
        <f t="shared" si="6"/>
        <v>50572454</v>
      </c>
      <c r="F22" s="19">
        <f t="shared" si="6"/>
        <v>53399027</v>
      </c>
      <c r="G22" s="19">
        <f t="shared" si="6"/>
        <v>47245732</v>
      </c>
      <c r="H22" s="19">
        <f t="shared" si="6"/>
        <v>44570679</v>
      </c>
      <c r="I22" s="19">
        <f t="shared" si="6"/>
        <v>45295003</v>
      </c>
      <c r="J22" s="19">
        <f t="shared" si="6"/>
        <v>49323151</v>
      </c>
      <c r="K22" s="19">
        <f t="shared" si="6"/>
        <v>48248718</v>
      </c>
      <c r="L22" s="19">
        <f t="shared" si="6"/>
        <v>48564563</v>
      </c>
      <c r="M22" s="19">
        <f t="shared" si="6"/>
        <v>51600145</v>
      </c>
      <c r="N22" s="19">
        <f t="shared" si="5"/>
        <v>576189234</v>
      </c>
      <c r="O22" s="19"/>
    </row>
    <row r="23" spans="1:15" s="31" customFormat="1" ht="12" customHeight="1" x14ac:dyDescent="0.2">
      <c r="A23" s="18" t="s">
        <v>50</v>
      </c>
      <c r="B23" s="19">
        <f t="shared" ref="B23:M23" si="7">-B16+B22</f>
        <v>-85907</v>
      </c>
      <c r="C23" s="19">
        <f t="shared" si="7"/>
        <v>-6387</v>
      </c>
      <c r="D23" s="19">
        <f t="shared" si="7"/>
        <v>-65480</v>
      </c>
      <c r="E23" s="19">
        <f t="shared" si="7"/>
        <v>15233</v>
      </c>
      <c r="F23" s="19">
        <f t="shared" si="7"/>
        <v>-206553</v>
      </c>
      <c r="G23" s="19">
        <f t="shared" si="7"/>
        <v>-49969</v>
      </c>
      <c r="H23" s="19">
        <f t="shared" si="7"/>
        <v>-138338</v>
      </c>
      <c r="I23" s="19">
        <f t="shared" si="7"/>
        <v>-51396</v>
      </c>
      <c r="J23" s="19">
        <f t="shared" si="7"/>
        <v>-88844</v>
      </c>
      <c r="K23" s="19">
        <f t="shared" si="7"/>
        <v>-84576</v>
      </c>
      <c r="L23" s="19">
        <f t="shared" si="7"/>
        <v>-49311</v>
      </c>
      <c r="M23" s="19">
        <f t="shared" si="7"/>
        <v>9815</v>
      </c>
      <c r="N23" s="19">
        <f t="shared" si="5"/>
        <v>-801713</v>
      </c>
      <c r="O23" s="19"/>
    </row>
    <row r="24" spans="1:15" s="31" customFormat="1" ht="12" customHeight="1" x14ac:dyDescent="0.2">
      <c r="A24" s="36" t="s">
        <v>23</v>
      </c>
      <c r="B24" s="27">
        <f t="shared" ref="B24:M24" si="8">B23/B16</f>
        <v>-1.851005189524147E-3</v>
      </c>
      <c r="C24" s="27">
        <f t="shared" si="8"/>
        <v>-1.4204594736040067E-4</v>
      </c>
      <c r="D24" s="27">
        <f t="shared" si="8"/>
        <v>-1.4187835369887897E-3</v>
      </c>
      <c r="E24" s="27">
        <f t="shared" si="8"/>
        <v>3.013021621580031E-4</v>
      </c>
      <c r="F24" s="27">
        <f t="shared" si="8"/>
        <v>-3.8531996109360256E-3</v>
      </c>
      <c r="G24" s="27">
        <f t="shared" si="8"/>
        <v>-1.0565230865274627E-3</v>
      </c>
      <c r="H24" s="27">
        <f t="shared" si="8"/>
        <v>-3.0941856762361831E-3</v>
      </c>
      <c r="I24" s="27">
        <f t="shared" si="8"/>
        <v>-1.1334086307492686E-3</v>
      </c>
      <c r="J24" s="27">
        <f t="shared" si="8"/>
        <v>-1.7980249532527476E-3</v>
      </c>
      <c r="K24" s="27">
        <f t="shared" si="8"/>
        <v>-1.7498496998776868E-3</v>
      </c>
      <c r="L24" s="27">
        <f t="shared" si="8"/>
        <v>-1.0143400626742892E-3</v>
      </c>
      <c r="M24" s="27">
        <f t="shared" si="8"/>
        <v>1.9024883151551851E-4</v>
      </c>
      <c r="N24" s="27">
        <f>N23/N16</f>
        <v>-1.3894724070948031E-3</v>
      </c>
      <c r="O24" s="27"/>
    </row>
    <row r="25" spans="1:15" x14ac:dyDescent="0.3">
      <c r="O25"/>
    </row>
    <row r="26" spans="1:15" x14ac:dyDescent="0.3">
      <c r="O26"/>
    </row>
    <row r="27" spans="1:15" x14ac:dyDescent="0.3">
      <c r="A27"/>
      <c r="I27"/>
      <c r="O27"/>
    </row>
    <row r="28" spans="1:15" x14ac:dyDescent="0.3">
      <c r="A28"/>
      <c r="I28"/>
      <c r="O28"/>
    </row>
    <row r="29" spans="1:15" x14ac:dyDescent="0.3">
      <c r="O29"/>
    </row>
    <row r="30" spans="1:15" x14ac:dyDescent="0.3">
      <c r="O30"/>
    </row>
    <row r="31" spans="1:15" x14ac:dyDescent="0.3">
      <c r="O31"/>
    </row>
    <row r="32" spans="1:15" x14ac:dyDescent="0.3">
      <c r="O32"/>
    </row>
    <row r="33" spans="15:15" x14ac:dyDescent="0.3">
      <c r="O33"/>
    </row>
    <row r="34" spans="15:15" x14ac:dyDescent="0.3">
      <c r="O34"/>
    </row>
    <row r="35" spans="15:15" x14ac:dyDescent="0.3">
      <c r="O35"/>
    </row>
    <row r="36" spans="15:15" x14ac:dyDescent="0.3">
      <c r="O36"/>
    </row>
    <row r="37" spans="15:15" x14ac:dyDescent="0.3">
      <c r="O37"/>
    </row>
  </sheetData>
  <phoneticPr fontId="7" type="noConversion"/>
  <printOptions horizontalCentered="1" verticalCentered="1" gridLines="1" gridLinesSet="0"/>
  <pageMargins left="0.25" right="0.24" top="1" bottom="1" header="0.5" footer="0.5"/>
  <pageSetup scale="80" orientation="landscape" horizontalDpi="300" verticalDpi="300" r:id="rId1"/>
  <headerFooter alignWithMargins="0">
    <oddHeader>&amp;C&amp;"Arial,Bold Italic"&amp;12TW MCF PRA (99)12 Month Historical</oddHeader>
    <oddFooter>&amp;L&amp;F&amp;CPage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zoomScale="90" workbookViewId="0"/>
  </sheetViews>
  <sheetFormatPr defaultColWidth="9.109375" defaultRowHeight="13.8" x14ac:dyDescent="0.3"/>
  <cols>
    <col min="1" max="1" width="16.109375" style="20" customWidth="1"/>
    <col min="2" max="14" width="11.5546875" style="20" customWidth="1"/>
    <col min="15" max="16384" width="9.109375" style="20"/>
  </cols>
  <sheetData>
    <row r="1" spans="1:14" ht="12" customHeight="1" x14ac:dyDescent="0.3">
      <c r="A1" s="18" t="s">
        <v>49</v>
      </c>
      <c r="B1" s="19"/>
      <c r="C1" s="19"/>
      <c r="D1" s="19"/>
      <c r="E1" s="19"/>
      <c r="F1" s="19"/>
      <c r="G1" s="19"/>
      <c r="H1" s="28" t="s">
        <v>2</v>
      </c>
      <c r="I1" s="21">
        <f ca="1">NOW()</f>
        <v>37285.808733796293</v>
      </c>
      <c r="J1" s="19"/>
      <c r="K1" s="19"/>
      <c r="L1" s="19"/>
      <c r="M1" s="19"/>
      <c r="N1" s="19"/>
    </row>
    <row r="2" spans="1:14" ht="12" customHeight="1" x14ac:dyDescent="0.3">
      <c r="A2" s="18" t="s">
        <v>31</v>
      </c>
      <c r="B2" s="19"/>
      <c r="C2" s="19"/>
      <c r="D2" s="19"/>
      <c r="E2" s="19"/>
      <c r="F2" s="19"/>
      <c r="G2" s="19"/>
      <c r="H2" s="19" t="s">
        <v>57</v>
      </c>
      <c r="I2" s="19"/>
      <c r="J2" s="19"/>
      <c r="K2" s="19"/>
      <c r="L2" s="19"/>
      <c r="M2" s="19"/>
      <c r="N2" s="19"/>
    </row>
    <row r="3" spans="1:14" ht="12" customHeight="1" x14ac:dyDescent="0.3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" customHeight="1" x14ac:dyDescent="0.3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12" customHeight="1" x14ac:dyDescent="0.3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3" t="s">
        <v>17</v>
      </c>
    </row>
    <row r="6" spans="1:14" ht="12" customHeight="1" x14ac:dyDescent="0.3">
      <c r="A6" s="18"/>
      <c r="B6" s="22">
        <v>1999</v>
      </c>
      <c r="C6" s="22">
        <v>1999</v>
      </c>
      <c r="D6" s="22">
        <v>1999</v>
      </c>
      <c r="E6" s="22">
        <v>1999</v>
      </c>
      <c r="F6" s="22">
        <v>1999</v>
      </c>
      <c r="G6" s="22">
        <v>1999</v>
      </c>
      <c r="H6" s="22">
        <v>1999</v>
      </c>
      <c r="I6" s="22">
        <v>1999</v>
      </c>
      <c r="J6" s="22">
        <v>1999</v>
      </c>
      <c r="K6" s="22">
        <v>2000</v>
      </c>
      <c r="L6" s="22">
        <v>2000</v>
      </c>
      <c r="M6" s="22">
        <v>2000</v>
      </c>
      <c r="N6" s="23" t="s">
        <v>18</v>
      </c>
    </row>
    <row r="7" spans="1:14" ht="12" customHeight="1" x14ac:dyDescent="0.3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2" customHeight="1" x14ac:dyDescent="0.3">
      <c r="A8" s="24" t="s">
        <v>19</v>
      </c>
      <c r="B8" s="19">
        <v>86053104</v>
      </c>
      <c r="C8" s="19">
        <v>81833389</v>
      </c>
      <c r="D8" s="19">
        <v>83973561</v>
      </c>
      <c r="E8" s="19">
        <v>91168592</v>
      </c>
      <c r="F8" s="19">
        <v>106536073</v>
      </c>
      <c r="G8" s="19">
        <v>86136465</v>
      </c>
      <c r="H8" s="19">
        <v>74464290</v>
      </c>
      <c r="I8" s="19">
        <v>78020145</v>
      </c>
      <c r="J8" s="19">
        <v>86918292</v>
      </c>
      <c r="K8" s="19">
        <v>87286135</v>
      </c>
      <c r="L8" s="19">
        <v>86295363</v>
      </c>
      <c r="M8" s="19">
        <v>91081855</v>
      </c>
      <c r="N8" s="19">
        <f>SUM(B8:M8)</f>
        <v>1039767264</v>
      </c>
    </row>
    <row r="9" spans="1:14" ht="12" customHeight="1" x14ac:dyDescent="0.3">
      <c r="A9" s="24" t="s">
        <v>20</v>
      </c>
      <c r="B9" s="19">
        <v>85624156</v>
      </c>
      <c r="C9" s="19">
        <v>81389433</v>
      </c>
      <c r="D9" s="19">
        <v>83366198</v>
      </c>
      <c r="E9" s="19">
        <v>90777204</v>
      </c>
      <c r="F9" s="19">
        <v>105856502</v>
      </c>
      <c r="G9" s="19">
        <v>85563427</v>
      </c>
      <c r="H9" s="19">
        <v>73865646</v>
      </c>
      <c r="I9" s="19">
        <v>77258482</v>
      </c>
      <c r="J9" s="19">
        <v>86203879</v>
      </c>
      <c r="K9" s="19">
        <v>86955077</v>
      </c>
      <c r="L9" s="19">
        <v>85641502</v>
      </c>
      <c r="M9" s="19">
        <v>90580498</v>
      </c>
      <c r="N9" s="19">
        <f>SUM(B9:M9)</f>
        <v>1033082004</v>
      </c>
    </row>
    <row r="10" spans="1:14" ht="12" customHeight="1" x14ac:dyDescent="0.3">
      <c r="A10" s="24" t="s">
        <v>21</v>
      </c>
      <c r="B10" s="19">
        <f>+B9+B19+B20+B21</f>
        <v>86032838</v>
      </c>
      <c r="C10" s="19">
        <f t="shared" ref="C10:M10" si="0">+C9+C19+C20+C21</f>
        <v>81840670</v>
      </c>
      <c r="D10" s="19">
        <f t="shared" si="0"/>
        <v>83813731</v>
      </c>
      <c r="E10" s="19">
        <f t="shared" si="0"/>
        <v>91251028</v>
      </c>
      <c r="F10" s="19">
        <f t="shared" si="0"/>
        <v>106382631</v>
      </c>
      <c r="G10" s="19">
        <f t="shared" si="0"/>
        <v>86081485</v>
      </c>
      <c r="H10" s="19">
        <f t="shared" si="0"/>
        <v>74294314</v>
      </c>
      <c r="I10" s="19">
        <f t="shared" si="0"/>
        <v>78010189</v>
      </c>
      <c r="J10" s="19">
        <f t="shared" si="0"/>
        <v>86843062</v>
      </c>
      <c r="K10" s="19">
        <f t="shared" si="0"/>
        <v>87272849</v>
      </c>
      <c r="L10" s="19">
        <f t="shared" si="0"/>
        <v>86187024</v>
      </c>
      <c r="M10" s="19">
        <f t="shared" si="0"/>
        <v>91108821</v>
      </c>
      <c r="N10" s="19">
        <f>SUM(B10:M10)</f>
        <v>1039118642</v>
      </c>
    </row>
    <row r="11" spans="1:14" ht="12" customHeight="1" x14ac:dyDescent="0.3">
      <c r="A11" s="24" t="s">
        <v>22</v>
      </c>
      <c r="B11" s="19">
        <f t="shared" ref="B11:M11" si="1">-B8+B10</f>
        <v>-20266</v>
      </c>
      <c r="C11" s="19">
        <f t="shared" si="1"/>
        <v>7281</v>
      </c>
      <c r="D11" s="19">
        <f t="shared" si="1"/>
        <v>-159830</v>
      </c>
      <c r="E11" s="19">
        <f t="shared" si="1"/>
        <v>82436</v>
      </c>
      <c r="F11" s="19">
        <f t="shared" si="1"/>
        <v>-153442</v>
      </c>
      <c r="G11" s="19">
        <f t="shared" si="1"/>
        <v>-54980</v>
      </c>
      <c r="H11" s="19">
        <f t="shared" si="1"/>
        <v>-169976</v>
      </c>
      <c r="I11" s="19">
        <f t="shared" si="1"/>
        <v>-9956</v>
      </c>
      <c r="J11" s="19">
        <f t="shared" si="1"/>
        <v>-75230</v>
      </c>
      <c r="K11" s="19">
        <f t="shared" si="1"/>
        <v>-13286</v>
      </c>
      <c r="L11" s="19">
        <f t="shared" si="1"/>
        <v>-108339</v>
      </c>
      <c r="M11" s="19">
        <f t="shared" si="1"/>
        <v>26966</v>
      </c>
      <c r="N11" s="19">
        <f>SUM(B11:M11)</f>
        <v>-648622</v>
      </c>
    </row>
    <row r="12" spans="1:14" ht="12" customHeight="1" x14ac:dyDescent="0.3">
      <c r="A12" s="26" t="s">
        <v>23</v>
      </c>
      <c r="B12" s="27">
        <f t="shared" ref="B12:M12" si="2">B11/B8</f>
        <v>-2.3550574073423312E-4</v>
      </c>
      <c r="C12" s="27">
        <f t="shared" si="2"/>
        <v>8.8973462897888779E-5</v>
      </c>
      <c r="D12" s="27">
        <f t="shared" si="2"/>
        <v>-1.9033371706125455E-3</v>
      </c>
      <c r="E12" s="27">
        <f t="shared" si="2"/>
        <v>9.042149076954046E-4</v>
      </c>
      <c r="F12" s="27">
        <f t="shared" si="2"/>
        <v>-1.4402821098915481E-3</v>
      </c>
      <c r="G12" s="27">
        <f t="shared" si="2"/>
        <v>-6.3828948634007672E-4</v>
      </c>
      <c r="H12" s="27">
        <f t="shared" si="2"/>
        <v>-2.2826511875692363E-3</v>
      </c>
      <c r="I12" s="27">
        <f t="shared" si="2"/>
        <v>-1.2760806840335915E-4</v>
      </c>
      <c r="J12" s="27">
        <f t="shared" si="2"/>
        <v>-8.6552552137126671E-4</v>
      </c>
      <c r="K12" s="27">
        <f t="shared" si="2"/>
        <v>-1.522120323004335E-4</v>
      </c>
      <c r="L12" s="27">
        <f t="shared" si="2"/>
        <v>-1.2554440497573433E-3</v>
      </c>
      <c r="M12" s="27">
        <f t="shared" si="2"/>
        <v>2.9606335971088863E-4</v>
      </c>
      <c r="N12" s="27">
        <f>N11/N8</f>
        <v>-6.2381460011035701E-4</v>
      </c>
    </row>
    <row r="13" spans="1:14" ht="12" customHeight="1" x14ac:dyDescent="0.3">
      <c r="A13" s="24" t="s">
        <v>24</v>
      </c>
      <c r="B13" s="19">
        <f t="shared" ref="B13:M13" si="3">-B8+B10</f>
        <v>-20266</v>
      </c>
      <c r="C13" s="19">
        <f t="shared" si="3"/>
        <v>7281</v>
      </c>
      <c r="D13" s="19">
        <f t="shared" si="3"/>
        <v>-159830</v>
      </c>
      <c r="E13" s="19">
        <f t="shared" si="3"/>
        <v>82436</v>
      </c>
      <c r="F13" s="19">
        <f t="shared" si="3"/>
        <v>-153442</v>
      </c>
      <c r="G13" s="19">
        <f t="shared" si="3"/>
        <v>-54980</v>
      </c>
      <c r="H13" s="19">
        <f t="shared" si="3"/>
        <v>-169976</v>
      </c>
      <c r="I13" s="19">
        <f t="shared" si="3"/>
        <v>-9956</v>
      </c>
      <c r="J13" s="19">
        <f t="shared" si="3"/>
        <v>-75230</v>
      </c>
      <c r="K13" s="19">
        <f t="shared" si="3"/>
        <v>-13286</v>
      </c>
      <c r="L13" s="19">
        <f t="shared" si="3"/>
        <v>-108339</v>
      </c>
      <c r="M13" s="19">
        <f t="shared" si="3"/>
        <v>26966</v>
      </c>
      <c r="N13" s="19">
        <f>SUM(B13:M13)</f>
        <v>-648622</v>
      </c>
    </row>
    <row r="14" spans="1:14" ht="12" customHeight="1" x14ac:dyDescent="0.3">
      <c r="A14" s="26" t="s">
        <v>23</v>
      </c>
      <c r="B14" s="27">
        <f t="shared" ref="B14:M14" si="4">B13/B8</f>
        <v>-2.3550574073423312E-4</v>
      </c>
      <c r="C14" s="27">
        <f t="shared" si="4"/>
        <v>8.8973462897888779E-5</v>
      </c>
      <c r="D14" s="27">
        <f t="shared" si="4"/>
        <v>-1.9033371706125455E-3</v>
      </c>
      <c r="E14" s="27">
        <f t="shared" si="4"/>
        <v>9.042149076954046E-4</v>
      </c>
      <c r="F14" s="27">
        <f t="shared" si="4"/>
        <v>-1.4402821098915481E-3</v>
      </c>
      <c r="G14" s="27">
        <f t="shared" si="4"/>
        <v>-6.3828948634007672E-4</v>
      </c>
      <c r="H14" s="27">
        <f t="shared" si="4"/>
        <v>-2.2826511875692363E-3</v>
      </c>
      <c r="I14" s="27">
        <f t="shared" si="4"/>
        <v>-1.2760806840335915E-4</v>
      </c>
      <c r="J14" s="27">
        <f t="shared" si="4"/>
        <v>-8.6552552137126671E-4</v>
      </c>
      <c r="K14" s="27">
        <f t="shared" si="4"/>
        <v>-1.522120323004335E-4</v>
      </c>
      <c r="L14" s="27">
        <f t="shared" si="4"/>
        <v>-1.2554440497573433E-3</v>
      </c>
      <c r="M14" s="27">
        <f t="shared" si="4"/>
        <v>2.9606335971088863E-4</v>
      </c>
      <c r="N14" s="27">
        <f>N13/N8</f>
        <v>-6.2381460011035701E-4</v>
      </c>
    </row>
    <row r="15" spans="1:14" ht="12" customHeight="1" x14ac:dyDescent="0.3">
      <c r="A15" s="24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 t="s">
        <v>1</v>
      </c>
    </row>
    <row r="16" spans="1:14" ht="12" customHeight="1" x14ac:dyDescent="0.3">
      <c r="A16" s="24" t="s">
        <v>25</v>
      </c>
      <c r="B16" s="19">
        <v>47336601</v>
      </c>
      <c r="C16" s="19">
        <v>46005987</v>
      </c>
      <c r="D16" s="19">
        <v>47062508</v>
      </c>
      <c r="E16" s="19">
        <v>51533704</v>
      </c>
      <c r="F16" s="19">
        <v>54688111</v>
      </c>
      <c r="G16" s="19">
        <v>48238978</v>
      </c>
      <c r="H16" s="19">
        <v>45460478</v>
      </c>
      <c r="I16" s="19">
        <v>46083145</v>
      </c>
      <c r="J16" s="19">
        <v>50406504</v>
      </c>
      <c r="K16" s="19">
        <v>49367618</v>
      </c>
      <c r="L16" s="19">
        <v>49500953</v>
      </c>
      <c r="M16" s="19">
        <v>52494591</v>
      </c>
      <c r="N16" s="19">
        <f>SUM(B16:M16)</f>
        <v>588179178</v>
      </c>
    </row>
    <row r="17" spans="1:14" ht="12" customHeight="1" x14ac:dyDescent="0.3">
      <c r="A17" s="2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ht="12" customHeight="1" x14ac:dyDescent="0.3">
      <c r="A18" s="24" t="s">
        <v>26</v>
      </c>
      <c r="B18" s="19">
        <v>46907653</v>
      </c>
      <c r="C18" s="19">
        <v>45562031</v>
      </c>
      <c r="D18" s="19">
        <v>46455145</v>
      </c>
      <c r="E18" s="19">
        <v>51142316</v>
      </c>
      <c r="F18" s="19">
        <v>54008540</v>
      </c>
      <c r="G18" s="19">
        <v>47665940</v>
      </c>
      <c r="H18" s="19">
        <v>44861834</v>
      </c>
      <c r="I18" s="19">
        <v>45321482</v>
      </c>
      <c r="J18" s="19">
        <v>49692091</v>
      </c>
      <c r="K18" s="19">
        <v>49036560</v>
      </c>
      <c r="L18" s="19">
        <v>48847092</v>
      </c>
      <c r="M18" s="19">
        <v>51993234</v>
      </c>
      <c r="N18" s="19">
        <f t="shared" ref="N18:N23" si="5">SUM(B18:M18)</f>
        <v>581493918</v>
      </c>
    </row>
    <row r="19" spans="1:14" ht="12" customHeight="1" x14ac:dyDescent="0.3">
      <c r="A19" s="24" t="s">
        <v>27</v>
      </c>
      <c r="B19" s="19">
        <v>446528</v>
      </c>
      <c r="C19" s="19">
        <v>414041</v>
      </c>
      <c r="D19" s="19">
        <v>456714</v>
      </c>
      <c r="E19" s="19">
        <v>481888</v>
      </c>
      <c r="F19" s="19">
        <v>510168</v>
      </c>
      <c r="G19" s="19">
        <v>434710</v>
      </c>
      <c r="H19" s="19">
        <v>507677</v>
      </c>
      <c r="I19" s="19">
        <v>540632</v>
      </c>
      <c r="J19" s="19">
        <v>550737</v>
      </c>
      <c r="K19" s="19">
        <v>554124</v>
      </c>
      <c r="L19" s="19">
        <v>505287</v>
      </c>
      <c r="M19" s="19">
        <v>543998</v>
      </c>
      <c r="N19" s="19">
        <f t="shared" si="5"/>
        <v>5946504</v>
      </c>
    </row>
    <row r="20" spans="1:14" ht="12" customHeight="1" x14ac:dyDescent="0.3">
      <c r="A20" s="24" t="s">
        <v>28</v>
      </c>
      <c r="B20" s="19">
        <v>-42263</v>
      </c>
      <c r="C20" s="19">
        <v>29707</v>
      </c>
      <c r="D20" s="19">
        <v>-23858</v>
      </c>
      <c r="E20" s="19">
        <v>-20034</v>
      </c>
      <c r="F20" s="19">
        <v>6095</v>
      </c>
      <c r="G20" s="19">
        <v>73952</v>
      </c>
      <c r="H20" s="19">
        <v>-91844</v>
      </c>
      <c r="I20" s="19">
        <v>201425</v>
      </c>
      <c r="J20" s="19">
        <v>83165</v>
      </c>
      <c r="K20" s="19">
        <v>-243979</v>
      </c>
      <c r="L20" s="19">
        <v>35932</v>
      </c>
      <c r="M20" s="19">
        <v>-15675</v>
      </c>
      <c r="N20" s="19">
        <f t="shared" si="5"/>
        <v>-7377</v>
      </c>
    </row>
    <row r="21" spans="1:14" ht="12" customHeight="1" x14ac:dyDescent="0.3">
      <c r="A21" s="24" t="s">
        <v>29</v>
      </c>
      <c r="B21" s="19">
        <v>4417</v>
      </c>
      <c r="C21" s="19">
        <v>7489</v>
      </c>
      <c r="D21" s="19">
        <v>14677</v>
      </c>
      <c r="E21" s="19">
        <v>11970</v>
      </c>
      <c r="F21" s="19">
        <v>9866</v>
      </c>
      <c r="G21" s="19">
        <v>9396</v>
      </c>
      <c r="H21" s="19">
        <v>12835</v>
      </c>
      <c r="I21" s="19">
        <v>9650</v>
      </c>
      <c r="J21" s="19">
        <v>5281</v>
      </c>
      <c r="K21" s="19">
        <v>7627</v>
      </c>
      <c r="L21" s="19">
        <v>4303</v>
      </c>
      <c r="M21" s="19">
        <v>0</v>
      </c>
      <c r="N21" s="19">
        <f t="shared" si="5"/>
        <v>97511</v>
      </c>
    </row>
    <row r="22" spans="1:14" ht="12" customHeight="1" x14ac:dyDescent="0.3">
      <c r="A22" s="24" t="s">
        <v>21</v>
      </c>
      <c r="B22" s="19">
        <f t="shared" ref="B22:M22" si="6">SUM(B18:B21)</f>
        <v>47316335</v>
      </c>
      <c r="C22" s="19">
        <f t="shared" si="6"/>
        <v>46013268</v>
      </c>
      <c r="D22" s="19">
        <f t="shared" si="6"/>
        <v>46902678</v>
      </c>
      <c r="E22" s="19">
        <f t="shared" si="6"/>
        <v>51616140</v>
      </c>
      <c r="F22" s="19">
        <f t="shared" si="6"/>
        <v>54534669</v>
      </c>
      <c r="G22" s="19">
        <f t="shared" si="6"/>
        <v>48183998</v>
      </c>
      <c r="H22" s="19">
        <f t="shared" si="6"/>
        <v>45290502</v>
      </c>
      <c r="I22" s="19">
        <f t="shared" si="6"/>
        <v>46073189</v>
      </c>
      <c r="J22" s="19">
        <f t="shared" si="6"/>
        <v>50331274</v>
      </c>
      <c r="K22" s="19">
        <f t="shared" si="6"/>
        <v>49354332</v>
      </c>
      <c r="L22" s="19">
        <f t="shared" si="6"/>
        <v>49392614</v>
      </c>
      <c r="M22" s="19">
        <f t="shared" si="6"/>
        <v>52521557</v>
      </c>
      <c r="N22" s="19">
        <f t="shared" si="5"/>
        <v>587530556</v>
      </c>
    </row>
    <row r="23" spans="1:14" ht="12" customHeight="1" x14ac:dyDescent="0.3">
      <c r="A23" s="24" t="s">
        <v>51</v>
      </c>
      <c r="B23" s="19">
        <f t="shared" ref="B23:M23" si="7">-B16+B22</f>
        <v>-20266</v>
      </c>
      <c r="C23" s="19">
        <f t="shared" si="7"/>
        <v>7281</v>
      </c>
      <c r="D23" s="19">
        <f t="shared" si="7"/>
        <v>-159830</v>
      </c>
      <c r="E23" s="19">
        <f t="shared" si="7"/>
        <v>82436</v>
      </c>
      <c r="F23" s="19">
        <f t="shared" si="7"/>
        <v>-153442</v>
      </c>
      <c r="G23" s="19">
        <f t="shared" si="7"/>
        <v>-54980</v>
      </c>
      <c r="H23" s="19">
        <f t="shared" si="7"/>
        <v>-169976</v>
      </c>
      <c r="I23" s="19">
        <f t="shared" si="7"/>
        <v>-9956</v>
      </c>
      <c r="J23" s="19">
        <f t="shared" si="7"/>
        <v>-75230</v>
      </c>
      <c r="K23" s="19">
        <f t="shared" si="7"/>
        <v>-13286</v>
      </c>
      <c r="L23" s="19">
        <f t="shared" si="7"/>
        <v>-108339</v>
      </c>
      <c r="M23" s="19">
        <f t="shared" si="7"/>
        <v>26966</v>
      </c>
      <c r="N23" s="19">
        <f t="shared" si="5"/>
        <v>-648622</v>
      </c>
    </row>
    <row r="24" spans="1:14" ht="12" customHeight="1" x14ac:dyDescent="0.3">
      <c r="A24" s="26" t="s">
        <v>23</v>
      </c>
      <c r="B24" s="27">
        <f t="shared" ref="B24:M24" si="8">B23/B16</f>
        <v>-4.2812537385183188E-4</v>
      </c>
      <c r="C24" s="27">
        <f t="shared" si="8"/>
        <v>1.5826201055093111E-4</v>
      </c>
      <c r="D24" s="27">
        <f t="shared" si="8"/>
        <v>-3.3961216006592764E-3</v>
      </c>
      <c r="E24" s="27">
        <f t="shared" si="8"/>
        <v>1.5996521422174505E-3</v>
      </c>
      <c r="F24" s="27">
        <f t="shared" si="8"/>
        <v>-2.8057652238161965E-3</v>
      </c>
      <c r="G24" s="27">
        <f t="shared" si="8"/>
        <v>-1.1397422225653288E-3</v>
      </c>
      <c r="H24" s="27">
        <f t="shared" si="8"/>
        <v>-3.7389840027638953E-3</v>
      </c>
      <c r="I24" s="27">
        <f t="shared" si="8"/>
        <v>-2.1604428256795407E-4</v>
      </c>
      <c r="J24" s="27">
        <f t="shared" si="8"/>
        <v>-1.4924661309580209E-3</v>
      </c>
      <c r="K24" s="27">
        <f t="shared" si="8"/>
        <v>-2.6912378069365227E-4</v>
      </c>
      <c r="L24" s="27">
        <f t="shared" si="8"/>
        <v>-2.1886245301176322E-3</v>
      </c>
      <c r="M24" s="27">
        <f t="shared" si="8"/>
        <v>5.1369102009005076E-4</v>
      </c>
      <c r="N24" s="27">
        <f>N23/N16</f>
        <v>-1.1027626006849226E-3</v>
      </c>
    </row>
    <row r="25" spans="1:14" x14ac:dyDescent="0.3">
      <c r="A25" s="2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3">
      <c r="A26" s="1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3">
      <c r="A27" s="2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3">
      <c r="A28" s="1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3">
      <c r="A29" s="1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1" spans="1:14" x14ac:dyDescent="0.3">
      <c r="L31"/>
    </row>
    <row r="32" spans="1:14" x14ac:dyDescent="0.3">
      <c r="L32"/>
    </row>
    <row r="33" spans="12:12" x14ac:dyDescent="0.3">
      <c r="L33"/>
    </row>
  </sheetData>
  <phoneticPr fontId="7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(99)12 Month Historical</oddHeader>
    <oddFooter>&amp;L&amp;F&amp;CPage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/>
  </sheetViews>
  <sheetFormatPr defaultRowHeight="13.2" x14ac:dyDescent="0.25"/>
  <cols>
    <col min="1" max="1" width="16.6640625" customWidth="1"/>
    <col min="2" max="9" width="9.88671875" customWidth="1"/>
    <col min="10" max="12" width="12.109375" customWidth="1"/>
    <col min="13" max="13" width="11.88671875" customWidth="1"/>
    <col min="14" max="14" width="10" customWidth="1"/>
  </cols>
  <sheetData>
    <row r="1" spans="1:14" ht="13.8" x14ac:dyDescent="0.3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8" x14ac:dyDescent="0.3">
      <c r="A2" s="34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3.8" x14ac:dyDescent="0.3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3.8" x14ac:dyDescent="0.3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x14ac:dyDescent="0.25">
      <c r="A6" s="34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2000</v>
      </c>
      <c r="L6" s="22">
        <v>2000</v>
      </c>
      <c r="M6" s="22">
        <v>2000</v>
      </c>
      <c r="N6" s="23" t="s">
        <v>18</v>
      </c>
    </row>
    <row r="7" spans="1:14" ht="13.8" x14ac:dyDescent="0.3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x14ac:dyDescent="0.25">
      <c r="A8" s="34" t="s">
        <v>19</v>
      </c>
      <c r="B8" s="25">
        <v>84997926</v>
      </c>
      <c r="C8" s="25">
        <v>84279045</v>
      </c>
      <c r="D8" s="25">
        <v>88970912</v>
      </c>
      <c r="E8" s="25">
        <v>81717385</v>
      </c>
      <c r="F8" s="25">
        <v>95960945</v>
      </c>
      <c r="G8" s="25">
        <v>86152339</v>
      </c>
      <c r="H8" s="25">
        <v>90880664</v>
      </c>
      <c r="I8" s="25">
        <v>94776094</v>
      </c>
      <c r="J8" s="25">
        <v>91841448</v>
      </c>
      <c r="K8" s="25">
        <v>92800937</v>
      </c>
      <c r="L8" s="25">
        <v>89259163</v>
      </c>
      <c r="M8" s="25">
        <v>97237997</v>
      </c>
      <c r="N8" s="19">
        <f>SUM(B8:M8)</f>
        <v>1078874855</v>
      </c>
    </row>
    <row r="9" spans="1:14" x14ac:dyDescent="0.25">
      <c r="A9" s="34" t="s">
        <v>20</v>
      </c>
      <c r="B9" s="25">
        <v>84608002</v>
      </c>
      <c r="C9" s="25">
        <v>83698206</v>
      </c>
      <c r="D9" s="25">
        <v>88462856</v>
      </c>
      <c r="E9" s="25">
        <v>81360611</v>
      </c>
      <c r="F9" s="25">
        <v>95457532</v>
      </c>
      <c r="G9" s="25">
        <v>85493481</v>
      </c>
      <c r="H9" s="25">
        <v>90276072</v>
      </c>
      <c r="I9" s="25">
        <v>94050011</v>
      </c>
      <c r="J9" s="25">
        <v>91170003</v>
      </c>
      <c r="K9" s="25">
        <v>92163364</v>
      </c>
      <c r="L9" s="25">
        <v>88717991</v>
      </c>
      <c r="M9" s="25">
        <v>96587769</v>
      </c>
      <c r="N9" s="19">
        <f>SUM(B9:M9)</f>
        <v>1072045898</v>
      </c>
    </row>
    <row r="10" spans="1:14" x14ac:dyDescent="0.25">
      <c r="A10" s="34" t="s">
        <v>21</v>
      </c>
      <c r="B10" s="19">
        <f t="shared" ref="B10:M10" si="0">+B9+B19+B20+B21</f>
        <v>84913350</v>
      </c>
      <c r="C10" s="19">
        <f t="shared" si="0"/>
        <v>84229734</v>
      </c>
      <c r="D10" s="19">
        <f t="shared" si="0"/>
        <v>88980727</v>
      </c>
      <c r="E10" s="19">
        <f t="shared" si="0"/>
        <v>81775041</v>
      </c>
      <c r="F10" s="19">
        <f t="shared" si="0"/>
        <v>95927133</v>
      </c>
      <c r="G10" s="19">
        <f t="shared" si="0"/>
        <v>86120635</v>
      </c>
      <c r="H10" s="19">
        <f t="shared" si="0"/>
        <v>90820017</v>
      </c>
      <c r="I10" s="19">
        <f t="shared" si="0"/>
        <v>94740237</v>
      </c>
      <c r="J10" s="19">
        <f t="shared" si="0"/>
        <v>91780446</v>
      </c>
      <c r="K10" s="19">
        <f t="shared" si="0"/>
        <v>92831299</v>
      </c>
      <c r="L10" s="19">
        <f t="shared" si="0"/>
        <v>89186628</v>
      </c>
      <c r="M10" s="19">
        <f t="shared" si="0"/>
        <v>97220687</v>
      </c>
      <c r="N10" s="19">
        <f>SUM(B10:M10)</f>
        <v>1078525934</v>
      </c>
    </row>
    <row r="11" spans="1:14" x14ac:dyDescent="0.25">
      <c r="A11" s="34" t="s">
        <v>22</v>
      </c>
      <c r="B11" s="19">
        <f t="shared" ref="B11:M11" si="1">-B8+B10</f>
        <v>-84576</v>
      </c>
      <c r="C11" s="19">
        <f t="shared" si="1"/>
        <v>-49311</v>
      </c>
      <c r="D11" s="19">
        <f t="shared" si="1"/>
        <v>9815</v>
      </c>
      <c r="E11" s="19">
        <f t="shared" si="1"/>
        <v>57656</v>
      </c>
      <c r="F11" s="19">
        <f t="shared" si="1"/>
        <v>-33812</v>
      </c>
      <c r="G11" s="19">
        <f t="shared" si="1"/>
        <v>-31704</v>
      </c>
      <c r="H11" s="19">
        <f t="shared" si="1"/>
        <v>-60647</v>
      </c>
      <c r="I11" s="19">
        <f t="shared" si="1"/>
        <v>-35857</v>
      </c>
      <c r="J11" s="19">
        <f t="shared" si="1"/>
        <v>-61002</v>
      </c>
      <c r="K11" s="19">
        <f t="shared" si="1"/>
        <v>30362</v>
      </c>
      <c r="L11" s="19">
        <f t="shared" si="1"/>
        <v>-72535</v>
      </c>
      <c r="M11" s="19">
        <f t="shared" si="1"/>
        <v>-17310</v>
      </c>
      <c r="N11" s="19">
        <f>SUM(B11:M11)</f>
        <v>-348921</v>
      </c>
    </row>
    <row r="12" spans="1:14" x14ac:dyDescent="0.25">
      <c r="A12" s="35" t="s">
        <v>23</v>
      </c>
      <c r="B12" s="27">
        <f t="shared" ref="B12:M12" si="2">B11/B8</f>
        <v>-9.9503604358534576E-4</v>
      </c>
      <c r="C12" s="27">
        <f t="shared" si="2"/>
        <v>-5.8509205936066314E-4</v>
      </c>
      <c r="D12" s="27">
        <f t="shared" si="2"/>
        <v>1.1031695392759377E-4</v>
      </c>
      <c r="E12" s="27">
        <f t="shared" si="2"/>
        <v>7.0555365911427535E-4</v>
      </c>
      <c r="F12" s="27">
        <f t="shared" si="2"/>
        <v>-3.5235167807069843E-4</v>
      </c>
      <c r="G12" s="27">
        <f t="shared" si="2"/>
        <v>-3.6799929483052109E-4</v>
      </c>
      <c r="H12" s="27">
        <f t="shared" si="2"/>
        <v>-6.6732567006772751E-4</v>
      </c>
      <c r="I12" s="27">
        <f t="shared" si="2"/>
        <v>-3.7833380219277657E-4</v>
      </c>
      <c r="J12" s="27">
        <f t="shared" si="2"/>
        <v>-6.6420991097614231E-4</v>
      </c>
      <c r="K12" s="27">
        <f t="shared" si="2"/>
        <v>3.2717342067354341E-4</v>
      </c>
      <c r="L12" s="27">
        <f t="shared" si="2"/>
        <v>-8.1263365644600541E-4</v>
      </c>
      <c r="M12" s="27">
        <f t="shared" si="2"/>
        <v>-1.7801683019036271E-4</v>
      </c>
      <c r="N12" s="27">
        <f>N11/N8</f>
        <v>-3.2341193084901398E-4</v>
      </c>
    </row>
    <row r="13" spans="1:14" x14ac:dyDescent="0.25">
      <c r="A13" s="34" t="s">
        <v>24</v>
      </c>
      <c r="B13" s="19">
        <f t="shared" ref="B13:M13" si="3">-B8+B10</f>
        <v>-84576</v>
      </c>
      <c r="C13" s="19">
        <f t="shared" si="3"/>
        <v>-49311</v>
      </c>
      <c r="D13" s="19">
        <f t="shared" si="3"/>
        <v>9815</v>
      </c>
      <c r="E13" s="19">
        <f t="shared" si="3"/>
        <v>57656</v>
      </c>
      <c r="F13" s="19">
        <f t="shared" si="3"/>
        <v>-33812</v>
      </c>
      <c r="G13" s="19">
        <f t="shared" si="3"/>
        <v>-31704</v>
      </c>
      <c r="H13" s="19">
        <f t="shared" si="3"/>
        <v>-60647</v>
      </c>
      <c r="I13" s="19">
        <f t="shared" si="3"/>
        <v>-35857</v>
      </c>
      <c r="J13" s="19">
        <f t="shared" si="3"/>
        <v>-61002</v>
      </c>
      <c r="K13" s="19">
        <f t="shared" si="3"/>
        <v>30362</v>
      </c>
      <c r="L13" s="19">
        <f t="shared" si="3"/>
        <v>-72535</v>
      </c>
      <c r="M13" s="19">
        <f t="shared" si="3"/>
        <v>-17310</v>
      </c>
      <c r="N13" s="19">
        <f>SUM(B13:M13)</f>
        <v>-348921</v>
      </c>
    </row>
    <row r="14" spans="1:14" x14ac:dyDescent="0.25">
      <c r="A14" s="35" t="s">
        <v>23</v>
      </c>
      <c r="B14" s="27">
        <f t="shared" ref="B14:M14" si="4">B13/B8</f>
        <v>-9.9503604358534576E-4</v>
      </c>
      <c r="C14" s="27">
        <f t="shared" si="4"/>
        <v>-5.8509205936066314E-4</v>
      </c>
      <c r="D14" s="27">
        <f t="shared" si="4"/>
        <v>1.1031695392759377E-4</v>
      </c>
      <c r="E14" s="27">
        <f t="shared" si="4"/>
        <v>7.0555365911427535E-4</v>
      </c>
      <c r="F14" s="27">
        <f t="shared" si="4"/>
        <v>-3.5235167807069843E-4</v>
      </c>
      <c r="G14" s="27">
        <f t="shared" si="4"/>
        <v>-3.6799929483052109E-4</v>
      </c>
      <c r="H14" s="27">
        <f t="shared" si="4"/>
        <v>-6.6732567006772751E-4</v>
      </c>
      <c r="I14" s="27">
        <f t="shared" si="4"/>
        <v>-3.7833380219277657E-4</v>
      </c>
      <c r="J14" s="27">
        <f t="shared" si="4"/>
        <v>-6.6420991097614231E-4</v>
      </c>
      <c r="K14" s="27">
        <f t="shared" si="4"/>
        <v>3.2717342067354341E-4</v>
      </c>
      <c r="L14" s="27">
        <f t="shared" si="4"/>
        <v>-8.1263365644600541E-4</v>
      </c>
      <c r="M14" s="27">
        <f t="shared" si="4"/>
        <v>-1.7801683019036271E-4</v>
      </c>
      <c r="N14" s="27">
        <f>N13/N8</f>
        <v>-3.2341193084901398E-4</v>
      </c>
    </row>
    <row r="15" spans="1:14" ht="13.8" x14ac:dyDescent="0.3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9" t="s">
        <v>1</v>
      </c>
    </row>
    <row r="16" spans="1:14" x14ac:dyDescent="0.25">
      <c r="A16" s="34" t="s">
        <v>25</v>
      </c>
      <c r="B16" s="19">
        <v>48333294</v>
      </c>
      <c r="C16" s="19">
        <v>48613874</v>
      </c>
      <c r="D16" s="19">
        <v>51590330</v>
      </c>
      <c r="E16" s="19">
        <v>43866235</v>
      </c>
      <c r="F16" s="19">
        <v>54191452</v>
      </c>
      <c r="G16" s="19">
        <v>50655594</v>
      </c>
      <c r="H16" s="19">
        <v>54316515</v>
      </c>
      <c r="I16" s="19">
        <v>55523833</v>
      </c>
      <c r="J16" s="19">
        <v>51981580</v>
      </c>
      <c r="K16" s="19">
        <v>52487102</v>
      </c>
      <c r="L16" s="19">
        <v>50758353</v>
      </c>
      <c r="M16" s="19">
        <v>54945696</v>
      </c>
      <c r="N16" s="19">
        <f>SUM(B16:M16)</f>
        <v>617263858</v>
      </c>
    </row>
    <row r="17" spans="1:14" x14ac:dyDescent="0.25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5">
      <c r="A18" s="34" t="s">
        <v>26</v>
      </c>
      <c r="B18" s="19">
        <v>47943370</v>
      </c>
      <c r="C18" s="19">
        <v>48033035</v>
      </c>
      <c r="D18" s="19">
        <v>51082274</v>
      </c>
      <c r="E18" s="19">
        <v>43509461</v>
      </c>
      <c r="F18" s="19">
        <v>53688039</v>
      </c>
      <c r="G18" s="19">
        <v>49996736</v>
      </c>
      <c r="H18" s="19">
        <v>53711923</v>
      </c>
      <c r="I18" s="19">
        <v>54797750</v>
      </c>
      <c r="J18" s="19">
        <v>51310135</v>
      </c>
      <c r="K18" s="19">
        <v>51849529</v>
      </c>
      <c r="L18" s="19">
        <v>50217181</v>
      </c>
      <c r="M18" s="19">
        <v>54295468</v>
      </c>
      <c r="N18" s="19">
        <f t="shared" ref="N18:N23" si="5">SUM(B18:M18)</f>
        <v>610434901</v>
      </c>
    </row>
    <row r="19" spans="1:14" x14ac:dyDescent="0.25">
      <c r="A19" s="34" t="s">
        <v>27</v>
      </c>
      <c r="B19" s="19">
        <v>539382</v>
      </c>
      <c r="C19" s="19">
        <v>496370</v>
      </c>
      <c r="D19" s="19">
        <v>534632</v>
      </c>
      <c r="E19" s="19">
        <v>415755</v>
      </c>
      <c r="F19" s="19">
        <v>525516</v>
      </c>
      <c r="G19" s="19">
        <v>541891</v>
      </c>
      <c r="H19" s="19">
        <v>593016</v>
      </c>
      <c r="I19" s="19">
        <v>587942</v>
      </c>
      <c r="J19" s="19">
        <v>553462</v>
      </c>
      <c r="K19" s="19">
        <v>636417</v>
      </c>
      <c r="L19" s="19">
        <v>482999</v>
      </c>
      <c r="M19" s="19">
        <v>618661</v>
      </c>
      <c r="N19" s="19">
        <f t="shared" si="5"/>
        <v>6526043</v>
      </c>
    </row>
    <row r="20" spans="1:14" x14ac:dyDescent="0.25">
      <c r="A20" s="34" t="s">
        <v>28</v>
      </c>
      <c r="B20" s="19">
        <v>-235288</v>
      </c>
      <c r="C20" s="19">
        <v>34451</v>
      </c>
      <c r="D20" s="19">
        <v>-16761</v>
      </c>
      <c r="E20" s="19">
        <v>-1512</v>
      </c>
      <c r="F20" s="19">
        <v>-55915</v>
      </c>
      <c r="G20" s="19">
        <v>85263</v>
      </c>
      <c r="H20" s="19">
        <v>-49860</v>
      </c>
      <c r="I20" s="19">
        <v>102054</v>
      </c>
      <c r="J20" s="19">
        <v>56172</v>
      </c>
      <c r="K20" s="19">
        <v>30197</v>
      </c>
      <c r="L20" s="19">
        <v>-15395</v>
      </c>
      <c r="M20" s="19">
        <v>13470</v>
      </c>
      <c r="N20" s="19">
        <f t="shared" si="5"/>
        <v>-53124</v>
      </c>
    </row>
    <row r="21" spans="1:14" x14ac:dyDescent="0.25">
      <c r="A21" s="34" t="s">
        <v>29</v>
      </c>
      <c r="B21" s="19">
        <v>1254</v>
      </c>
      <c r="C21" s="19">
        <v>707</v>
      </c>
      <c r="D21" s="19">
        <v>0</v>
      </c>
      <c r="E21" s="19">
        <v>187</v>
      </c>
      <c r="F21" s="19">
        <v>0</v>
      </c>
      <c r="G21" s="19">
        <v>0</v>
      </c>
      <c r="H21" s="19">
        <v>789</v>
      </c>
      <c r="I21" s="19">
        <v>230</v>
      </c>
      <c r="J21" s="19">
        <v>809</v>
      </c>
      <c r="K21" s="19">
        <v>1321</v>
      </c>
      <c r="L21" s="19">
        <v>1033</v>
      </c>
      <c r="M21" s="19">
        <v>787</v>
      </c>
      <c r="N21" s="19">
        <f t="shared" si="5"/>
        <v>7117</v>
      </c>
    </row>
    <row r="22" spans="1:14" x14ac:dyDescent="0.25">
      <c r="A22" s="34" t="s">
        <v>21</v>
      </c>
      <c r="B22" s="19">
        <f t="shared" ref="B22:M22" si="6">SUM(B18:B21)</f>
        <v>48248718</v>
      </c>
      <c r="C22" s="19">
        <f t="shared" si="6"/>
        <v>48564563</v>
      </c>
      <c r="D22" s="19">
        <f t="shared" si="6"/>
        <v>51600145</v>
      </c>
      <c r="E22" s="19">
        <f t="shared" si="6"/>
        <v>43923891</v>
      </c>
      <c r="F22" s="19">
        <f t="shared" si="6"/>
        <v>54157640</v>
      </c>
      <c r="G22" s="19">
        <f t="shared" si="6"/>
        <v>50623890</v>
      </c>
      <c r="H22" s="19">
        <f t="shared" si="6"/>
        <v>54255868</v>
      </c>
      <c r="I22" s="19">
        <f t="shared" si="6"/>
        <v>55487976</v>
      </c>
      <c r="J22" s="19">
        <f t="shared" si="6"/>
        <v>51920578</v>
      </c>
      <c r="K22" s="19">
        <f t="shared" si="6"/>
        <v>52517464</v>
      </c>
      <c r="L22" s="19">
        <f t="shared" si="6"/>
        <v>50685818</v>
      </c>
      <c r="M22" s="19">
        <f t="shared" si="6"/>
        <v>54928386</v>
      </c>
      <c r="N22" s="19">
        <f t="shared" si="5"/>
        <v>616914937</v>
      </c>
    </row>
    <row r="23" spans="1:14" x14ac:dyDescent="0.25">
      <c r="A23" s="34" t="s">
        <v>50</v>
      </c>
      <c r="B23" s="19">
        <f t="shared" ref="B23:M23" si="7">-B16+B22</f>
        <v>-84576</v>
      </c>
      <c r="C23" s="19">
        <f t="shared" si="7"/>
        <v>-49311</v>
      </c>
      <c r="D23" s="19">
        <f t="shared" si="7"/>
        <v>9815</v>
      </c>
      <c r="E23" s="19">
        <f t="shared" si="7"/>
        <v>57656</v>
      </c>
      <c r="F23" s="19">
        <f t="shared" si="7"/>
        <v>-33812</v>
      </c>
      <c r="G23" s="19">
        <f t="shared" si="7"/>
        <v>-31704</v>
      </c>
      <c r="H23" s="19">
        <f t="shared" si="7"/>
        <v>-60647</v>
      </c>
      <c r="I23" s="19">
        <f t="shared" si="7"/>
        <v>-35857</v>
      </c>
      <c r="J23" s="19">
        <f t="shared" si="7"/>
        <v>-61002</v>
      </c>
      <c r="K23" s="19">
        <f t="shared" si="7"/>
        <v>30362</v>
      </c>
      <c r="L23" s="19">
        <f t="shared" si="7"/>
        <v>-72535</v>
      </c>
      <c r="M23" s="19">
        <f t="shared" si="7"/>
        <v>-17310</v>
      </c>
      <c r="N23" s="19">
        <f t="shared" si="5"/>
        <v>-348921</v>
      </c>
    </row>
    <row r="24" spans="1:14" x14ac:dyDescent="0.25">
      <c r="A24" s="35" t="s">
        <v>23</v>
      </c>
      <c r="B24" s="27">
        <f t="shared" ref="B24:M24" si="8">B23/B16</f>
        <v>-1.7498496998776868E-3</v>
      </c>
      <c r="C24" s="27">
        <f t="shared" si="8"/>
        <v>-1.0143400626742892E-3</v>
      </c>
      <c r="D24" s="27">
        <f t="shared" si="8"/>
        <v>1.9024883151551851E-4</v>
      </c>
      <c r="E24" s="27">
        <f t="shared" si="8"/>
        <v>1.3143594384154465E-3</v>
      </c>
      <c r="F24" s="27">
        <f t="shared" si="8"/>
        <v>-6.2393604068774534E-4</v>
      </c>
      <c r="G24" s="27">
        <f t="shared" si="8"/>
        <v>-6.2587362019681382E-4</v>
      </c>
      <c r="H24" s="27">
        <f t="shared" si="8"/>
        <v>-1.1165480701403616E-3</v>
      </c>
      <c r="I24" s="27">
        <f t="shared" si="8"/>
        <v>-6.4579475267854795E-4</v>
      </c>
      <c r="J24" s="27">
        <f t="shared" si="8"/>
        <v>-1.1735310854344943E-3</v>
      </c>
      <c r="K24" s="27">
        <f t="shared" si="8"/>
        <v>5.7846592482854167E-4</v>
      </c>
      <c r="L24" s="27">
        <f t="shared" si="8"/>
        <v>-1.4290258787553647E-3</v>
      </c>
      <c r="M24" s="27">
        <f t="shared" si="8"/>
        <v>-3.1503832438486176E-4</v>
      </c>
      <c r="N24" s="27">
        <f>N23/N16</f>
        <v>-5.6527041957476793E-4</v>
      </c>
    </row>
  </sheetData>
  <phoneticPr fontId="7" type="noConversion"/>
  <printOptions horizontalCentered="1" verticalCentered="1" gridLines="1"/>
  <pageMargins left="0.75" right="0.75" top="1" bottom="1" header="0.5" footer="0.5"/>
  <pageSetup scale="80" orientation="landscape" horizontalDpi="300" verticalDpi="300" r:id="rId1"/>
  <headerFooter alignWithMargins="0">
    <oddHeader>&amp;C&amp;"Arial,Bold Italic"&amp;12TW MCF Calendar Year History 2000</oddHeader>
    <oddFooter>&amp;L&amp;F&amp;C&amp;N&amp;R&amp;D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zoomScale="90" workbookViewId="0">
      <selection activeCell="B1" sqref="B1"/>
    </sheetView>
  </sheetViews>
  <sheetFormatPr defaultRowHeight="13.2" x14ac:dyDescent="0.25"/>
  <cols>
    <col min="1" max="1" width="16.44140625" customWidth="1"/>
    <col min="5" max="5" width="9.33203125" bestFit="1" customWidth="1"/>
    <col min="10" max="10" width="11.5546875" customWidth="1"/>
    <col min="11" max="11" width="11.109375" customWidth="1"/>
    <col min="12" max="12" width="10.44140625" customWidth="1"/>
    <col min="13" max="13" width="11.88671875" customWidth="1"/>
    <col min="14" max="14" width="10.5546875" customWidth="1"/>
  </cols>
  <sheetData>
    <row r="1" spans="1:14" ht="13.8" x14ac:dyDescent="0.3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8" x14ac:dyDescent="0.3">
      <c r="A2" s="34" t="s">
        <v>31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3.8" x14ac:dyDescent="0.3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3.8" x14ac:dyDescent="0.3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x14ac:dyDescent="0.25">
      <c r="A6" s="34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2000</v>
      </c>
      <c r="L6" s="22">
        <v>2000</v>
      </c>
      <c r="M6" s="22">
        <v>2000</v>
      </c>
      <c r="N6" s="23" t="s">
        <v>18</v>
      </c>
    </row>
    <row r="7" spans="1:14" ht="13.8" x14ac:dyDescent="0.3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x14ac:dyDescent="0.25">
      <c r="A8" s="34" t="s">
        <v>19</v>
      </c>
      <c r="B8" s="25">
        <v>87286135</v>
      </c>
      <c r="C8" s="25">
        <v>86295363</v>
      </c>
      <c r="D8" s="25">
        <v>91081855</v>
      </c>
      <c r="E8" s="25">
        <v>83808480</v>
      </c>
      <c r="F8" s="25">
        <v>98257638</v>
      </c>
      <c r="G8" s="25">
        <v>88215990</v>
      </c>
      <c r="H8" s="25">
        <v>93125811</v>
      </c>
      <c r="I8" s="25">
        <v>97179378</v>
      </c>
      <c r="J8" s="25">
        <v>94491622</v>
      </c>
      <c r="K8" s="25">
        <v>95061107</v>
      </c>
      <c r="L8" s="25">
        <v>91327806</v>
      </c>
      <c r="M8" s="25">
        <v>99945386</v>
      </c>
      <c r="N8" s="19">
        <f>SUM(B8:M8)</f>
        <v>1106076571</v>
      </c>
    </row>
    <row r="9" spans="1:14" x14ac:dyDescent="0.25">
      <c r="A9" s="34" t="s">
        <v>20</v>
      </c>
      <c r="B9" s="25">
        <v>86955077</v>
      </c>
      <c r="C9" s="25">
        <v>85641502</v>
      </c>
      <c r="D9" s="25">
        <v>90580498</v>
      </c>
      <c r="E9" s="25">
        <v>83500185</v>
      </c>
      <c r="F9" s="25">
        <v>97814100</v>
      </c>
      <c r="G9" s="25">
        <v>87510873</v>
      </c>
      <c r="H9" s="25">
        <v>92478136</v>
      </c>
      <c r="I9" s="25">
        <v>96436796</v>
      </c>
      <c r="J9" s="25">
        <v>93802901</v>
      </c>
      <c r="K9" s="25">
        <v>94444434</v>
      </c>
      <c r="L9" s="25">
        <v>90781179</v>
      </c>
      <c r="M9" s="25">
        <v>99276695</v>
      </c>
      <c r="N9" s="19">
        <f>SUM(B9:M9)</f>
        <v>1099222376</v>
      </c>
    </row>
    <row r="10" spans="1:14" x14ac:dyDescent="0.25">
      <c r="A10" s="34" t="s">
        <v>21</v>
      </c>
      <c r="B10" s="19">
        <f t="shared" ref="B10:M10" si="0">+B9+B19+B20+B21</f>
        <v>87272849</v>
      </c>
      <c r="C10" s="19">
        <f t="shared" si="0"/>
        <v>86187024</v>
      </c>
      <c r="D10" s="19">
        <f t="shared" si="0"/>
        <v>91108821</v>
      </c>
      <c r="E10" s="19">
        <f t="shared" si="0"/>
        <v>83921474</v>
      </c>
      <c r="F10" s="19">
        <f t="shared" si="0"/>
        <v>98293526</v>
      </c>
      <c r="G10" s="19">
        <f t="shared" si="0"/>
        <v>88149547</v>
      </c>
      <c r="H10" s="19">
        <f t="shared" si="0"/>
        <v>93030416</v>
      </c>
      <c r="I10" s="19">
        <f t="shared" si="0"/>
        <v>97148430</v>
      </c>
      <c r="J10" s="19">
        <f t="shared" si="0"/>
        <v>94435904</v>
      </c>
      <c r="K10" s="19">
        <f t="shared" si="0"/>
        <v>95133706</v>
      </c>
      <c r="L10" s="19">
        <f t="shared" si="0"/>
        <v>91266727</v>
      </c>
      <c r="M10" s="19">
        <f t="shared" si="0"/>
        <v>99932139</v>
      </c>
      <c r="N10" s="19">
        <f>SUM(B10:M10)</f>
        <v>1105880563</v>
      </c>
    </row>
    <row r="11" spans="1:14" x14ac:dyDescent="0.25">
      <c r="A11" s="34" t="s">
        <v>22</v>
      </c>
      <c r="B11" s="19">
        <f t="shared" ref="B11:M11" si="1">-B8+B10</f>
        <v>-13286</v>
      </c>
      <c r="C11" s="19">
        <f t="shared" si="1"/>
        <v>-108339</v>
      </c>
      <c r="D11" s="19">
        <f t="shared" si="1"/>
        <v>26966</v>
      </c>
      <c r="E11" s="19">
        <f t="shared" si="1"/>
        <v>112994</v>
      </c>
      <c r="F11" s="19">
        <f t="shared" si="1"/>
        <v>35888</v>
      </c>
      <c r="G11" s="19">
        <f t="shared" si="1"/>
        <v>-66443</v>
      </c>
      <c r="H11" s="19">
        <f t="shared" si="1"/>
        <v>-95395</v>
      </c>
      <c r="I11" s="19">
        <f t="shared" si="1"/>
        <v>-30948</v>
      </c>
      <c r="J11" s="19">
        <f t="shared" si="1"/>
        <v>-55718</v>
      </c>
      <c r="K11" s="19">
        <f t="shared" si="1"/>
        <v>72599</v>
      </c>
      <c r="L11" s="19">
        <f t="shared" si="1"/>
        <v>-61079</v>
      </c>
      <c r="M11" s="19">
        <f t="shared" si="1"/>
        <v>-13247</v>
      </c>
      <c r="N11" s="19">
        <f>SUM(B11:M11)</f>
        <v>-196008</v>
      </c>
    </row>
    <row r="12" spans="1:14" x14ac:dyDescent="0.25">
      <c r="A12" s="35" t="s">
        <v>23</v>
      </c>
      <c r="B12" s="27">
        <f t="shared" ref="B12:M12" si="2">B11/B8</f>
        <v>-1.522120323004335E-4</v>
      </c>
      <c r="C12" s="27">
        <f t="shared" si="2"/>
        <v>-1.2554440497573433E-3</v>
      </c>
      <c r="D12" s="27">
        <f t="shared" si="2"/>
        <v>2.9606335971088863E-4</v>
      </c>
      <c r="E12" s="27">
        <f t="shared" si="2"/>
        <v>1.3482406553608896E-3</v>
      </c>
      <c r="F12" s="27">
        <f t="shared" si="2"/>
        <v>3.6524387040527066E-4</v>
      </c>
      <c r="G12" s="27">
        <f t="shared" si="2"/>
        <v>-7.5318544857910677E-4</v>
      </c>
      <c r="H12" s="27">
        <f t="shared" si="2"/>
        <v>-1.0243669179965584E-3</v>
      </c>
      <c r="I12" s="27">
        <f t="shared" si="2"/>
        <v>-3.1846262691658715E-4</v>
      </c>
      <c r="J12" s="27">
        <f t="shared" si="2"/>
        <v>-5.8966074262118177E-4</v>
      </c>
      <c r="K12" s="27">
        <f t="shared" si="2"/>
        <v>7.6370875840947236E-4</v>
      </c>
      <c r="L12" s="27">
        <f t="shared" si="2"/>
        <v>-6.6878864909992476E-4</v>
      </c>
      <c r="M12" s="27">
        <f t="shared" si="2"/>
        <v>-1.3254238669907183E-4</v>
      </c>
      <c r="N12" s="27">
        <f>N11/N8</f>
        <v>-1.7721015446768739E-4</v>
      </c>
    </row>
    <row r="13" spans="1:14" x14ac:dyDescent="0.25">
      <c r="A13" s="34" t="s">
        <v>24</v>
      </c>
      <c r="B13" s="19">
        <f t="shared" ref="B13:M13" si="3">-B8+B10</f>
        <v>-13286</v>
      </c>
      <c r="C13" s="19">
        <f t="shared" si="3"/>
        <v>-108339</v>
      </c>
      <c r="D13" s="19">
        <f t="shared" si="3"/>
        <v>26966</v>
      </c>
      <c r="E13" s="19">
        <f t="shared" si="3"/>
        <v>112994</v>
      </c>
      <c r="F13" s="19">
        <f t="shared" si="3"/>
        <v>35888</v>
      </c>
      <c r="G13" s="19">
        <f t="shared" si="3"/>
        <v>-66443</v>
      </c>
      <c r="H13" s="19">
        <f t="shared" si="3"/>
        <v>-95395</v>
      </c>
      <c r="I13" s="19">
        <f t="shared" si="3"/>
        <v>-30948</v>
      </c>
      <c r="J13" s="19">
        <f t="shared" si="3"/>
        <v>-55718</v>
      </c>
      <c r="K13" s="19">
        <f t="shared" si="3"/>
        <v>72599</v>
      </c>
      <c r="L13" s="19">
        <f t="shared" si="3"/>
        <v>-61079</v>
      </c>
      <c r="M13" s="19">
        <f t="shared" si="3"/>
        <v>-13247</v>
      </c>
      <c r="N13" s="19">
        <f>SUM(B13:M13)</f>
        <v>-196008</v>
      </c>
    </row>
    <row r="14" spans="1:14" x14ac:dyDescent="0.25">
      <c r="A14" s="35" t="s">
        <v>23</v>
      </c>
      <c r="B14" s="27">
        <f t="shared" ref="B14:M14" si="4">B13/B8</f>
        <v>-1.522120323004335E-4</v>
      </c>
      <c r="C14" s="27">
        <f t="shared" si="4"/>
        <v>-1.2554440497573433E-3</v>
      </c>
      <c r="D14" s="27">
        <f t="shared" si="4"/>
        <v>2.9606335971088863E-4</v>
      </c>
      <c r="E14" s="27">
        <f t="shared" si="4"/>
        <v>1.3482406553608896E-3</v>
      </c>
      <c r="F14" s="27">
        <f t="shared" si="4"/>
        <v>3.6524387040527066E-4</v>
      </c>
      <c r="G14" s="27">
        <f t="shared" si="4"/>
        <v>-7.5318544857910677E-4</v>
      </c>
      <c r="H14" s="27">
        <f t="shared" si="4"/>
        <v>-1.0243669179965584E-3</v>
      </c>
      <c r="I14" s="27">
        <f t="shared" si="4"/>
        <v>-3.1846262691658715E-4</v>
      </c>
      <c r="J14" s="27">
        <f t="shared" si="4"/>
        <v>-5.8966074262118177E-4</v>
      </c>
      <c r="K14" s="27">
        <f t="shared" si="4"/>
        <v>7.6370875840947236E-4</v>
      </c>
      <c r="L14" s="27">
        <f t="shared" si="4"/>
        <v>-6.6878864909992476E-4</v>
      </c>
      <c r="M14" s="27">
        <f t="shared" si="4"/>
        <v>-1.3254238669907183E-4</v>
      </c>
      <c r="N14" s="27">
        <f>N13/N8</f>
        <v>-1.7721015446768739E-4</v>
      </c>
    </row>
    <row r="15" spans="1:14" ht="13.8" x14ac:dyDescent="0.3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9" t="s">
        <v>1</v>
      </c>
    </row>
    <row r="16" spans="1:14" x14ac:dyDescent="0.25">
      <c r="A16" s="34" t="s">
        <v>25</v>
      </c>
      <c r="B16" s="19">
        <v>49367618</v>
      </c>
      <c r="C16" s="19">
        <v>49500953</v>
      </c>
      <c r="D16" s="19">
        <v>52494591</v>
      </c>
      <c r="E16" s="19">
        <v>44743883</v>
      </c>
      <c r="F16" s="19">
        <v>55158369</v>
      </c>
      <c r="G16" s="19">
        <v>51571722</v>
      </c>
      <c r="H16" s="19">
        <v>55346032</v>
      </c>
      <c r="I16" s="19">
        <v>56694530</v>
      </c>
      <c r="J16" s="19">
        <v>53117206</v>
      </c>
      <c r="K16" s="19">
        <v>53458381</v>
      </c>
      <c r="L16" s="19">
        <v>51629561</v>
      </c>
      <c r="M16" s="19">
        <v>56121622</v>
      </c>
      <c r="N16" s="19">
        <f>SUM(B16:M16)</f>
        <v>629204468</v>
      </c>
    </row>
    <row r="17" spans="1:14" x14ac:dyDescent="0.25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5">
      <c r="A18" s="34" t="s">
        <v>26</v>
      </c>
      <c r="B18" s="19">
        <v>49036560</v>
      </c>
      <c r="C18" s="19">
        <v>48847092</v>
      </c>
      <c r="D18" s="19">
        <v>51993234</v>
      </c>
      <c r="E18" s="19">
        <v>44435588</v>
      </c>
      <c r="F18" s="19">
        <v>54714831</v>
      </c>
      <c r="G18" s="19">
        <v>50866605</v>
      </c>
      <c r="H18" s="19">
        <v>54698357</v>
      </c>
      <c r="I18" s="19">
        <v>55951948</v>
      </c>
      <c r="J18" s="19">
        <v>52428485</v>
      </c>
      <c r="K18" s="19">
        <v>52841708</v>
      </c>
      <c r="L18" s="19">
        <v>51082934</v>
      </c>
      <c r="M18" s="19">
        <v>55452931</v>
      </c>
      <c r="N18" s="19">
        <f t="shared" ref="N18:N23" si="5">SUM(B18:M18)</f>
        <v>622350273</v>
      </c>
    </row>
    <row r="19" spans="1:14" x14ac:dyDescent="0.25">
      <c r="A19" s="34" t="s">
        <v>27</v>
      </c>
      <c r="B19" s="19">
        <v>554124</v>
      </c>
      <c r="C19" s="19">
        <v>505287</v>
      </c>
      <c r="D19" s="19">
        <v>543998</v>
      </c>
      <c r="E19" s="19">
        <v>424330</v>
      </c>
      <c r="F19" s="19">
        <v>534647</v>
      </c>
      <c r="G19" s="19">
        <v>551826</v>
      </c>
      <c r="H19" s="19">
        <v>605933</v>
      </c>
      <c r="I19" s="19">
        <v>602302</v>
      </c>
      <c r="J19" s="19">
        <v>568144</v>
      </c>
      <c r="K19" s="19">
        <v>651860</v>
      </c>
      <c r="L19" s="19">
        <v>493675</v>
      </c>
      <c r="M19" s="19">
        <v>635714</v>
      </c>
      <c r="N19" s="19">
        <f t="shared" si="5"/>
        <v>6671840</v>
      </c>
    </row>
    <row r="20" spans="1:14" x14ac:dyDescent="0.25">
      <c r="A20" s="34" t="s">
        <v>28</v>
      </c>
      <c r="B20" s="19">
        <v>-243979</v>
      </c>
      <c r="C20" s="19">
        <v>35932</v>
      </c>
      <c r="D20" s="19">
        <v>-15675</v>
      </c>
      <c r="E20" s="19">
        <v>-4177</v>
      </c>
      <c r="F20" s="19">
        <v>-55221</v>
      </c>
      <c r="G20" s="19">
        <v>86848</v>
      </c>
      <c r="H20" s="19">
        <v>-58455</v>
      </c>
      <c r="I20" s="19">
        <v>107934</v>
      </c>
      <c r="J20" s="19">
        <v>60400</v>
      </c>
      <c r="K20" s="19">
        <v>30132</v>
      </c>
      <c r="L20" s="19">
        <v>-13937</v>
      </c>
      <c r="M20" s="19">
        <v>15232</v>
      </c>
      <c r="N20" s="19">
        <f t="shared" si="5"/>
        <v>-54966</v>
      </c>
    </row>
    <row r="21" spans="1:14" x14ac:dyDescent="0.25">
      <c r="A21" s="34" t="s">
        <v>29</v>
      </c>
      <c r="B21" s="19">
        <v>7627</v>
      </c>
      <c r="C21" s="19">
        <v>4303</v>
      </c>
      <c r="D21" s="19">
        <v>0</v>
      </c>
      <c r="E21" s="19">
        <v>1136</v>
      </c>
      <c r="F21" s="19">
        <v>0</v>
      </c>
      <c r="G21" s="19">
        <v>0</v>
      </c>
      <c r="H21" s="19">
        <v>4802</v>
      </c>
      <c r="I21" s="19">
        <v>1398</v>
      </c>
      <c r="J21" s="19">
        <v>4459</v>
      </c>
      <c r="K21" s="19">
        <v>7280</v>
      </c>
      <c r="L21" s="19">
        <v>5810</v>
      </c>
      <c r="M21" s="19">
        <v>4498</v>
      </c>
      <c r="N21" s="19">
        <f t="shared" si="5"/>
        <v>41313</v>
      </c>
    </row>
    <row r="22" spans="1:14" x14ac:dyDescent="0.25">
      <c r="A22" s="34" t="s">
        <v>21</v>
      </c>
      <c r="B22" s="19">
        <f t="shared" ref="B22:M22" si="6">SUM(B18:B21)</f>
        <v>49354332</v>
      </c>
      <c r="C22" s="19">
        <f t="shared" si="6"/>
        <v>49392614</v>
      </c>
      <c r="D22" s="19">
        <f t="shared" si="6"/>
        <v>52521557</v>
      </c>
      <c r="E22" s="19">
        <f t="shared" si="6"/>
        <v>44856877</v>
      </c>
      <c r="F22" s="19">
        <f t="shared" si="6"/>
        <v>55194257</v>
      </c>
      <c r="G22" s="19">
        <f t="shared" si="6"/>
        <v>51505279</v>
      </c>
      <c r="H22" s="19">
        <f t="shared" si="6"/>
        <v>55250637</v>
      </c>
      <c r="I22" s="19">
        <f t="shared" si="6"/>
        <v>56663582</v>
      </c>
      <c r="J22" s="19">
        <f t="shared" si="6"/>
        <v>53061488</v>
      </c>
      <c r="K22" s="19">
        <f t="shared" si="6"/>
        <v>53530980</v>
      </c>
      <c r="L22" s="19">
        <f t="shared" si="6"/>
        <v>51568482</v>
      </c>
      <c r="M22" s="19">
        <f t="shared" si="6"/>
        <v>56108375</v>
      </c>
      <c r="N22" s="19">
        <f t="shared" si="5"/>
        <v>629008460</v>
      </c>
    </row>
    <row r="23" spans="1:14" x14ac:dyDescent="0.25">
      <c r="A23" s="34" t="s">
        <v>51</v>
      </c>
      <c r="B23" s="19">
        <f t="shared" ref="B23:M23" si="7">-B16+B22</f>
        <v>-13286</v>
      </c>
      <c r="C23" s="19">
        <f t="shared" si="7"/>
        <v>-108339</v>
      </c>
      <c r="D23" s="19">
        <f t="shared" si="7"/>
        <v>26966</v>
      </c>
      <c r="E23" s="19">
        <f t="shared" si="7"/>
        <v>112994</v>
      </c>
      <c r="F23" s="19">
        <f t="shared" si="7"/>
        <v>35888</v>
      </c>
      <c r="G23" s="19">
        <f t="shared" si="7"/>
        <v>-66443</v>
      </c>
      <c r="H23" s="19">
        <f t="shared" si="7"/>
        <v>-95395</v>
      </c>
      <c r="I23" s="19">
        <f t="shared" si="7"/>
        <v>-30948</v>
      </c>
      <c r="J23" s="19">
        <f t="shared" si="7"/>
        <v>-55718</v>
      </c>
      <c r="K23" s="19">
        <f t="shared" si="7"/>
        <v>72599</v>
      </c>
      <c r="L23" s="19">
        <f t="shared" si="7"/>
        <v>-61079</v>
      </c>
      <c r="M23" s="19">
        <f t="shared" si="7"/>
        <v>-13247</v>
      </c>
      <c r="N23" s="19">
        <f t="shared" si="5"/>
        <v>-196008</v>
      </c>
    </row>
    <row r="24" spans="1:14" x14ac:dyDescent="0.25">
      <c r="A24" s="35" t="s">
        <v>23</v>
      </c>
      <c r="B24" s="27">
        <f t="shared" ref="B24:M24" si="8">B23/B16</f>
        <v>-2.6912378069365227E-4</v>
      </c>
      <c r="C24" s="27">
        <f t="shared" si="8"/>
        <v>-2.1886245301176322E-3</v>
      </c>
      <c r="D24" s="27">
        <f t="shared" si="8"/>
        <v>5.1369102009005076E-4</v>
      </c>
      <c r="E24" s="27">
        <f t="shared" si="8"/>
        <v>2.5253507837037746E-3</v>
      </c>
      <c r="F24" s="27">
        <f t="shared" si="8"/>
        <v>6.5063562702515738E-4</v>
      </c>
      <c r="G24" s="27">
        <f t="shared" si="8"/>
        <v>-1.2883610905992241E-3</v>
      </c>
      <c r="H24" s="27">
        <f t="shared" si="8"/>
        <v>-1.7236104658776622E-3</v>
      </c>
      <c r="I24" s="27">
        <f t="shared" si="8"/>
        <v>-5.4587276761973338E-4</v>
      </c>
      <c r="J24" s="27">
        <f t="shared" si="8"/>
        <v>-1.0489633057883354E-3</v>
      </c>
      <c r="K24" s="27">
        <f t="shared" si="8"/>
        <v>1.3580471133235405E-3</v>
      </c>
      <c r="L24" s="27">
        <f t="shared" si="8"/>
        <v>-1.1830238107195992E-3</v>
      </c>
      <c r="M24" s="27">
        <f t="shared" si="8"/>
        <v>-2.3604093267297227E-4</v>
      </c>
      <c r="N24" s="27">
        <f>N23/N16</f>
        <v>-3.115171775925787E-4</v>
      </c>
    </row>
  </sheetData>
  <phoneticPr fontId="7" type="noConversion"/>
  <printOptions horizontalCentered="1" verticalCentered="1" gridLines="1"/>
  <pageMargins left="0.75" right="0.75" top="1" bottom="1" header="0.5" footer="0.5"/>
  <pageSetup scale="80" orientation="landscape" horizontalDpi="300" verticalDpi="300" r:id="rId1"/>
  <headerFooter alignWithMargins="0">
    <oddHeader>&amp;C&amp;"Arial,Bold Italic"&amp;12TW DTH Calendar Year History 2000</oddHeader>
    <oddFooter>&amp;L&amp;F&amp;C&amp;N&amp;R&amp;D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zoomScale="90" workbookViewId="0"/>
  </sheetViews>
  <sheetFormatPr defaultColWidth="9.109375" defaultRowHeight="13.8" x14ac:dyDescent="0.3"/>
  <cols>
    <col min="1" max="1" width="19.5546875" style="20" customWidth="1"/>
    <col min="2" max="10" width="11.5546875" style="20" hidden="1" customWidth="1"/>
    <col min="11" max="22" width="11.5546875" style="20" customWidth="1"/>
    <col min="23" max="23" width="11.6640625" style="20" customWidth="1"/>
    <col min="24" max="24" width="11.33203125" style="20" customWidth="1"/>
    <col min="25" max="16384" width="9.109375" style="20"/>
  </cols>
  <sheetData>
    <row r="1" spans="1:24" s="31" customFormat="1" ht="12" customHeight="1" x14ac:dyDescent="0.2">
      <c r="A1" s="18" t="s">
        <v>49</v>
      </c>
      <c r="B1" s="19"/>
      <c r="C1" s="19"/>
      <c r="D1" s="19"/>
      <c r="E1" s="19"/>
      <c r="F1" s="19" t="s">
        <v>1</v>
      </c>
      <c r="G1" s="19"/>
      <c r="H1" s="19"/>
      <c r="K1" s="19"/>
      <c r="L1" s="19" t="s">
        <v>2</v>
      </c>
      <c r="M1" s="21">
        <f ca="1">NOW()</f>
        <v>37285.808733796293</v>
      </c>
      <c r="N1" s="21"/>
      <c r="O1" s="21"/>
      <c r="P1" s="21"/>
      <c r="Q1" s="21"/>
      <c r="R1" s="21"/>
      <c r="S1" s="21"/>
      <c r="T1" s="21"/>
      <c r="U1" s="21"/>
      <c r="V1" s="21"/>
      <c r="W1" s="19"/>
    </row>
    <row r="2" spans="1:24" s="31" customFormat="1" ht="12" customHeight="1" x14ac:dyDescent="0.2">
      <c r="A2" s="18" t="s">
        <v>3</v>
      </c>
      <c r="B2" s="19"/>
      <c r="C2" s="19"/>
      <c r="D2" s="19"/>
      <c r="E2" s="19"/>
      <c r="F2" s="19"/>
      <c r="G2" s="19"/>
      <c r="H2" s="19"/>
      <c r="K2" s="19"/>
      <c r="L2" s="19" t="s">
        <v>57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4" s="31" customFormat="1" ht="12" customHeight="1" x14ac:dyDescent="0.2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4" s="31" customFormat="1" ht="12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4" s="31" customFormat="1" ht="12" customHeight="1" x14ac:dyDescent="0.2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22" t="s">
        <v>12</v>
      </c>
      <c r="V5" s="22" t="s">
        <v>13</v>
      </c>
      <c r="W5" s="23" t="s">
        <v>17</v>
      </c>
    </row>
    <row r="6" spans="1:24" s="31" customFormat="1" ht="12" customHeight="1" x14ac:dyDescent="0.2">
      <c r="A6" s="18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2001</v>
      </c>
      <c r="L6" s="22">
        <v>2001</v>
      </c>
      <c r="M6" s="22">
        <v>2001</v>
      </c>
      <c r="N6" s="22">
        <v>2001</v>
      </c>
      <c r="O6" s="22">
        <v>2001</v>
      </c>
      <c r="P6" s="22">
        <v>2001</v>
      </c>
      <c r="Q6" s="22">
        <v>2001</v>
      </c>
      <c r="R6" s="22">
        <v>2001</v>
      </c>
      <c r="S6" s="22">
        <v>2001</v>
      </c>
      <c r="T6" s="22">
        <v>2001</v>
      </c>
      <c r="U6" s="22">
        <v>2001</v>
      </c>
      <c r="V6" s="22">
        <v>2001</v>
      </c>
      <c r="W6" s="23" t="s">
        <v>18</v>
      </c>
    </row>
    <row r="7" spans="1:24" s="31" customFormat="1" ht="12" customHeight="1" x14ac:dyDescent="0.2">
      <c r="A7" s="18"/>
      <c r="W7" s="19"/>
      <c r="X7" s="17"/>
    </row>
    <row r="8" spans="1:24" s="31" customFormat="1" ht="12" customHeight="1" x14ac:dyDescent="0.2">
      <c r="A8" s="18" t="s">
        <v>19</v>
      </c>
      <c r="B8" s="25">
        <v>81717385</v>
      </c>
      <c r="C8" s="25">
        <v>95960945</v>
      </c>
      <c r="D8" s="25">
        <v>86152339</v>
      </c>
      <c r="E8" s="25">
        <v>90880664</v>
      </c>
      <c r="F8" s="25">
        <v>94776094</v>
      </c>
      <c r="G8" s="25">
        <v>91841448</v>
      </c>
      <c r="H8" s="25">
        <v>92800937</v>
      </c>
      <c r="I8" s="25">
        <v>89259163</v>
      </c>
      <c r="J8" s="25">
        <v>97237997</v>
      </c>
      <c r="K8" s="25">
        <v>100779475</v>
      </c>
      <c r="L8" s="25">
        <v>91861489</v>
      </c>
      <c r="M8" s="25">
        <v>99038483</v>
      </c>
      <c r="N8" s="25">
        <f>54098141+27424388</f>
        <v>81522529</v>
      </c>
      <c r="O8" s="25">
        <f>55705625+30581089</f>
        <v>86286714</v>
      </c>
      <c r="P8" s="25">
        <f>56237239+28131426</f>
        <v>84368665</v>
      </c>
      <c r="Q8" s="25">
        <f>57339300+31127927</f>
        <v>88467227</v>
      </c>
      <c r="R8" s="25">
        <f>58687977+31510250</f>
        <v>90198227</v>
      </c>
      <c r="S8" s="25">
        <f>53750305+31111300</f>
        <v>84861605</v>
      </c>
      <c r="T8" s="25">
        <f>56154816+32385757</f>
        <v>88540573</v>
      </c>
      <c r="U8" s="25">
        <f>52313502+33510261</f>
        <v>85823763</v>
      </c>
      <c r="V8" s="25">
        <f>52034362+31550447</f>
        <v>83584809</v>
      </c>
      <c r="W8" s="19">
        <f>SUM(K8:V8)</f>
        <v>1065333559</v>
      </c>
      <c r="X8" s="25"/>
    </row>
    <row r="9" spans="1:24" s="31" customFormat="1" ht="12" customHeight="1" x14ac:dyDescent="0.2">
      <c r="A9" s="18" t="s">
        <v>20</v>
      </c>
      <c r="B9" s="25">
        <v>81360611</v>
      </c>
      <c r="C9" s="25">
        <v>95457532</v>
      </c>
      <c r="D9" s="25">
        <v>85493481</v>
      </c>
      <c r="E9" s="25">
        <v>90276072</v>
      </c>
      <c r="F9" s="25">
        <v>94050011</v>
      </c>
      <c r="G9" s="25">
        <v>91170003</v>
      </c>
      <c r="H9" s="25">
        <v>92163364</v>
      </c>
      <c r="I9" s="25">
        <v>88717991</v>
      </c>
      <c r="J9" s="25">
        <v>96587769</v>
      </c>
      <c r="K9" s="25">
        <v>100209794</v>
      </c>
      <c r="L9" s="25">
        <v>91262582</v>
      </c>
      <c r="M9" s="25">
        <v>98458713</v>
      </c>
      <c r="N9" s="25">
        <f>54261649+27424388</f>
        <v>81686037</v>
      </c>
      <c r="O9" s="25">
        <f>55896863+30581089</f>
        <v>86477952</v>
      </c>
      <c r="P9" s="25">
        <f>56473937+28131426</f>
        <v>84605363</v>
      </c>
      <c r="Q9" s="25">
        <f>57373878+31127927</f>
        <v>88501805</v>
      </c>
      <c r="R9" s="25">
        <f>58730174+31510250</f>
        <v>90240424</v>
      </c>
      <c r="S9" s="25">
        <f>53690678+31111300</f>
        <v>84801978</v>
      </c>
      <c r="T9" s="25">
        <f>56228013+32385757</f>
        <v>88613770</v>
      </c>
      <c r="U9" s="25">
        <f>52294368+33510261</f>
        <v>85804629</v>
      </c>
      <c r="V9" s="25">
        <f>52061698+31550447</f>
        <v>83612145</v>
      </c>
      <c r="W9" s="19">
        <f>SUM(K9:V9)</f>
        <v>1064275192</v>
      </c>
      <c r="X9" s="25"/>
    </row>
    <row r="10" spans="1:24" s="31" customFormat="1" ht="12" customHeight="1" x14ac:dyDescent="0.2">
      <c r="A10" s="18" t="s">
        <v>21</v>
      </c>
      <c r="B10" s="19">
        <f t="shared" ref="B10:V10" si="0">+B9+B19+B20+B21</f>
        <v>81775041</v>
      </c>
      <c r="C10" s="19">
        <f t="shared" si="0"/>
        <v>95927133</v>
      </c>
      <c r="D10" s="19">
        <f t="shared" si="0"/>
        <v>86120635</v>
      </c>
      <c r="E10" s="19">
        <f t="shared" si="0"/>
        <v>90820017</v>
      </c>
      <c r="F10" s="19">
        <f t="shared" si="0"/>
        <v>94740237</v>
      </c>
      <c r="G10" s="19">
        <f t="shared" si="0"/>
        <v>91780446</v>
      </c>
      <c r="H10" s="19">
        <f t="shared" si="0"/>
        <v>92831299</v>
      </c>
      <c r="I10" s="19">
        <f t="shared" si="0"/>
        <v>89186628</v>
      </c>
      <c r="J10" s="19">
        <f t="shared" si="0"/>
        <v>97220687</v>
      </c>
      <c r="K10" s="19">
        <f t="shared" si="0"/>
        <v>100813466</v>
      </c>
      <c r="L10" s="19">
        <f t="shared" si="0"/>
        <v>91849453</v>
      </c>
      <c r="M10" s="19">
        <f t="shared" si="0"/>
        <v>99193098</v>
      </c>
      <c r="N10" s="19">
        <f t="shared" si="0"/>
        <v>81686037</v>
      </c>
      <c r="O10" s="19">
        <f t="shared" si="0"/>
        <v>86477952</v>
      </c>
      <c r="P10" s="19">
        <f t="shared" si="0"/>
        <v>84605363</v>
      </c>
      <c r="Q10" s="19">
        <f t="shared" si="0"/>
        <v>88501805</v>
      </c>
      <c r="R10" s="19">
        <f t="shared" si="0"/>
        <v>90240424</v>
      </c>
      <c r="S10" s="19">
        <f t="shared" si="0"/>
        <v>84801978</v>
      </c>
      <c r="T10" s="19">
        <f t="shared" si="0"/>
        <v>88613770</v>
      </c>
      <c r="U10" s="19">
        <f t="shared" si="0"/>
        <v>85804629</v>
      </c>
      <c r="V10" s="19">
        <f t="shared" si="0"/>
        <v>83612145</v>
      </c>
      <c r="W10" s="19">
        <f>SUM(K10:V10)</f>
        <v>1066200120</v>
      </c>
      <c r="X10" s="19"/>
    </row>
    <row r="11" spans="1:24" s="31" customFormat="1" ht="12" customHeight="1" x14ac:dyDescent="0.2">
      <c r="A11" s="18" t="s">
        <v>22</v>
      </c>
      <c r="B11" s="19">
        <f t="shared" ref="B11:V11" si="1">-B8+B10</f>
        <v>57656</v>
      </c>
      <c r="C11" s="19">
        <f t="shared" si="1"/>
        <v>-33812</v>
      </c>
      <c r="D11" s="19">
        <f t="shared" si="1"/>
        <v>-31704</v>
      </c>
      <c r="E11" s="19">
        <f t="shared" si="1"/>
        <v>-60647</v>
      </c>
      <c r="F11" s="19">
        <f t="shared" si="1"/>
        <v>-35857</v>
      </c>
      <c r="G11" s="19">
        <f t="shared" si="1"/>
        <v>-61002</v>
      </c>
      <c r="H11" s="19">
        <f t="shared" si="1"/>
        <v>30362</v>
      </c>
      <c r="I11" s="19">
        <f t="shared" si="1"/>
        <v>-72535</v>
      </c>
      <c r="J11" s="19">
        <f t="shared" si="1"/>
        <v>-17310</v>
      </c>
      <c r="K11" s="19">
        <f t="shared" si="1"/>
        <v>33991</v>
      </c>
      <c r="L11" s="19">
        <f t="shared" si="1"/>
        <v>-12036</v>
      </c>
      <c r="M11" s="19">
        <f t="shared" si="1"/>
        <v>154615</v>
      </c>
      <c r="N11" s="19">
        <f t="shared" si="1"/>
        <v>163508</v>
      </c>
      <c r="O11" s="19">
        <f t="shared" si="1"/>
        <v>191238</v>
      </c>
      <c r="P11" s="19">
        <f t="shared" si="1"/>
        <v>236698</v>
      </c>
      <c r="Q11" s="19">
        <f t="shared" si="1"/>
        <v>34578</v>
      </c>
      <c r="R11" s="19">
        <f t="shared" si="1"/>
        <v>42197</v>
      </c>
      <c r="S11" s="19">
        <f t="shared" si="1"/>
        <v>-59627</v>
      </c>
      <c r="T11" s="19">
        <f t="shared" si="1"/>
        <v>73197</v>
      </c>
      <c r="U11" s="19">
        <f t="shared" si="1"/>
        <v>-19134</v>
      </c>
      <c r="V11" s="19">
        <f t="shared" si="1"/>
        <v>27336</v>
      </c>
      <c r="W11" s="19">
        <f>SUM(K11:V11)</f>
        <v>866561</v>
      </c>
      <c r="X11" s="19"/>
    </row>
    <row r="12" spans="1:24" s="31" customFormat="1" ht="12" customHeight="1" x14ac:dyDescent="0.2">
      <c r="A12" s="36" t="s">
        <v>23</v>
      </c>
      <c r="B12" s="27">
        <f>2*B11/(B8+B10)</f>
        <v>7.0530484390757037E-4</v>
      </c>
      <c r="C12" s="27">
        <f>2*C11/(C8+C10)</f>
        <v>-3.5241376486141052E-4</v>
      </c>
      <c r="D12" s="27">
        <f>2*D11/(D8+D10)</f>
        <v>-3.6806701903224819E-4</v>
      </c>
      <c r="E12" s="27">
        <f>2*E11/(E8+E10)</f>
        <v>-6.6754840616144965E-4</v>
      </c>
      <c r="F12" s="27">
        <f>2*F11/(F8+F10)</f>
        <v>-3.7840538396661974E-4</v>
      </c>
      <c r="G12" s="27">
        <f t="shared" ref="G12:V12" si="2">G11/G8</f>
        <v>-6.6420991097614231E-4</v>
      </c>
      <c r="H12" s="27">
        <f t="shared" si="2"/>
        <v>3.2717342067354341E-4</v>
      </c>
      <c r="I12" s="27">
        <f t="shared" si="2"/>
        <v>-8.1263365644600541E-4</v>
      </c>
      <c r="J12" s="27">
        <f t="shared" si="2"/>
        <v>-1.7801683019036271E-4</v>
      </c>
      <c r="K12" s="27">
        <f t="shared" si="2"/>
        <v>3.3728097908825185E-4</v>
      </c>
      <c r="L12" s="27">
        <f t="shared" si="2"/>
        <v>-1.3102334973037505E-4</v>
      </c>
      <c r="M12" s="27">
        <f t="shared" si="2"/>
        <v>1.5611608267465083E-3</v>
      </c>
      <c r="N12" s="27">
        <f t="shared" si="2"/>
        <v>2.0056787001786953E-3</v>
      </c>
      <c r="O12" s="27">
        <f t="shared" si="2"/>
        <v>2.2163087587273285E-3</v>
      </c>
      <c r="P12" s="27">
        <f t="shared" si="2"/>
        <v>2.8055202722479964E-3</v>
      </c>
      <c r="Q12" s="27">
        <f t="shared" si="2"/>
        <v>3.9085660501148067E-4</v>
      </c>
      <c r="R12" s="27">
        <f t="shared" si="2"/>
        <v>4.6782516024400345E-4</v>
      </c>
      <c r="S12" s="27">
        <f t="shared" si="2"/>
        <v>-7.0263813652829215E-4</v>
      </c>
      <c r="T12" s="27">
        <f t="shared" si="2"/>
        <v>8.2670574088107606E-4</v>
      </c>
      <c r="U12" s="27">
        <f t="shared" si="2"/>
        <v>-2.2294524652805074E-4</v>
      </c>
      <c r="V12" s="27">
        <f t="shared" si="2"/>
        <v>3.2704507346544275E-4</v>
      </c>
      <c r="W12" s="27">
        <f>W11/W8</f>
        <v>8.1341753733301856E-4</v>
      </c>
      <c r="X12" s="27"/>
    </row>
    <row r="13" spans="1:24" s="31" customFormat="1" ht="12" customHeight="1" x14ac:dyDescent="0.2">
      <c r="A13" s="18" t="s">
        <v>24</v>
      </c>
      <c r="B13" s="19">
        <f>-B8+B10</f>
        <v>57656</v>
      </c>
      <c r="C13" s="19">
        <f t="shared" ref="C13:M13" si="3">-C8+C10</f>
        <v>-33812</v>
      </c>
      <c r="D13" s="19">
        <f t="shared" si="3"/>
        <v>-31704</v>
      </c>
      <c r="E13" s="19">
        <f t="shared" si="3"/>
        <v>-60647</v>
      </c>
      <c r="F13" s="19">
        <f t="shared" si="3"/>
        <v>-35857</v>
      </c>
      <c r="G13" s="19">
        <f t="shared" si="3"/>
        <v>-61002</v>
      </c>
      <c r="H13" s="19">
        <f t="shared" si="3"/>
        <v>30362</v>
      </c>
      <c r="I13" s="19">
        <f t="shared" si="3"/>
        <v>-72535</v>
      </c>
      <c r="J13" s="19">
        <f t="shared" si="3"/>
        <v>-17310</v>
      </c>
      <c r="K13" s="19">
        <f t="shared" si="3"/>
        <v>33991</v>
      </c>
      <c r="L13" s="19">
        <f t="shared" si="3"/>
        <v>-12036</v>
      </c>
      <c r="M13" s="19">
        <f t="shared" si="3"/>
        <v>154615</v>
      </c>
      <c r="N13" s="19">
        <f t="shared" ref="N13:S13" si="4">-N8+N10</f>
        <v>163508</v>
      </c>
      <c r="O13" s="19">
        <f t="shared" si="4"/>
        <v>191238</v>
      </c>
      <c r="P13" s="19">
        <f t="shared" si="4"/>
        <v>236698</v>
      </c>
      <c r="Q13" s="19">
        <f t="shared" si="4"/>
        <v>34578</v>
      </c>
      <c r="R13" s="19">
        <f t="shared" si="4"/>
        <v>42197</v>
      </c>
      <c r="S13" s="19">
        <f t="shared" si="4"/>
        <v>-59627</v>
      </c>
      <c r="T13" s="19">
        <f>-T8+T10</f>
        <v>73197</v>
      </c>
      <c r="U13" s="19">
        <f>-U8+U10</f>
        <v>-19134</v>
      </c>
      <c r="V13" s="19">
        <f>-V8+V10</f>
        <v>27336</v>
      </c>
      <c r="W13" s="19">
        <f>SUM(K13:V13)</f>
        <v>866561</v>
      </c>
      <c r="X13" s="19"/>
    </row>
    <row r="14" spans="1:24" s="31" customFormat="1" ht="12" customHeight="1" x14ac:dyDescent="0.2">
      <c r="A14" s="36" t="s">
        <v>23</v>
      </c>
      <c r="B14" s="27">
        <f>2*B13/(B8+B10)</f>
        <v>7.0530484390757037E-4</v>
      </c>
      <c r="C14" s="27">
        <f>2*C13/(C8+C10)</f>
        <v>-3.5241376486141052E-4</v>
      </c>
      <c r="D14" s="27">
        <f>2*D13/(D8+D10)</f>
        <v>-3.6806701903224819E-4</v>
      </c>
      <c r="E14" s="27">
        <f>2*E13/(E8+E10)</f>
        <v>-6.6754840616144965E-4</v>
      </c>
      <c r="F14" s="27">
        <f>2*F13/(F8+F10)</f>
        <v>-3.7840538396661974E-4</v>
      </c>
      <c r="G14" s="27">
        <f t="shared" ref="G14:V14" si="5">G13/G8</f>
        <v>-6.6420991097614231E-4</v>
      </c>
      <c r="H14" s="27">
        <f t="shared" si="5"/>
        <v>3.2717342067354341E-4</v>
      </c>
      <c r="I14" s="27">
        <f t="shared" si="5"/>
        <v>-8.1263365644600541E-4</v>
      </c>
      <c r="J14" s="27">
        <f t="shared" si="5"/>
        <v>-1.7801683019036271E-4</v>
      </c>
      <c r="K14" s="27">
        <f t="shared" si="5"/>
        <v>3.3728097908825185E-4</v>
      </c>
      <c r="L14" s="27">
        <f t="shared" si="5"/>
        <v>-1.3102334973037505E-4</v>
      </c>
      <c r="M14" s="27">
        <f t="shared" si="5"/>
        <v>1.5611608267465083E-3</v>
      </c>
      <c r="N14" s="27">
        <f t="shared" si="5"/>
        <v>2.0056787001786953E-3</v>
      </c>
      <c r="O14" s="27">
        <f t="shared" si="5"/>
        <v>2.2163087587273285E-3</v>
      </c>
      <c r="P14" s="27">
        <f t="shared" si="5"/>
        <v>2.8055202722479964E-3</v>
      </c>
      <c r="Q14" s="27">
        <f t="shared" si="5"/>
        <v>3.9085660501148067E-4</v>
      </c>
      <c r="R14" s="27">
        <f t="shared" si="5"/>
        <v>4.6782516024400345E-4</v>
      </c>
      <c r="S14" s="27">
        <f t="shared" si="5"/>
        <v>-7.0263813652829215E-4</v>
      </c>
      <c r="T14" s="27">
        <f t="shared" si="5"/>
        <v>8.2670574088107606E-4</v>
      </c>
      <c r="U14" s="27">
        <f t="shared" si="5"/>
        <v>-2.2294524652805074E-4</v>
      </c>
      <c r="V14" s="27">
        <f t="shared" si="5"/>
        <v>3.2704507346544275E-4</v>
      </c>
      <c r="W14" s="27">
        <f>W13/W8</f>
        <v>8.1341753733301856E-4</v>
      </c>
      <c r="X14" s="27"/>
    </row>
    <row r="15" spans="1:24" s="31" customFormat="1" ht="12" customHeight="1" x14ac:dyDescent="0.2">
      <c r="A15" s="18"/>
      <c r="W15" s="19" t="s">
        <v>1</v>
      </c>
    </row>
    <row r="16" spans="1:24" s="31" customFormat="1" ht="12" customHeight="1" x14ac:dyDescent="0.2">
      <c r="A16" s="18" t="s">
        <v>25</v>
      </c>
      <c r="B16" s="19">
        <v>43866235</v>
      </c>
      <c r="C16" s="19">
        <v>54191452</v>
      </c>
      <c r="D16" s="19">
        <v>50655594</v>
      </c>
      <c r="E16" s="19">
        <v>54316515</v>
      </c>
      <c r="F16" s="19">
        <v>55523833</v>
      </c>
      <c r="G16" s="19">
        <v>51981580</v>
      </c>
      <c r="H16" s="19">
        <v>52487102</v>
      </c>
      <c r="I16" s="19">
        <v>50758353</v>
      </c>
      <c r="J16" s="19">
        <v>54945696</v>
      </c>
      <c r="K16" s="19">
        <v>55069548</v>
      </c>
      <c r="L16" s="19">
        <v>49885476</v>
      </c>
      <c r="M16" s="19">
        <v>55438477</v>
      </c>
      <c r="N16" s="19">
        <v>54098141</v>
      </c>
      <c r="O16" s="19">
        <v>55705625</v>
      </c>
      <c r="P16" s="19">
        <v>56237239</v>
      </c>
      <c r="Q16" s="19">
        <v>57339300</v>
      </c>
      <c r="R16" s="19">
        <v>58687977</v>
      </c>
      <c r="S16" s="19">
        <v>53750305</v>
      </c>
      <c r="T16" s="19">
        <v>56154816</v>
      </c>
      <c r="U16" s="19">
        <v>52313502</v>
      </c>
      <c r="V16" s="19">
        <v>52034362</v>
      </c>
      <c r="W16" s="19">
        <f>SUM(K16:V16)</f>
        <v>656714768</v>
      </c>
      <c r="X16" s="19"/>
    </row>
    <row r="17" spans="1:24" s="31" customFormat="1" ht="12" customHeight="1" x14ac:dyDescent="0.2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 t="s">
        <v>1</v>
      </c>
      <c r="X17" s="19"/>
    </row>
    <row r="18" spans="1:24" s="31" customFormat="1" ht="12" customHeight="1" x14ac:dyDescent="0.2">
      <c r="A18" s="18" t="s">
        <v>26</v>
      </c>
      <c r="B18" s="19">
        <v>43509461</v>
      </c>
      <c r="C18" s="19">
        <v>53688039</v>
      </c>
      <c r="D18" s="19">
        <v>49996736</v>
      </c>
      <c r="E18" s="19">
        <v>53711923</v>
      </c>
      <c r="F18" s="19">
        <v>54797750</v>
      </c>
      <c r="G18" s="19">
        <v>51310135</v>
      </c>
      <c r="H18" s="19">
        <v>51849529</v>
      </c>
      <c r="I18" s="19">
        <v>50217181</v>
      </c>
      <c r="J18" s="19">
        <v>54295468</v>
      </c>
      <c r="K18" s="19">
        <v>54499867</v>
      </c>
      <c r="L18" s="19">
        <v>49286569</v>
      </c>
      <c r="M18" s="19">
        <v>54858707</v>
      </c>
      <c r="N18" s="19">
        <v>54261649</v>
      </c>
      <c r="O18" s="19">
        <v>55896863</v>
      </c>
      <c r="P18" s="19">
        <v>56473937</v>
      </c>
      <c r="Q18" s="19">
        <v>57373878</v>
      </c>
      <c r="R18" s="19">
        <v>58730174</v>
      </c>
      <c r="S18" s="19">
        <v>53690678</v>
      </c>
      <c r="T18" s="19">
        <v>56228013</v>
      </c>
      <c r="U18" s="19">
        <v>52294368</v>
      </c>
      <c r="V18" s="19">
        <v>52061698</v>
      </c>
      <c r="W18" s="19">
        <f t="shared" ref="W18:W23" si="6">SUM(K18:V18)</f>
        <v>655656401</v>
      </c>
      <c r="X18" s="19"/>
    </row>
    <row r="19" spans="1:24" s="31" customFormat="1" ht="12" customHeight="1" x14ac:dyDescent="0.2">
      <c r="A19" s="18" t="s">
        <v>27</v>
      </c>
      <c r="B19" s="19">
        <v>415755</v>
      </c>
      <c r="C19" s="19">
        <v>525516</v>
      </c>
      <c r="D19" s="19">
        <v>541891</v>
      </c>
      <c r="E19" s="19">
        <v>593016</v>
      </c>
      <c r="F19" s="19">
        <v>587942</v>
      </c>
      <c r="G19" s="19">
        <v>553462</v>
      </c>
      <c r="H19" s="19">
        <v>636417</v>
      </c>
      <c r="I19" s="19">
        <v>482999</v>
      </c>
      <c r="J19" s="19">
        <v>618661</v>
      </c>
      <c r="K19" s="19">
        <v>617427</v>
      </c>
      <c r="L19" s="19">
        <v>554738</v>
      </c>
      <c r="M19" s="19">
        <v>622965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 t="shared" si="6"/>
        <v>1795130</v>
      </c>
      <c r="X19" s="19"/>
    </row>
    <row r="20" spans="1:24" s="31" customFormat="1" ht="12" customHeight="1" x14ac:dyDescent="0.2">
      <c r="A20" s="18" t="s">
        <v>28</v>
      </c>
      <c r="B20" s="19">
        <v>-1512</v>
      </c>
      <c r="C20" s="19">
        <v>-55915</v>
      </c>
      <c r="D20" s="19">
        <v>85263</v>
      </c>
      <c r="E20" s="19">
        <v>-49860</v>
      </c>
      <c r="F20" s="19">
        <v>102054</v>
      </c>
      <c r="G20" s="19">
        <v>56172</v>
      </c>
      <c r="H20" s="19">
        <v>30197</v>
      </c>
      <c r="I20" s="19">
        <v>-15395</v>
      </c>
      <c r="J20" s="19">
        <v>13470</v>
      </c>
      <c r="K20" s="19">
        <v>-15345</v>
      </c>
      <c r="L20" s="19">
        <v>31455</v>
      </c>
      <c r="M20" s="19">
        <v>105722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 t="shared" si="6"/>
        <v>121832</v>
      </c>
      <c r="X20" s="19"/>
    </row>
    <row r="21" spans="1:24" s="31" customFormat="1" ht="12" customHeight="1" x14ac:dyDescent="0.2">
      <c r="A21" s="18" t="s">
        <v>29</v>
      </c>
      <c r="B21" s="19">
        <v>187</v>
      </c>
      <c r="C21" s="19">
        <v>0</v>
      </c>
      <c r="D21" s="19">
        <v>0</v>
      </c>
      <c r="E21" s="19">
        <v>789</v>
      </c>
      <c r="F21" s="19">
        <v>230</v>
      </c>
      <c r="G21" s="19">
        <v>809</v>
      </c>
      <c r="H21" s="19">
        <v>1321</v>
      </c>
      <c r="I21" s="19">
        <v>1033</v>
      </c>
      <c r="J21" s="19">
        <v>787</v>
      </c>
      <c r="K21" s="19">
        <v>1590</v>
      </c>
      <c r="L21" s="19">
        <v>678</v>
      </c>
      <c r="M21" s="19">
        <v>5698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 t="shared" si="6"/>
        <v>7966</v>
      </c>
      <c r="X21" s="19"/>
    </row>
    <row r="22" spans="1:24" s="31" customFormat="1" ht="12" customHeight="1" x14ac:dyDescent="0.2">
      <c r="A22" s="18" t="s">
        <v>21</v>
      </c>
      <c r="B22" s="19">
        <f t="shared" ref="B22:V22" si="7">SUM(B18:B21)</f>
        <v>43923891</v>
      </c>
      <c r="C22" s="19">
        <f t="shared" si="7"/>
        <v>54157640</v>
      </c>
      <c r="D22" s="19">
        <f t="shared" si="7"/>
        <v>50623890</v>
      </c>
      <c r="E22" s="19">
        <f t="shared" si="7"/>
        <v>54255868</v>
      </c>
      <c r="F22" s="19">
        <f t="shared" si="7"/>
        <v>55487976</v>
      </c>
      <c r="G22" s="19">
        <f t="shared" si="7"/>
        <v>51920578</v>
      </c>
      <c r="H22" s="19">
        <f t="shared" si="7"/>
        <v>52517464</v>
      </c>
      <c r="I22" s="19">
        <f t="shared" si="7"/>
        <v>50685818</v>
      </c>
      <c r="J22" s="19">
        <f t="shared" si="7"/>
        <v>54928386</v>
      </c>
      <c r="K22" s="19">
        <f t="shared" si="7"/>
        <v>55103539</v>
      </c>
      <c r="L22" s="19">
        <f t="shared" si="7"/>
        <v>49873440</v>
      </c>
      <c r="M22" s="19">
        <f t="shared" si="7"/>
        <v>55593092</v>
      </c>
      <c r="N22" s="19">
        <f t="shared" si="7"/>
        <v>54261649</v>
      </c>
      <c r="O22" s="19">
        <f t="shared" si="7"/>
        <v>55896863</v>
      </c>
      <c r="P22" s="19">
        <f t="shared" si="7"/>
        <v>56473937</v>
      </c>
      <c r="Q22" s="19">
        <f t="shared" si="7"/>
        <v>57373878</v>
      </c>
      <c r="R22" s="19">
        <f t="shared" si="7"/>
        <v>58730174</v>
      </c>
      <c r="S22" s="19">
        <f t="shared" si="7"/>
        <v>53690678</v>
      </c>
      <c r="T22" s="19">
        <f t="shared" si="7"/>
        <v>56228013</v>
      </c>
      <c r="U22" s="19">
        <f t="shared" si="7"/>
        <v>52294368</v>
      </c>
      <c r="V22" s="19">
        <f t="shared" si="7"/>
        <v>52061698</v>
      </c>
      <c r="W22" s="19">
        <f t="shared" si="6"/>
        <v>657581329</v>
      </c>
      <c r="X22" s="19"/>
    </row>
    <row r="23" spans="1:24" s="31" customFormat="1" ht="12" customHeight="1" x14ac:dyDescent="0.2">
      <c r="A23" s="18" t="s">
        <v>50</v>
      </c>
      <c r="B23" s="19">
        <f t="shared" ref="B23:V23" si="8">-B16+B22</f>
        <v>57656</v>
      </c>
      <c r="C23" s="19">
        <f t="shared" si="8"/>
        <v>-33812</v>
      </c>
      <c r="D23" s="19">
        <f t="shared" si="8"/>
        <v>-31704</v>
      </c>
      <c r="E23" s="19">
        <f t="shared" si="8"/>
        <v>-60647</v>
      </c>
      <c r="F23" s="19">
        <f t="shared" si="8"/>
        <v>-35857</v>
      </c>
      <c r="G23" s="19">
        <f t="shared" si="8"/>
        <v>-61002</v>
      </c>
      <c r="H23" s="19">
        <f t="shared" si="8"/>
        <v>30362</v>
      </c>
      <c r="I23" s="19">
        <f t="shared" si="8"/>
        <v>-72535</v>
      </c>
      <c r="J23" s="19">
        <f t="shared" si="8"/>
        <v>-17310</v>
      </c>
      <c r="K23" s="19">
        <f t="shared" si="8"/>
        <v>33991</v>
      </c>
      <c r="L23" s="19">
        <f t="shared" si="8"/>
        <v>-12036</v>
      </c>
      <c r="M23" s="19">
        <f t="shared" si="8"/>
        <v>154615</v>
      </c>
      <c r="N23" s="19">
        <f t="shared" si="8"/>
        <v>163508</v>
      </c>
      <c r="O23" s="19">
        <f t="shared" si="8"/>
        <v>191238</v>
      </c>
      <c r="P23" s="19">
        <f t="shared" si="8"/>
        <v>236698</v>
      </c>
      <c r="Q23" s="19">
        <f t="shared" si="8"/>
        <v>34578</v>
      </c>
      <c r="R23" s="19">
        <f t="shared" si="8"/>
        <v>42197</v>
      </c>
      <c r="S23" s="19">
        <f t="shared" si="8"/>
        <v>-59627</v>
      </c>
      <c r="T23" s="19">
        <f t="shared" si="8"/>
        <v>73197</v>
      </c>
      <c r="U23" s="19">
        <f t="shared" si="8"/>
        <v>-19134</v>
      </c>
      <c r="V23" s="19">
        <f t="shared" si="8"/>
        <v>27336</v>
      </c>
      <c r="W23" s="19">
        <f t="shared" si="6"/>
        <v>866561</v>
      </c>
      <c r="X23" s="19"/>
    </row>
    <row r="24" spans="1:24" s="31" customFormat="1" ht="12" customHeight="1" x14ac:dyDescent="0.2">
      <c r="A24" s="36" t="s">
        <v>23</v>
      </c>
      <c r="B24" s="27">
        <f>2*B23/(B16+B22)</f>
        <v>1.3134962353283329E-3</v>
      </c>
      <c r="C24" s="27">
        <f>2*C23/(C16+C22)</f>
        <v>-6.241307495221095E-4</v>
      </c>
      <c r="D24" s="27">
        <f>2*D23/(D16+D22)</f>
        <v>-6.2606954040168687E-4</v>
      </c>
      <c r="E24" s="27">
        <f>2*E23/(E16+E22)</f>
        <v>-1.1171717581256368E-3</v>
      </c>
      <c r="F24" s="27">
        <f>2*F23/(F16+F22)</f>
        <v>-6.4600334546390469E-4</v>
      </c>
      <c r="G24" s="27">
        <f t="shared" ref="G24:V24" si="9">G23/G16</f>
        <v>-1.1735310854344943E-3</v>
      </c>
      <c r="H24" s="27">
        <f t="shared" si="9"/>
        <v>5.7846592482854167E-4</v>
      </c>
      <c r="I24" s="27">
        <f t="shared" si="9"/>
        <v>-1.4290258787553647E-3</v>
      </c>
      <c r="J24" s="27">
        <f t="shared" si="9"/>
        <v>-3.1503832438486176E-4</v>
      </c>
      <c r="K24" s="27">
        <f t="shared" si="9"/>
        <v>6.1723767916163034E-4</v>
      </c>
      <c r="L24" s="27">
        <f t="shared" si="9"/>
        <v>-2.4127263013386902E-4</v>
      </c>
      <c r="M24" s="27">
        <f t="shared" si="9"/>
        <v>2.7889474669370879E-3</v>
      </c>
      <c r="N24" s="27">
        <f t="shared" si="9"/>
        <v>3.0224328780539796E-3</v>
      </c>
      <c r="O24" s="27">
        <f t="shared" si="9"/>
        <v>3.4330105801703148E-3</v>
      </c>
      <c r="P24" s="27">
        <f t="shared" si="9"/>
        <v>4.2089192892275527E-3</v>
      </c>
      <c r="Q24" s="27">
        <f t="shared" si="9"/>
        <v>6.0304189273325626E-4</v>
      </c>
      <c r="R24" s="27">
        <f t="shared" si="9"/>
        <v>7.1900587065728985E-4</v>
      </c>
      <c r="S24" s="27">
        <f t="shared" si="9"/>
        <v>-1.1093332400625448E-3</v>
      </c>
      <c r="T24" s="27">
        <f t="shared" si="9"/>
        <v>1.303485706372896E-3</v>
      </c>
      <c r="U24" s="27">
        <f t="shared" si="9"/>
        <v>-3.6575643511688438E-4</v>
      </c>
      <c r="V24" s="27">
        <f t="shared" si="9"/>
        <v>5.2534515557238883E-4</v>
      </c>
      <c r="W24" s="27">
        <f>W23/W16</f>
        <v>1.3195393833445816E-3</v>
      </c>
      <c r="X24" s="27"/>
    </row>
    <row r="25" spans="1:24" x14ac:dyDescent="0.3">
      <c r="X25"/>
    </row>
    <row r="26" spans="1:24" x14ac:dyDescent="0.3">
      <c r="X26"/>
    </row>
    <row r="27" spans="1:24" x14ac:dyDescent="0.3">
      <c r="A27"/>
      <c r="I27"/>
      <c r="X27"/>
    </row>
    <row r="28" spans="1:24" x14ac:dyDescent="0.3">
      <c r="A28"/>
      <c r="I28"/>
      <c r="X28"/>
    </row>
    <row r="29" spans="1:24" x14ac:dyDescent="0.3">
      <c r="X29"/>
    </row>
    <row r="30" spans="1:24" x14ac:dyDescent="0.3">
      <c r="X30"/>
    </row>
    <row r="31" spans="1:24" x14ac:dyDescent="0.3">
      <c r="X31"/>
    </row>
    <row r="32" spans="1:24" x14ac:dyDescent="0.3">
      <c r="X32"/>
    </row>
    <row r="33" spans="24:24" x14ac:dyDescent="0.3">
      <c r="X33"/>
    </row>
    <row r="34" spans="24:24" x14ac:dyDescent="0.3">
      <c r="X34"/>
    </row>
    <row r="35" spans="24:24" x14ac:dyDescent="0.3">
      <c r="X35"/>
    </row>
    <row r="36" spans="24:24" x14ac:dyDescent="0.3">
      <c r="X36"/>
    </row>
    <row r="37" spans="24:24" x14ac:dyDescent="0.3">
      <c r="X37"/>
    </row>
  </sheetData>
  <phoneticPr fontId="7" type="noConversion"/>
  <printOptions horizontalCentered="1" verticalCentered="1" gridLines="1" gridLinesSet="0"/>
  <pageMargins left="0.25" right="0.24" top="1" bottom="1" header="0.5" footer="0.5"/>
  <pageSetup scale="80" orientation="landscape" horizontalDpi="300" verticalDpi="300" r:id="rId1"/>
  <headerFooter alignWithMargins="0">
    <oddHeader>&amp;C&amp;"Arial,Bold Italic"&amp;12TW MCF PRA (00)12 Month Historical</oddHeader>
    <oddFooter>&amp;L&amp;F&amp;CPage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zoomScale="90" workbookViewId="0"/>
  </sheetViews>
  <sheetFormatPr defaultColWidth="9.109375" defaultRowHeight="13.8" x14ac:dyDescent="0.3"/>
  <cols>
    <col min="1" max="1" width="16.109375" style="20" customWidth="1"/>
    <col min="2" max="10" width="11.5546875" style="20" hidden="1" customWidth="1"/>
    <col min="11" max="23" width="11.5546875" style="20" customWidth="1"/>
    <col min="24" max="16384" width="9.109375" style="20"/>
  </cols>
  <sheetData>
    <row r="1" spans="1:23" ht="12" customHeight="1" x14ac:dyDescent="0.3">
      <c r="A1" s="18" t="s">
        <v>49</v>
      </c>
      <c r="B1" s="19"/>
      <c r="C1" s="19"/>
      <c r="D1" s="19"/>
      <c r="E1" s="19"/>
      <c r="F1" s="19"/>
      <c r="G1" s="19"/>
      <c r="H1" s="28" t="s">
        <v>2</v>
      </c>
      <c r="I1" s="21">
        <f ca="1">NOW()</f>
        <v>37285.808733796293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2" customHeight="1" x14ac:dyDescent="0.3">
      <c r="A2" s="18" t="s">
        <v>31</v>
      </c>
      <c r="B2" s="19"/>
      <c r="C2" s="19"/>
      <c r="D2" s="19"/>
      <c r="E2" s="19"/>
      <c r="F2" s="19"/>
      <c r="G2" s="19"/>
      <c r="H2" s="19" t="s">
        <v>57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2" customHeight="1" x14ac:dyDescent="0.3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2" customHeight="1" x14ac:dyDescent="0.3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2" customHeight="1" x14ac:dyDescent="0.3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22" t="s">
        <v>12</v>
      </c>
      <c r="V5" s="22" t="s">
        <v>13</v>
      </c>
      <c r="W5" s="23" t="s">
        <v>17</v>
      </c>
    </row>
    <row r="6" spans="1:23" ht="12" customHeight="1" x14ac:dyDescent="0.3">
      <c r="A6" s="18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2001</v>
      </c>
      <c r="L6" s="22">
        <v>2001</v>
      </c>
      <c r="M6" s="22">
        <v>2001</v>
      </c>
      <c r="N6" s="22">
        <v>2001</v>
      </c>
      <c r="O6" s="22">
        <v>2001</v>
      </c>
      <c r="P6" s="22">
        <v>2001</v>
      </c>
      <c r="Q6" s="22">
        <v>2001</v>
      </c>
      <c r="R6" s="22">
        <v>2001</v>
      </c>
      <c r="S6" s="22">
        <v>2001</v>
      </c>
      <c r="T6" s="22">
        <v>2001</v>
      </c>
      <c r="U6" s="22">
        <v>2001</v>
      </c>
      <c r="V6" s="22">
        <v>2001</v>
      </c>
      <c r="W6" s="23" t="s">
        <v>18</v>
      </c>
    </row>
    <row r="7" spans="1:23" ht="12" customHeight="1" x14ac:dyDescent="0.3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2" customHeight="1" x14ac:dyDescent="0.3">
      <c r="A8" s="24" t="s">
        <v>19</v>
      </c>
      <c r="B8" s="19">
        <v>83808480</v>
      </c>
      <c r="C8" s="19">
        <v>98257638</v>
      </c>
      <c r="D8" s="19">
        <v>88215990</v>
      </c>
      <c r="E8" s="19">
        <v>93125811</v>
      </c>
      <c r="F8" s="19">
        <v>97179378</v>
      </c>
      <c r="G8" s="19">
        <v>94491622</v>
      </c>
      <c r="H8" s="19">
        <v>95061107</v>
      </c>
      <c r="I8" s="19">
        <v>91327806</v>
      </c>
      <c r="J8" s="19">
        <v>99945386</v>
      </c>
      <c r="K8" s="19">
        <v>103863226</v>
      </c>
      <c r="L8" s="19">
        <v>94543519</v>
      </c>
      <c r="M8" s="19">
        <v>101491769</v>
      </c>
      <c r="N8" s="19">
        <f>55269884+28678561</f>
        <v>83948445</v>
      </c>
      <c r="O8" s="19">
        <f>57033458+32020754</f>
        <v>89054212</v>
      </c>
      <c r="P8" s="19">
        <f>57524028+29335559</f>
        <v>86859587</v>
      </c>
      <c r="Q8" s="19">
        <f>58769535+32437043</f>
        <v>91206578</v>
      </c>
      <c r="R8" s="19">
        <f>60167358+32819369</f>
        <v>92986727</v>
      </c>
      <c r="S8" s="19">
        <f>54918872+32333952</f>
        <v>87252824</v>
      </c>
      <c r="T8" s="19">
        <f>57465244+33719539</f>
        <v>91184783</v>
      </c>
      <c r="U8" s="25">
        <f>53537114+34877849</f>
        <v>88414963</v>
      </c>
      <c r="V8" s="25">
        <f>53276035+32863677</f>
        <v>86139712</v>
      </c>
      <c r="W8" s="19">
        <f>SUM(K8:V8)</f>
        <v>1096946345</v>
      </c>
    </row>
    <row r="9" spans="1:23" ht="12" customHeight="1" x14ac:dyDescent="0.3">
      <c r="A9" s="24" t="s">
        <v>20</v>
      </c>
      <c r="B9" s="19">
        <v>83500185</v>
      </c>
      <c r="C9" s="19">
        <v>97814100</v>
      </c>
      <c r="D9" s="19">
        <v>87510873</v>
      </c>
      <c r="E9" s="19">
        <v>92478136</v>
      </c>
      <c r="F9" s="19">
        <v>96436796</v>
      </c>
      <c r="G9" s="19">
        <v>93802901</v>
      </c>
      <c r="H9" s="19">
        <v>94444434</v>
      </c>
      <c r="I9" s="19">
        <v>90781179</v>
      </c>
      <c r="J9" s="19">
        <v>99276695</v>
      </c>
      <c r="K9" s="19">
        <v>103317284</v>
      </c>
      <c r="L9" s="19">
        <v>93929128</v>
      </c>
      <c r="M9" s="19">
        <v>100893159</v>
      </c>
      <c r="N9" s="19">
        <f>55433633+28678561</f>
        <v>84112194</v>
      </c>
      <c r="O9" s="19">
        <f>57229431+32020754</f>
        <v>89250185</v>
      </c>
      <c r="P9" s="19">
        <f>57797568+29335559</f>
        <v>87133127</v>
      </c>
      <c r="Q9" s="19">
        <f>58805612+32437043</f>
        <v>91242655</v>
      </c>
      <c r="R9" s="19">
        <f>60237555+32819369</f>
        <v>93056924</v>
      </c>
      <c r="S9" s="19">
        <f>54912793+32333952</f>
        <v>87246745</v>
      </c>
      <c r="T9" s="19">
        <f>57539595+33719539</f>
        <v>91259134</v>
      </c>
      <c r="U9" s="25">
        <f>53523149+34877849</f>
        <v>88400998</v>
      </c>
      <c r="V9" s="25">
        <f>53309276+32863677</f>
        <v>86172953</v>
      </c>
      <c r="W9" s="19">
        <f>SUM(K9:V9)</f>
        <v>1096014486</v>
      </c>
    </row>
    <row r="10" spans="1:23" ht="12" customHeight="1" x14ac:dyDescent="0.3">
      <c r="A10" s="24" t="s">
        <v>21</v>
      </c>
      <c r="B10" s="19">
        <f t="shared" ref="B10:O10" si="0">+B9+B19+B20+B21</f>
        <v>83921474</v>
      </c>
      <c r="C10" s="19">
        <f t="shared" si="0"/>
        <v>98293526</v>
      </c>
      <c r="D10" s="19">
        <f t="shared" si="0"/>
        <v>88149547</v>
      </c>
      <c r="E10" s="19">
        <f t="shared" si="0"/>
        <v>93030416</v>
      </c>
      <c r="F10" s="19">
        <f>+F9+F19+F20+F21</f>
        <v>97148430</v>
      </c>
      <c r="G10" s="19">
        <f t="shared" si="0"/>
        <v>94435904</v>
      </c>
      <c r="H10" s="19">
        <f t="shared" si="0"/>
        <v>95133706</v>
      </c>
      <c r="I10" s="19">
        <f t="shared" si="0"/>
        <v>91266727</v>
      </c>
      <c r="J10" s="19">
        <f t="shared" si="0"/>
        <v>99932139</v>
      </c>
      <c r="K10" s="19">
        <f t="shared" si="0"/>
        <v>103943495</v>
      </c>
      <c r="L10" s="19">
        <f t="shared" si="0"/>
        <v>94536878</v>
      </c>
      <c r="M10" s="19">
        <f t="shared" si="0"/>
        <v>101668576</v>
      </c>
      <c r="N10" s="19">
        <f t="shared" si="0"/>
        <v>84112194</v>
      </c>
      <c r="O10" s="19">
        <f t="shared" si="0"/>
        <v>89250185</v>
      </c>
      <c r="P10" s="19">
        <f t="shared" ref="P10:V10" si="1">+P9+P19+P20+P21</f>
        <v>87133127</v>
      </c>
      <c r="Q10" s="19">
        <f t="shared" si="1"/>
        <v>91242655</v>
      </c>
      <c r="R10" s="19">
        <f t="shared" si="1"/>
        <v>93056924</v>
      </c>
      <c r="S10" s="19">
        <f t="shared" si="1"/>
        <v>87246745</v>
      </c>
      <c r="T10" s="19">
        <f t="shared" si="1"/>
        <v>91259134</v>
      </c>
      <c r="U10" s="19">
        <f t="shared" si="1"/>
        <v>88400998</v>
      </c>
      <c r="V10" s="19">
        <f t="shared" si="1"/>
        <v>86172953</v>
      </c>
      <c r="W10" s="19">
        <f>SUM(K10:V10)</f>
        <v>1098023864</v>
      </c>
    </row>
    <row r="11" spans="1:23" ht="12" customHeight="1" x14ac:dyDescent="0.3">
      <c r="A11" s="24" t="s">
        <v>22</v>
      </c>
      <c r="B11" s="19">
        <f t="shared" ref="B11:O11" si="2">-B8+B10</f>
        <v>112994</v>
      </c>
      <c r="C11" s="19">
        <f t="shared" si="2"/>
        <v>35888</v>
      </c>
      <c r="D11" s="19">
        <f t="shared" si="2"/>
        <v>-66443</v>
      </c>
      <c r="E11" s="19">
        <f t="shared" si="2"/>
        <v>-95395</v>
      </c>
      <c r="F11" s="19">
        <f t="shared" si="2"/>
        <v>-30948</v>
      </c>
      <c r="G11" s="19">
        <f t="shared" si="2"/>
        <v>-55718</v>
      </c>
      <c r="H11" s="19">
        <f t="shared" si="2"/>
        <v>72599</v>
      </c>
      <c r="I11" s="19">
        <f t="shared" si="2"/>
        <v>-61079</v>
      </c>
      <c r="J11" s="19">
        <f t="shared" si="2"/>
        <v>-13247</v>
      </c>
      <c r="K11" s="19">
        <f t="shared" si="2"/>
        <v>80269</v>
      </c>
      <c r="L11" s="19">
        <f t="shared" si="2"/>
        <v>-6641</v>
      </c>
      <c r="M11" s="19">
        <f t="shared" si="2"/>
        <v>176807</v>
      </c>
      <c r="N11" s="19">
        <f t="shared" si="2"/>
        <v>163749</v>
      </c>
      <c r="O11" s="19">
        <f t="shared" si="2"/>
        <v>195973</v>
      </c>
      <c r="P11" s="19">
        <f t="shared" ref="P11:V11" si="3">-P8+P10</f>
        <v>273540</v>
      </c>
      <c r="Q11" s="19">
        <f t="shared" si="3"/>
        <v>36077</v>
      </c>
      <c r="R11" s="19">
        <f t="shared" si="3"/>
        <v>70197</v>
      </c>
      <c r="S11" s="19">
        <f t="shared" si="3"/>
        <v>-6079</v>
      </c>
      <c r="T11" s="19">
        <f t="shared" si="3"/>
        <v>74351</v>
      </c>
      <c r="U11" s="19">
        <f t="shared" si="3"/>
        <v>-13965</v>
      </c>
      <c r="V11" s="19">
        <f t="shared" si="3"/>
        <v>33241</v>
      </c>
      <c r="W11" s="19">
        <f>SUM(K11:V11)</f>
        <v>1077519</v>
      </c>
    </row>
    <row r="12" spans="1:23" ht="12" customHeight="1" x14ac:dyDescent="0.3">
      <c r="A12" s="26" t="s">
        <v>23</v>
      </c>
      <c r="B12" s="27">
        <f>2*B11/(B8+B10)</f>
        <v>1.3473323912078341E-3</v>
      </c>
      <c r="C12" s="27">
        <f>2*C11/(C8+C10)</f>
        <v>3.6517718104177701E-4</v>
      </c>
      <c r="D12" s="27">
        <f>2*D11/(D8+D10)</f>
        <v>-7.5346919959765155E-4</v>
      </c>
      <c r="E12" s="27">
        <f>2*E11/(E8+E10)</f>
        <v>-1.0248918506497234E-3</v>
      </c>
      <c r="F12" s="27">
        <f>2*F11/(F8+F10)</f>
        <v>-3.1851334421474051E-4</v>
      </c>
      <c r="G12" s="27">
        <f t="shared" ref="G12:V12" si="4">G11/G8</f>
        <v>-5.8966074262118177E-4</v>
      </c>
      <c r="H12" s="27">
        <f t="shared" si="4"/>
        <v>7.6370875840947236E-4</v>
      </c>
      <c r="I12" s="27">
        <f t="shared" si="4"/>
        <v>-6.6878864909992476E-4</v>
      </c>
      <c r="J12" s="27">
        <f t="shared" si="4"/>
        <v>-1.3254238669907183E-4</v>
      </c>
      <c r="K12" s="27">
        <f t="shared" si="4"/>
        <v>7.7283368802736783E-4</v>
      </c>
      <c r="L12" s="27">
        <f t="shared" si="4"/>
        <v>-7.0242784172228667E-5</v>
      </c>
      <c r="M12" s="27">
        <f t="shared" si="4"/>
        <v>1.7420821584063629E-3</v>
      </c>
      <c r="N12" s="27">
        <f t="shared" si="4"/>
        <v>1.9505900317748589E-3</v>
      </c>
      <c r="O12" s="27">
        <f t="shared" si="4"/>
        <v>2.200603380781136E-3</v>
      </c>
      <c r="P12" s="27">
        <f t="shared" si="4"/>
        <v>3.1492205920804115E-3</v>
      </c>
      <c r="Q12" s="27">
        <f t="shared" si="4"/>
        <v>3.9555261025142288E-4</v>
      </c>
      <c r="R12" s="27">
        <f t="shared" si="4"/>
        <v>7.5491419329126405E-4</v>
      </c>
      <c r="S12" s="27">
        <f t="shared" si="4"/>
        <v>-6.9671097407689639E-5</v>
      </c>
      <c r="T12" s="27">
        <f t="shared" si="4"/>
        <v>8.1538824301418799E-4</v>
      </c>
      <c r="U12" s="27">
        <f t="shared" si="4"/>
        <v>-1.5794837803641902E-4</v>
      </c>
      <c r="V12" s="27">
        <f t="shared" si="4"/>
        <v>3.8589634476604703E-4</v>
      </c>
      <c r="W12" s="27">
        <f>W11/W8</f>
        <v>9.8228961235109443E-4</v>
      </c>
    </row>
    <row r="13" spans="1:23" ht="12" customHeight="1" x14ac:dyDescent="0.3">
      <c r="A13" s="24" t="s">
        <v>24</v>
      </c>
      <c r="B13" s="19">
        <f>-B8+B10</f>
        <v>112994</v>
      </c>
      <c r="C13" s="19">
        <f t="shared" ref="C13:M13" si="5">-C8+C10</f>
        <v>35888</v>
      </c>
      <c r="D13" s="19">
        <f t="shared" si="5"/>
        <v>-66443</v>
      </c>
      <c r="E13" s="19">
        <f t="shared" si="5"/>
        <v>-95395</v>
      </c>
      <c r="F13" s="19">
        <f t="shared" si="5"/>
        <v>-30948</v>
      </c>
      <c r="G13" s="19">
        <f t="shared" si="5"/>
        <v>-55718</v>
      </c>
      <c r="H13" s="19">
        <f t="shared" si="5"/>
        <v>72599</v>
      </c>
      <c r="I13" s="19">
        <f t="shared" si="5"/>
        <v>-61079</v>
      </c>
      <c r="J13" s="19">
        <f t="shared" si="5"/>
        <v>-13247</v>
      </c>
      <c r="K13" s="19">
        <f t="shared" si="5"/>
        <v>80269</v>
      </c>
      <c r="L13" s="19">
        <f t="shared" si="5"/>
        <v>-6641</v>
      </c>
      <c r="M13" s="19">
        <f t="shared" si="5"/>
        <v>176807</v>
      </c>
      <c r="N13" s="19">
        <f t="shared" ref="N13:S13" si="6">-N8+N10</f>
        <v>163749</v>
      </c>
      <c r="O13" s="19">
        <f t="shared" si="6"/>
        <v>195973</v>
      </c>
      <c r="P13" s="19">
        <f t="shared" si="6"/>
        <v>273540</v>
      </c>
      <c r="Q13" s="19">
        <f t="shared" si="6"/>
        <v>36077</v>
      </c>
      <c r="R13" s="19">
        <f t="shared" si="6"/>
        <v>70197</v>
      </c>
      <c r="S13" s="19">
        <f t="shared" si="6"/>
        <v>-6079</v>
      </c>
      <c r="T13" s="19">
        <f>-T8+T10</f>
        <v>74351</v>
      </c>
      <c r="U13" s="19">
        <f>-U8+U10</f>
        <v>-13965</v>
      </c>
      <c r="V13" s="19">
        <f>-V8+V10</f>
        <v>33241</v>
      </c>
      <c r="W13" s="19">
        <f>SUM(K13:V13)</f>
        <v>1077519</v>
      </c>
    </row>
    <row r="14" spans="1:23" ht="12" customHeight="1" x14ac:dyDescent="0.3">
      <c r="A14" s="26" t="s">
        <v>23</v>
      </c>
      <c r="B14" s="27">
        <f>2*B13/(B8+B10)</f>
        <v>1.3473323912078341E-3</v>
      </c>
      <c r="C14" s="27">
        <f>2*C13/(C8+C10)</f>
        <v>3.6517718104177701E-4</v>
      </c>
      <c r="D14" s="27">
        <f>2*D13/(D8+D10)</f>
        <v>-7.5346919959765155E-4</v>
      </c>
      <c r="E14" s="27">
        <f>2*E13/(E8+E10)</f>
        <v>-1.0248918506497234E-3</v>
      </c>
      <c r="F14" s="27">
        <f>2*F13/(F8+F10)</f>
        <v>-3.1851334421474051E-4</v>
      </c>
      <c r="G14" s="27">
        <f t="shared" ref="G14:V14" si="7">G13/G8</f>
        <v>-5.8966074262118177E-4</v>
      </c>
      <c r="H14" s="27">
        <f t="shared" si="7"/>
        <v>7.6370875840947236E-4</v>
      </c>
      <c r="I14" s="27">
        <f t="shared" si="7"/>
        <v>-6.6878864909992476E-4</v>
      </c>
      <c r="J14" s="27">
        <f t="shared" si="7"/>
        <v>-1.3254238669907183E-4</v>
      </c>
      <c r="K14" s="27">
        <f t="shared" si="7"/>
        <v>7.7283368802736783E-4</v>
      </c>
      <c r="L14" s="27">
        <f t="shared" si="7"/>
        <v>-7.0242784172228667E-5</v>
      </c>
      <c r="M14" s="27">
        <f t="shared" si="7"/>
        <v>1.7420821584063629E-3</v>
      </c>
      <c r="N14" s="27">
        <f t="shared" si="7"/>
        <v>1.9505900317748589E-3</v>
      </c>
      <c r="O14" s="27">
        <f t="shared" si="7"/>
        <v>2.200603380781136E-3</v>
      </c>
      <c r="P14" s="27">
        <f t="shared" si="7"/>
        <v>3.1492205920804115E-3</v>
      </c>
      <c r="Q14" s="27">
        <f t="shared" si="7"/>
        <v>3.9555261025142288E-4</v>
      </c>
      <c r="R14" s="27">
        <f t="shared" si="7"/>
        <v>7.5491419329126405E-4</v>
      </c>
      <c r="S14" s="27">
        <f t="shared" si="7"/>
        <v>-6.9671097407689639E-5</v>
      </c>
      <c r="T14" s="27">
        <f t="shared" si="7"/>
        <v>8.1538824301418799E-4</v>
      </c>
      <c r="U14" s="27">
        <f t="shared" si="7"/>
        <v>-1.5794837803641902E-4</v>
      </c>
      <c r="V14" s="27">
        <f t="shared" si="7"/>
        <v>3.8589634476604703E-4</v>
      </c>
      <c r="W14" s="27">
        <f>W13/W8</f>
        <v>9.8228961235109443E-4</v>
      </c>
    </row>
    <row r="15" spans="1:23" ht="12" customHeight="1" x14ac:dyDescent="0.3">
      <c r="A15" s="24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31"/>
      <c r="V15" s="31"/>
      <c r="W15" s="19" t="s">
        <v>1</v>
      </c>
    </row>
    <row r="16" spans="1:23" ht="12" customHeight="1" x14ac:dyDescent="0.3">
      <c r="A16" s="24" t="s">
        <v>25</v>
      </c>
      <c r="B16" s="19">
        <v>44743883</v>
      </c>
      <c r="C16" s="19">
        <v>55158369</v>
      </c>
      <c r="D16" s="19">
        <v>51571722</v>
      </c>
      <c r="E16" s="19">
        <v>55346032</v>
      </c>
      <c r="F16" s="19">
        <v>56694530</v>
      </c>
      <c r="G16" s="19">
        <v>53117206</v>
      </c>
      <c r="H16" s="19">
        <v>53458381</v>
      </c>
      <c r="I16" s="19">
        <v>51629561</v>
      </c>
      <c r="J16" s="19">
        <v>56121622</v>
      </c>
      <c r="K16" s="19">
        <v>56357459</v>
      </c>
      <c r="L16" s="19">
        <v>50983916</v>
      </c>
      <c r="M16" s="19">
        <v>56484047</v>
      </c>
      <c r="N16" s="19">
        <v>55269884</v>
      </c>
      <c r="O16" s="19">
        <v>57033458</v>
      </c>
      <c r="P16" s="19">
        <v>57524028</v>
      </c>
      <c r="Q16" s="19">
        <v>58769535</v>
      </c>
      <c r="R16" s="19">
        <v>60167358</v>
      </c>
      <c r="S16" s="19">
        <v>54918872</v>
      </c>
      <c r="T16" s="19">
        <v>57465244</v>
      </c>
      <c r="U16" s="19">
        <v>53537114</v>
      </c>
      <c r="V16" s="19">
        <v>53276035</v>
      </c>
      <c r="W16" s="19">
        <f>SUM(K16:V16)</f>
        <v>671786950</v>
      </c>
    </row>
    <row r="17" spans="1:23" ht="12" customHeight="1" x14ac:dyDescent="0.3">
      <c r="A17" s="2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 t="s">
        <v>1</v>
      </c>
    </row>
    <row r="18" spans="1:23" ht="12" customHeight="1" x14ac:dyDescent="0.3">
      <c r="A18" s="24" t="s">
        <v>26</v>
      </c>
      <c r="B18" s="19">
        <v>44435588</v>
      </c>
      <c r="C18" s="19">
        <v>54714831</v>
      </c>
      <c r="D18" s="19">
        <v>50866605</v>
      </c>
      <c r="E18" s="19">
        <v>54698357</v>
      </c>
      <c r="F18" s="19">
        <v>55951948</v>
      </c>
      <c r="G18" s="19">
        <v>52428485</v>
      </c>
      <c r="H18" s="19">
        <v>52841708</v>
      </c>
      <c r="I18" s="19">
        <v>51629561</v>
      </c>
      <c r="J18" s="19">
        <v>55452931</v>
      </c>
      <c r="K18" s="19">
        <v>55811517</v>
      </c>
      <c r="L18" s="19">
        <v>50369525</v>
      </c>
      <c r="M18" s="19">
        <v>55885437</v>
      </c>
      <c r="N18" s="19">
        <v>55433633</v>
      </c>
      <c r="O18" s="19">
        <v>57229431</v>
      </c>
      <c r="P18" s="19">
        <v>57797568</v>
      </c>
      <c r="Q18" s="19">
        <v>58805612</v>
      </c>
      <c r="R18" s="19">
        <v>60237555</v>
      </c>
      <c r="S18" s="19">
        <v>54912793</v>
      </c>
      <c r="T18" s="19">
        <v>57539595</v>
      </c>
      <c r="U18" s="19">
        <v>53523149</v>
      </c>
      <c r="V18" s="19">
        <v>53309276</v>
      </c>
      <c r="W18" s="19">
        <f t="shared" ref="W18:W23" si="8">SUM(K18:V18)</f>
        <v>670855091</v>
      </c>
    </row>
    <row r="19" spans="1:23" ht="12" customHeight="1" x14ac:dyDescent="0.3">
      <c r="A19" s="24" t="s">
        <v>27</v>
      </c>
      <c r="B19" s="19">
        <v>424330</v>
      </c>
      <c r="C19" s="19">
        <v>534647</v>
      </c>
      <c r="D19" s="19">
        <v>551826</v>
      </c>
      <c r="E19" s="19">
        <v>605933</v>
      </c>
      <c r="F19" s="19">
        <v>602302</v>
      </c>
      <c r="G19" s="19">
        <v>568144</v>
      </c>
      <c r="H19" s="19">
        <v>651860</v>
      </c>
      <c r="I19" s="19">
        <v>493675</v>
      </c>
      <c r="J19" s="19">
        <v>635714</v>
      </c>
      <c r="K19" s="19">
        <v>635520</v>
      </c>
      <c r="L19" s="19">
        <v>570076</v>
      </c>
      <c r="M19" s="19">
        <v>638720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 t="shared" si="8"/>
        <v>1844316</v>
      </c>
    </row>
    <row r="20" spans="1:23" ht="12" customHeight="1" x14ac:dyDescent="0.3">
      <c r="A20" s="24" t="s">
        <v>28</v>
      </c>
      <c r="B20" s="19">
        <v>-4177</v>
      </c>
      <c r="C20" s="19">
        <v>-55221</v>
      </c>
      <c r="D20" s="19">
        <v>86848</v>
      </c>
      <c r="E20" s="19">
        <v>-58455</v>
      </c>
      <c r="F20" s="19">
        <v>107934</v>
      </c>
      <c r="G20" s="19">
        <v>60400</v>
      </c>
      <c r="H20" s="19">
        <v>30132</v>
      </c>
      <c r="I20" s="19">
        <v>-13937</v>
      </c>
      <c r="J20" s="19">
        <v>15232</v>
      </c>
      <c r="K20" s="19">
        <v>-17746</v>
      </c>
      <c r="L20" s="19">
        <v>33996</v>
      </c>
      <c r="M20" s="19">
        <v>107280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 t="shared" si="8"/>
        <v>123530</v>
      </c>
    </row>
    <row r="21" spans="1:23" ht="12" customHeight="1" x14ac:dyDescent="0.3">
      <c r="A21" s="24" t="s">
        <v>29</v>
      </c>
      <c r="B21" s="19">
        <v>1136</v>
      </c>
      <c r="C21" s="19">
        <v>0</v>
      </c>
      <c r="D21" s="19">
        <v>0</v>
      </c>
      <c r="E21" s="19">
        <v>4802</v>
      </c>
      <c r="F21" s="19">
        <v>1398</v>
      </c>
      <c r="G21" s="19">
        <v>4459</v>
      </c>
      <c r="H21" s="19">
        <v>7280</v>
      </c>
      <c r="I21" s="19">
        <v>5810</v>
      </c>
      <c r="J21" s="19">
        <v>4498</v>
      </c>
      <c r="K21" s="19">
        <v>8437</v>
      </c>
      <c r="L21" s="19">
        <v>3678</v>
      </c>
      <c r="M21" s="19">
        <v>29417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 t="shared" si="8"/>
        <v>41532</v>
      </c>
    </row>
    <row r="22" spans="1:23" ht="12" customHeight="1" x14ac:dyDescent="0.3">
      <c r="A22" s="24" t="s">
        <v>21</v>
      </c>
      <c r="B22" s="19">
        <f t="shared" ref="B22:O22" si="9">SUM(B18:B21)</f>
        <v>44856877</v>
      </c>
      <c r="C22" s="19">
        <f t="shared" si="9"/>
        <v>55194257</v>
      </c>
      <c r="D22" s="19">
        <f t="shared" si="9"/>
        <v>51505279</v>
      </c>
      <c r="E22" s="19">
        <f t="shared" si="9"/>
        <v>55250637</v>
      </c>
      <c r="F22" s="19">
        <f t="shared" si="9"/>
        <v>56663582</v>
      </c>
      <c r="G22" s="19">
        <f t="shared" si="9"/>
        <v>53061488</v>
      </c>
      <c r="H22" s="19">
        <f t="shared" si="9"/>
        <v>53530980</v>
      </c>
      <c r="I22" s="19">
        <f t="shared" si="9"/>
        <v>52115109</v>
      </c>
      <c r="J22" s="19">
        <f t="shared" si="9"/>
        <v>56108375</v>
      </c>
      <c r="K22" s="19">
        <f t="shared" si="9"/>
        <v>56437728</v>
      </c>
      <c r="L22" s="19">
        <f t="shared" si="9"/>
        <v>50977275</v>
      </c>
      <c r="M22" s="19">
        <f t="shared" si="9"/>
        <v>56660854</v>
      </c>
      <c r="N22" s="19">
        <f t="shared" si="9"/>
        <v>55433633</v>
      </c>
      <c r="O22" s="19">
        <f t="shared" si="9"/>
        <v>57229431</v>
      </c>
      <c r="P22" s="19">
        <f t="shared" ref="P22:V22" si="10">SUM(P18:P21)</f>
        <v>57797568</v>
      </c>
      <c r="Q22" s="19">
        <f t="shared" si="10"/>
        <v>58805612</v>
      </c>
      <c r="R22" s="19">
        <f t="shared" si="10"/>
        <v>60237555</v>
      </c>
      <c r="S22" s="19">
        <f t="shared" si="10"/>
        <v>54912793</v>
      </c>
      <c r="T22" s="19">
        <f t="shared" si="10"/>
        <v>57539595</v>
      </c>
      <c r="U22" s="19">
        <f t="shared" si="10"/>
        <v>53523149</v>
      </c>
      <c r="V22" s="19">
        <f t="shared" si="10"/>
        <v>53309276</v>
      </c>
      <c r="W22" s="19">
        <f t="shared" si="8"/>
        <v>672864469</v>
      </c>
    </row>
    <row r="23" spans="1:23" ht="12" customHeight="1" x14ac:dyDescent="0.3">
      <c r="A23" s="24" t="s">
        <v>51</v>
      </c>
      <c r="B23" s="19">
        <f t="shared" ref="B23:O23" si="11">-B16+B22</f>
        <v>112994</v>
      </c>
      <c r="C23" s="19">
        <f t="shared" si="11"/>
        <v>35888</v>
      </c>
      <c r="D23" s="19">
        <f t="shared" si="11"/>
        <v>-66443</v>
      </c>
      <c r="E23" s="19">
        <f t="shared" si="11"/>
        <v>-95395</v>
      </c>
      <c r="F23" s="19">
        <f t="shared" si="11"/>
        <v>-30948</v>
      </c>
      <c r="G23" s="19">
        <f t="shared" si="11"/>
        <v>-55718</v>
      </c>
      <c r="H23" s="19">
        <f t="shared" si="11"/>
        <v>72599</v>
      </c>
      <c r="I23" s="19">
        <v>-61079</v>
      </c>
      <c r="J23" s="19">
        <f t="shared" si="11"/>
        <v>-13247</v>
      </c>
      <c r="K23" s="19">
        <f t="shared" si="11"/>
        <v>80269</v>
      </c>
      <c r="L23" s="19">
        <f t="shared" si="11"/>
        <v>-6641</v>
      </c>
      <c r="M23" s="19">
        <f t="shared" si="11"/>
        <v>176807</v>
      </c>
      <c r="N23" s="19">
        <f t="shared" si="11"/>
        <v>163749</v>
      </c>
      <c r="O23" s="19">
        <f t="shared" si="11"/>
        <v>195973</v>
      </c>
      <c r="P23" s="19">
        <f t="shared" ref="P23:V23" si="12">-P16+P22</f>
        <v>273540</v>
      </c>
      <c r="Q23" s="19">
        <f t="shared" si="12"/>
        <v>36077</v>
      </c>
      <c r="R23" s="19">
        <f t="shared" si="12"/>
        <v>70197</v>
      </c>
      <c r="S23" s="19">
        <f t="shared" si="12"/>
        <v>-6079</v>
      </c>
      <c r="T23" s="19">
        <f t="shared" si="12"/>
        <v>74351</v>
      </c>
      <c r="U23" s="19">
        <f t="shared" si="12"/>
        <v>-13965</v>
      </c>
      <c r="V23" s="19">
        <f t="shared" si="12"/>
        <v>33241</v>
      </c>
      <c r="W23" s="19">
        <f t="shared" si="8"/>
        <v>1077519</v>
      </c>
    </row>
    <row r="24" spans="1:23" ht="12" customHeight="1" x14ac:dyDescent="0.3">
      <c r="A24" s="26" t="s">
        <v>23</v>
      </c>
      <c r="B24" s="27">
        <f>2*B23/(B16+B22)</f>
        <v>2.522166106626774E-3</v>
      </c>
      <c r="C24" s="27">
        <f>2*C23/(C16+C22)</f>
        <v>6.50424032501048E-4</v>
      </c>
      <c r="D24" s="27">
        <f>2*D23/(D16+D22)</f>
        <v>-1.2891915627230948E-3</v>
      </c>
      <c r="E24" s="27">
        <f>2*E23/(E16+E22)</f>
        <v>-1.7250971636406157E-3</v>
      </c>
      <c r="F24" s="27">
        <f>2*F23/(F16+F22)</f>
        <v>-5.4602179683444266E-4</v>
      </c>
      <c r="G24" s="27">
        <f t="shared" ref="G24:V24" si="13">G23/G16</f>
        <v>-1.0489633057883354E-3</v>
      </c>
      <c r="H24" s="27">
        <f t="shared" si="13"/>
        <v>1.3580471133235405E-3</v>
      </c>
      <c r="I24" s="27">
        <f t="shared" si="13"/>
        <v>-1.1830238107195992E-3</v>
      </c>
      <c r="J24" s="27">
        <f t="shared" si="13"/>
        <v>-2.3604093267297227E-4</v>
      </c>
      <c r="K24" s="27">
        <f t="shared" si="13"/>
        <v>1.4242835185312383E-3</v>
      </c>
      <c r="L24" s="27">
        <f t="shared" si="13"/>
        <v>-1.3025676568273023E-4</v>
      </c>
      <c r="M24" s="27">
        <f t="shared" si="13"/>
        <v>3.1302112612433737E-3</v>
      </c>
      <c r="N24" s="27">
        <f t="shared" si="13"/>
        <v>2.9627165492151207E-3</v>
      </c>
      <c r="O24" s="27">
        <f t="shared" si="13"/>
        <v>3.4361058731525625E-3</v>
      </c>
      <c r="P24" s="27">
        <f t="shared" si="13"/>
        <v>4.7552302839432596E-3</v>
      </c>
      <c r="Q24" s="27">
        <f t="shared" si="13"/>
        <v>6.1387247661564789E-4</v>
      </c>
      <c r="R24" s="27">
        <f t="shared" si="13"/>
        <v>1.1666957355847335E-3</v>
      </c>
      <c r="S24" s="27">
        <f t="shared" si="13"/>
        <v>-1.1069054732223925E-4</v>
      </c>
      <c r="T24" s="27">
        <f t="shared" si="13"/>
        <v>1.2938429357404278E-3</v>
      </c>
      <c r="U24" s="27">
        <f t="shared" si="13"/>
        <v>-2.608470826425197E-4</v>
      </c>
      <c r="V24" s="27">
        <f t="shared" si="13"/>
        <v>6.2393907504565611E-4</v>
      </c>
      <c r="W24" s="27">
        <f>W23/W16</f>
        <v>1.6039594100480815E-3</v>
      </c>
    </row>
    <row r="25" spans="1:23" x14ac:dyDescent="0.3">
      <c r="A25" s="2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">
      <c r="A26" s="1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x14ac:dyDescent="0.3">
      <c r="A27" s="2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3">
      <c r="A28" s="1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x14ac:dyDescent="0.3">
      <c r="A29" s="1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1" spans="1:23" x14ac:dyDescent="0.3">
      <c r="L31"/>
    </row>
    <row r="32" spans="1:23" x14ac:dyDescent="0.3">
      <c r="L32"/>
    </row>
    <row r="33" spans="12:12" x14ac:dyDescent="0.3">
      <c r="L33"/>
    </row>
  </sheetData>
  <phoneticPr fontId="7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(00)12 Month Historical</oddHeader>
    <oddFooter>&amp;L&amp;F&amp;CPage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3.2" x14ac:dyDescent="0.25"/>
  <cols>
    <col min="14" max="14" width="10.109375" customWidth="1"/>
  </cols>
  <sheetData>
    <row r="1" spans="1:14" ht="13.8" x14ac:dyDescent="0.3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8" x14ac:dyDescent="0.3">
      <c r="A2" s="34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3.8" x14ac:dyDescent="0.3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3.8" x14ac:dyDescent="0.3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x14ac:dyDescent="0.25">
      <c r="A6" s="34"/>
      <c r="B6" s="22">
        <v>2001</v>
      </c>
      <c r="C6" s="22">
        <v>2001</v>
      </c>
      <c r="D6" s="22">
        <v>2001</v>
      </c>
      <c r="E6" s="22">
        <v>2001</v>
      </c>
      <c r="F6" s="22">
        <v>2001</v>
      </c>
      <c r="G6" s="22">
        <v>2001</v>
      </c>
      <c r="H6" s="22">
        <v>2001</v>
      </c>
      <c r="I6" s="22">
        <v>2001</v>
      </c>
      <c r="J6" s="22">
        <v>2001</v>
      </c>
      <c r="K6" s="22">
        <v>2001</v>
      </c>
      <c r="L6" s="22">
        <v>2001</v>
      </c>
      <c r="M6" s="22">
        <v>2001</v>
      </c>
      <c r="N6" s="23" t="s">
        <v>18</v>
      </c>
    </row>
    <row r="7" spans="1:14" ht="13.8" x14ac:dyDescent="0.3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x14ac:dyDescent="0.25">
      <c r="A8" s="34" t="s">
        <v>19</v>
      </c>
      <c r="B8" s="25">
        <v>100779475</v>
      </c>
      <c r="C8" s="25">
        <v>91861489</v>
      </c>
      <c r="D8" s="25">
        <v>99038483</v>
      </c>
      <c r="E8" s="25">
        <f>54098141+27424388</f>
        <v>81522529</v>
      </c>
      <c r="F8" s="25">
        <f>55705625+30581089</f>
        <v>86286714</v>
      </c>
      <c r="G8" s="25">
        <f>56237239+28131426</f>
        <v>84368665</v>
      </c>
      <c r="H8" s="25">
        <f>57339300+31127927</f>
        <v>88467227</v>
      </c>
      <c r="I8" s="25">
        <f>58687977+31510250</f>
        <v>90198227</v>
      </c>
      <c r="J8" s="25">
        <f>53750305+31111300</f>
        <v>84861605</v>
      </c>
      <c r="K8" s="25">
        <f>56154816+32385757</f>
        <v>88540573</v>
      </c>
      <c r="L8" s="25">
        <f>52313502+33510261</f>
        <v>85823763</v>
      </c>
      <c r="M8" s="25">
        <f>52034362+31550447</f>
        <v>83584809</v>
      </c>
      <c r="N8" s="19">
        <f>SUM(B8:M8)</f>
        <v>1065333559</v>
      </c>
    </row>
    <row r="9" spans="1:14" x14ac:dyDescent="0.25">
      <c r="A9" s="34" t="s">
        <v>20</v>
      </c>
      <c r="B9" s="25">
        <v>100209794</v>
      </c>
      <c r="C9" s="25">
        <v>91262582</v>
      </c>
      <c r="D9" s="25">
        <v>98458713</v>
      </c>
      <c r="E9" s="25">
        <f>54261649+27424388</f>
        <v>81686037</v>
      </c>
      <c r="F9" s="25">
        <f>55896863+30581089</f>
        <v>86477952</v>
      </c>
      <c r="G9" s="25">
        <f>56473937+28131426</f>
        <v>84605363</v>
      </c>
      <c r="H9" s="25">
        <f>57373878+31127927</f>
        <v>88501805</v>
      </c>
      <c r="I9" s="25">
        <f>58730174+31510250</f>
        <v>90240424</v>
      </c>
      <c r="J9" s="25">
        <f>53690678+31111300</f>
        <v>84801978</v>
      </c>
      <c r="K9" s="25">
        <f>56228013+32385757</f>
        <v>88613770</v>
      </c>
      <c r="L9" s="25">
        <f>52294368+33510261</f>
        <v>85804629</v>
      </c>
      <c r="M9" s="25">
        <f>52061698+31550447</f>
        <v>83612145</v>
      </c>
      <c r="N9" s="19">
        <f>SUM(B9:M9)</f>
        <v>1064275192</v>
      </c>
    </row>
    <row r="10" spans="1:14" x14ac:dyDescent="0.25">
      <c r="A10" s="34" t="s">
        <v>21</v>
      </c>
      <c r="B10" s="19">
        <f t="shared" ref="B10:M10" si="0">+B9+B19+B20+B21</f>
        <v>100813466</v>
      </c>
      <c r="C10" s="19">
        <f t="shared" si="0"/>
        <v>91849453</v>
      </c>
      <c r="D10" s="19">
        <f t="shared" si="0"/>
        <v>99193098</v>
      </c>
      <c r="E10" s="19">
        <f t="shared" si="0"/>
        <v>81686037</v>
      </c>
      <c r="F10" s="19">
        <f t="shared" si="0"/>
        <v>86477952</v>
      </c>
      <c r="G10" s="19">
        <f t="shared" si="0"/>
        <v>84605363</v>
      </c>
      <c r="H10" s="19">
        <f t="shared" si="0"/>
        <v>88501805</v>
      </c>
      <c r="I10" s="19">
        <f t="shared" si="0"/>
        <v>90240424</v>
      </c>
      <c r="J10" s="19">
        <f t="shared" si="0"/>
        <v>84801978</v>
      </c>
      <c r="K10" s="19">
        <f t="shared" si="0"/>
        <v>88613770</v>
      </c>
      <c r="L10" s="19">
        <f t="shared" si="0"/>
        <v>85804629</v>
      </c>
      <c r="M10" s="19">
        <f t="shared" si="0"/>
        <v>83612145</v>
      </c>
      <c r="N10" s="19">
        <f>SUM(B10:M10)</f>
        <v>1066200120</v>
      </c>
    </row>
    <row r="11" spans="1:14" x14ac:dyDescent="0.25">
      <c r="A11" s="34" t="s">
        <v>22</v>
      </c>
      <c r="B11" s="19">
        <f t="shared" ref="B11:M11" si="1">-B8+B10</f>
        <v>33991</v>
      </c>
      <c r="C11" s="19">
        <f t="shared" si="1"/>
        <v>-12036</v>
      </c>
      <c r="D11" s="19">
        <f t="shared" si="1"/>
        <v>154615</v>
      </c>
      <c r="E11" s="19">
        <f t="shared" si="1"/>
        <v>163508</v>
      </c>
      <c r="F11" s="19">
        <f t="shared" si="1"/>
        <v>191238</v>
      </c>
      <c r="G11" s="19">
        <f t="shared" si="1"/>
        <v>236698</v>
      </c>
      <c r="H11" s="19">
        <f t="shared" si="1"/>
        <v>34578</v>
      </c>
      <c r="I11" s="19">
        <f t="shared" si="1"/>
        <v>42197</v>
      </c>
      <c r="J11" s="19">
        <f t="shared" si="1"/>
        <v>-59627</v>
      </c>
      <c r="K11" s="19">
        <f t="shared" si="1"/>
        <v>73197</v>
      </c>
      <c r="L11" s="19">
        <f t="shared" si="1"/>
        <v>-19134</v>
      </c>
      <c r="M11" s="19">
        <f t="shared" si="1"/>
        <v>27336</v>
      </c>
      <c r="N11" s="19">
        <f>SUM(B11:M11)</f>
        <v>866561</v>
      </c>
    </row>
    <row r="12" spans="1:14" x14ac:dyDescent="0.25">
      <c r="A12" s="35" t="s">
        <v>23</v>
      </c>
      <c r="B12" s="27">
        <f t="shared" ref="B12:M12" si="2">B11/B8</f>
        <v>3.3728097908825185E-4</v>
      </c>
      <c r="C12" s="27">
        <f t="shared" si="2"/>
        <v>-1.3102334973037505E-4</v>
      </c>
      <c r="D12" s="27">
        <f t="shared" si="2"/>
        <v>1.5611608267465083E-3</v>
      </c>
      <c r="E12" s="27">
        <f t="shared" si="2"/>
        <v>2.0056787001786953E-3</v>
      </c>
      <c r="F12" s="27">
        <f t="shared" si="2"/>
        <v>2.2163087587273285E-3</v>
      </c>
      <c r="G12" s="27">
        <f t="shared" si="2"/>
        <v>2.8055202722479964E-3</v>
      </c>
      <c r="H12" s="27">
        <f t="shared" si="2"/>
        <v>3.9085660501148067E-4</v>
      </c>
      <c r="I12" s="27">
        <f t="shared" si="2"/>
        <v>4.6782516024400345E-4</v>
      </c>
      <c r="J12" s="27">
        <f t="shared" si="2"/>
        <v>-7.0263813652829215E-4</v>
      </c>
      <c r="K12" s="27">
        <f t="shared" si="2"/>
        <v>8.2670574088107606E-4</v>
      </c>
      <c r="L12" s="27">
        <f t="shared" si="2"/>
        <v>-2.2294524652805074E-4</v>
      </c>
      <c r="M12" s="27">
        <f t="shared" si="2"/>
        <v>3.2704507346544275E-4</v>
      </c>
      <c r="N12" s="27">
        <f>2*N11/(N8+N10)</f>
        <v>8.1308684778233801E-4</v>
      </c>
    </row>
    <row r="13" spans="1:14" x14ac:dyDescent="0.25">
      <c r="A13" s="34" t="s">
        <v>24</v>
      </c>
      <c r="B13" s="19">
        <f t="shared" ref="B13:J13" si="3">-B8+B10</f>
        <v>33991</v>
      </c>
      <c r="C13" s="19">
        <f t="shared" si="3"/>
        <v>-12036</v>
      </c>
      <c r="D13" s="19">
        <f t="shared" si="3"/>
        <v>154615</v>
      </c>
      <c r="E13" s="19">
        <f t="shared" si="3"/>
        <v>163508</v>
      </c>
      <c r="F13" s="19">
        <f t="shared" si="3"/>
        <v>191238</v>
      </c>
      <c r="G13" s="19">
        <f t="shared" si="3"/>
        <v>236698</v>
      </c>
      <c r="H13" s="19">
        <f t="shared" si="3"/>
        <v>34578</v>
      </c>
      <c r="I13" s="19">
        <f t="shared" si="3"/>
        <v>42197</v>
      </c>
      <c r="J13" s="19">
        <f t="shared" si="3"/>
        <v>-59627</v>
      </c>
      <c r="K13" s="19">
        <f>-K8+K10</f>
        <v>73197</v>
      </c>
      <c r="L13" s="19">
        <f>-L8+L10</f>
        <v>-19134</v>
      </c>
      <c r="M13" s="19">
        <f>-M8+M10</f>
        <v>27336</v>
      </c>
      <c r="N13" s="19">
        <f>SUM(B13:M13)</f>
        <v>866561</v>
      </c>
    </row>
    <row r="14" spans="1:14" x14ac:dyDescent="0.25">
      <c r="A14" s="35" t="s">
        <v>23</v>
      </c>
      <c r="B14" s="27">
        <f t="shared" ref="B14:M14" si="4">B13/B8</f>
        <v>3.3728097908825185E-4</v>
      </c>
      <c r="C14" s="27">
        <f t="shared" si="4"/>
        <v>-1.3102334973037505E-4</v>
      </c>
      <c r="D14" s="27">
        <f t="shared" si="4"/>
        <v>1.5611608267465083E-3</v>
      </c>
      <c r="E14" s="27">
        <f t="shared" si="4"/>
        <v>2.0056787001786953E-3</v>
      </c>
      <c r="F14" s="27">
        <f t="shared" si="4"/>
        <v>2.2163087587273285E-3</v>
      </c>
      <c r="G14" s="27">
        <f t="shared" si="4"/>
        <v>2.8055202722479964E-3</v>
      </c>
      <c r="H14" s="27">
        <f t="shared" si="4"/>
        <v>3.9085660501148067E-4</v>
      </c>
      <c r="I14" s="27">
        <f t="shared" si="4"/>
        <v>4.6782516024400345E-4</v>
      </c>
      <c r="J14" s="27">
        <f t="shared" si="4"/>
        <v>-7.0263813652829215E-4</v>
      </c>
      <c r="K14" s="27">
        <f t="shared" si="4"/>
        <v>8.2670574088107606E-4</v>
      </c>
      <c r="L14" s="27">
        <f t="shared" si="4"/>
        <v>-2.2294524652805074E-4</v>
      </c>
      <c r="M14" s="27">
        <f t="shared" si="4"/>
        <v>3.2704507346544275E-4</v>
      </c>
      <c r="N14" s="27">
        <f>2*N13/(N8+N10)</f>
        <v>8.1308684778233801E-4</v>
      </c>
    </row>
    <row r="15" spans="1:14" ht="13.8" x14ac:dyDescent="0.3">
      <c r="A15" s="34"/>
      <c r="B15" s="20"/>
      <c r="C15" s="20"/>
      <c r="D15" s="20"/>
      <c r="E15" s="31"/>
      <c r="F15" s="31"/>
      <c r="G15" s="31"/>
      <c r="H15" s="31"/>
      <c r="I15" s="31"/>
      <c r="J15" s="31"/>
      <c r="K15" s="31"/>
      <c r="L15" s="31"/>
      <c r="M15" s="31"/>
      <c r="N15" s="19" t="s">
        <v>1</v>
      </c>
    </row>
    <row r="16" spans="1:14" x14ac:dyDescent="0.25">
      <c r="A16" s="34" t="s">
        <v>25</v>
      </c>
      <c r="B16" s="19">
        <v>55069548</v>
      </c>
      <c r="C16" s="19">
        <v>49885476</v>
      </c>
      <c r="D16" s="19">
        <v>55438477</v>
      </c>
      <c r="E16" s="19">
        <v>54098141</v>
      </c>
      <c r="F16" s="19">
        <v>55705625</v>
      </c>
      <c r="G16" s="19">
        <v>56237239</v>
      </c>
      <c r="H16" s="19">
        <v>57339300</v>
      </c>
      <c r="I16" s="19">
        <v>58687977</v>
      </c>
      <c r="J16" s="19">
        <v>53750305</v>
      </c>
      <c r="K16" s="19">
        <v>56154816</v>
      </c>
      <c r="L16" s="19">
        <v>52313502</v>
      </c>
      <c r="M16" s="19">
        <v>52034362</v>
      </c>
      <c r="N16" s="19">
        <f>SUM(B16:M16)</f>
        <v>656714768</v>
      </c>
    </row>
    <row r="17" spans="1:14" x14ac:dyDescent="0.25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5">
      <c r="A18" s="34" t="s">
        <v>26</v>
      </c>
      <c r="B18" s="19">
        <v>54499867</v>
      </c>
      <c r="C18" s="19">
        <v>49286569</v>
      </c>
      <c r="D18" s="19">
        <v>54858707</v>
      </c>
      <c r="E18" s="19">
        <v>54261649</v>
      </c>
      <c r="F18" s="19">
        <v>55896863</v>
      </c>
      <c r="G18" s="19">
        <v>56473937</v>
      </c>
      <c r="H18" s="19">
        <v>57373878</v>
      </c>
      <c r="I18" s="19">
        <v>58730174</v>
      </c>
      <c r="J18" s="19">
        <v>53690678</v>
      </c>
      <c r="K18" s="19">
        <v>56228013</v>
      </c>
      <c r="L18" s="19">
        <v>52294368</v>
      </c>
      <c r="M18" s="19">
        <v>52061698</v>
      </c>
      <c r="N18" s="19">
        <f t="shared" ref="N18:N23" si="5">SUM(B18:M18)</f>
        <v>655656401</v>
      </c>
    </row>
    <row r="19" spans="1:14" x14ac:dyDescent="0.25">
      <c r="A19" s="34" t="s">
        <v>27</v>
      </c>
      <c r="B19" s="19">
        <v>617427</v>
      </c>
      <c r="C19" s="19">
        <v>554738</v>
      </c>
      <c r="D19" s="19">
        <v>622965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f t="shared" si="5"/>
        <v>1795130</v>
      </c>
    </row>
    <row r="20" spans="1:14" x14ac:dyDescent="0.25">
      <c r="A20" s="34" t="s">
        <v>28</v>
      </c>
      <c r="B20" s="19">
        <v>-15345</v>
      </c>
      <c r="C20" s="19">
        <v>31455</v>
      </c>
      <c r="D20" s="19">
        <v>105722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f t="shared" si="5"/>
        <v>121832</v>
      </c>
    </row>
    <row r="21" spans="1:14" x14ac:dyDescent="0.25">
      <c r="A21" s="34" t="s">
        <v>29</v>
      </c>
      <c r="B21" s="19">
        <v>1590</v>
      </c>
      <c r="C21" s="19">
        <v>678</v>
      </c>
      <c r="D21" s="19">
        <v>5698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f t="shared" si="5"/>
        <v>7966</v>
      </c>
    </row>
    <row r="22" spans="1:14" x14ac:dyDescent="0.25">
      <c r="A22" s="34" t="s">
        <v>21</v>
      </c>
      <c r="B22" s="19">
        <f>SUM(B18:B21)</f>
        <v>55103539</v>
      </c>
      <c r="C22" s="19">
        <f>SUM(C18:C21)</f>
        <v>49873440</v>
      </c>
      <c r="D22" s="19">
        <f>SUM(D18:D21)</f>
        <v>55593092</v>
      </c>
      <c r="E22" s="19">
        <f t="shared" ref="E22:M22" si="6">SUM(E18:E21)</f>
        <v>54261649</v>
      </c>
      <c r="F22" s="19">
        <f t="shared" si="6"/>
        <v>55896863</v>
      </c>
      <c r="G22" s="19">
        <f t="shared" si="6"/>
        <v>56473937</v>
      </c>
      <c r="H22" s="19">
        <f t="shared" si="6"/>
        <v>57373878</v>
      </c>
      <c r="I22" s="19">
        <f t="shared" si="6"/>
        <v>58730174</v>
      </c>
      <c r="J22" s="19">
        <f t="shared" si="6"/>
        <v>53690678</v>
      </c>
      <c r="K22" s="19">
        <f t="shared" si="6"/>
        <v>56228013</v>
      </c>
      <c r="L22" s="19">
        <f t="shared" si="6"/>
        <v>52294368</v>
      </c>
      <c r="M22" s="19">
        <f t="shared" si="6"/>
        <v>52061698</v>
      </c>
      <c r="N22" s="19">
        <f t="shared" si="5"/>
        <v>657581329</v>
      </c>
    </row>
    <row r="23" spans="1:14" x14ac:dyDescent="0.25">
      <c r="A23" s="34" t="s">
        <v>50</v>
      </c>
      <c r="B23" s="19">
        <f t="shared" ref="B23:M23" si="7">-B16+B22</f>
        <v>33991</v>
      </c>
      <c r="C23" s="19">
        <f t="shared" si="7"/>
        <v>-12036</v>
      </c>
      <c r="D23" s="19">
        <f t="shared" si="7"/>
        <v>154615</v>
      </c>
      <c r="E23" s="19">
        <f t="shared" si="7"/>
        <v>163508</v>
      </c>
      <c r="F23" s="19">
        <f t="shared" si="7"/>
        <v>191238</v>
      </c>
      <c r="G23" s="19">
        <f t="shared" si="7"/>
        <v>236698</v>
      </c>
      <c r="H23" s="19">
        <f t="shared" si="7"/>
        <v>34578</v>
      </c>
      <c r="I23" s="19">
        <f t="shared" si="7"/>
        <v>42197</v>
      </c>
      <c r="J23" s="19">
        <f t="shared" si="7"/>
        <v>-59627</v>
      </c>
      <c r="K23" s="19">
        <f t="shared" si="7"/>
        <v>73197</v>
      </c>
      <c r="L23" s="19">
        <f t="shared" si="7"/>
        <v>-19134</v>
      </c>
      <c r="M23" s="19">
        <f t="shared" si="7"/>
        <v>27336</v>
      </c>
      <c r="N23" s="19">
        <f t="shared" si="5"/>
        <v>866561</v>
      </c>
    </row>
    <row r="24" spans="1:14" x14ac:dyDescent="0.25">
      <c r="A24" s="35" t="s">
        <v>23</v>
      </c>
      <c r="B24" s="27">
        <f t="shared" ref="B24:M24" si="8">B23/B16</f>
        <v>6.1723767916163034E-4</v>
      </c>
      <c r="C24" s="27">
        <f t="shared" si="8"/>
        <v>-2.4127263013386902E-4</v>
      </c>
      <c r="D24" s="27">
        <f t="shared" si="8"/>
        <v>2.7889474669370879E-3</v>
      </c>
      <c r="E24" s="27">
        <f t="shared" si="8"/>
        <v>3.0224328780539796E-3</v>
      </c>
      <c r="F24" s="27">
        <f t="shared" si="8"/>
        <v>3.4330105801703148E-3</v>
      </c>
      <c r="G24" s="27">
        <f t="shared" si="8"/>
        <v>4.2089192892275527E-3</v>
      </c>
      <c r="H24" s="27">
        <f t="shared" si="8"/>
        <v>6.0304189273325626E-4</v>
      </c>
      <c r="I24" s="27">
        <f t="shared" si="8"/>
        <v>7.1900587065728985E-4</v>
      </c>
      <c r="J24" s="27">
        <f t="shared" si="8"/>
        <v>-1.1093332400625448E-3</v>
      </c>
      <c r="K24" s="27">
        <f t="shared" si="8"/>
        <v>1.303485706372896E-3</v>
      </c>
      <c r="L24" s="27">
        <f t="shared" si="8"/>
        <v>-3.6575643511688438E-4</v>
      </c>
      <c r="M24" s="27">
        <f t="shared" si="8"/>
        <v>5.2534515557238883E-4</v>
      </c>
      <c r="N24" s="27">
        <f>N23/N16</f>
        <v>1.3195393833445816E-3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3.2" x14ac:dyDescent="0.25"/>
  <cols>
    <col min="14" max="14" width="10.109375" customWidth="1"/>
  </cols>
  <sheetData>
    <row r="1" spans="1:14" ht="13.8" x14ac:dyDescent="0.3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3.8" x14ac:dyDescent="0.3">
      <c r="A2" s="34" t="s">
        <v>31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3.8" x14ac:dyDescent="0.3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3.8" x14ac:dyDescent="0.3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x14ac:dyDescent="0.25">
      <c r="A6" s="34"/>
      <c r="B6" s="22">
        <v>2001</v>
      </c>
      <c r="C6" s="22">
        <v>2001</v>
      </c>
      <c r="D6" s="22">
        <v>2001</v>
      </c>
      <c r="E6" s="22">
        <v>2001</v>
      </c>
      <c r="F6" s="22">
        <v>2001</v>
      </c>
      <c r="G6" s="22">
        <v>2001</v>
      </c>
      <c r="H6" s="22">
        <v>2001</v>
      </c>
      <c r="I6" s="22">
        <v>2001</v>
      </c>
      <c r="J6" s="22">
        <v>2001</v>
      </c>
      <c r="K6" s="22">
        <v>2001</v>
      </c>
      <c r="L6" s="22">
        <v>2001</v>
      </c>
      <c r="M6" s="22">
        <v>2001</v>
      </c>
      <c r="N6" s="23" t="s">
        <v>18</v>
      </c>
    </row>
    <row r="7" spans="1:14" ht="13.8" x14ac:dyDescent="0.3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x14ac:dyDescent="0.25">
      <c r="A8" s="34" t="s">
        <v>19</v>
      </c>
      <c r="B8" s="25">
        <v>103863226</v>
      </c>
      <c r="C8" s="25">
        <v>94543519</v>
      </c>
      <c r="D8" s="25">
        <v>101491769</v>
      </c>
      <c r="E8" s="19">
        <f>55269884+28678561</f>
        <v>83948445</v>
      </c>
      <c r="F8" s="19">
        <f>57033458+32020754</f>
        <v>89054212</v>
      </c>
      <c r="G8" s="19">
        <f>57524028+29335559</f>
        <v>86859587</v>
      </c>
      <c r="H8" s="19">
        <f>58769535+32437043</f>
        <v>91206578</v>
      </c>
      <c r="I8" s="19">
        <f>60167358+32819369</f>
        <v>92986727</v>
      </c>
      <c r="J8" s="19">
        <f>54918872+32333952</f>
        <v>87252824</v>
      </c>
      <c r="K8" s="19">
        <f>57465244+33719539</f>
        <v>91184783</v>
      </c>
      <c r="L8" s="25">
        <f>53537114+34877849</f>
        <v>88414963</v>
      </c>
      <c r="M8" s="25">
        <f>53276035+32863677</f>
        <v>86139712</v>
      </c>
      <c r="N8" s="19">
        <f>SUM(B8:M8)</f>
        <v>1096946345</v>
      </c>
    </row>
    <row r="9" spans="1:14" x14ac:dyDescent="0.25">
      <c r="A9" s="34" t="s">
        <v>20</v>
      </c>
      <c r="B9" s="25">
        <v>103317284</v>
      </c>
      <c r="C9" s="25">
        <v>93929128</v>
      </c>
      <c r="D9" s="25">
        <v>100893159</v>
      </c>
      <c r="E9" s="19">
        <f>55433633+28678561</f>
        <v>84112194</v>
      </c>
      <c r="F9" s="19">
        <f>57229431+32020754</f>
        <v>89250185</v>
      </c>
      <c r="G9" s="19">
        <f>57797568+29335559</f>
        <v>87133127</v>
      </c>
      <c r="H9" s="19">
        <f>58805612+32437043</f>
        <v>91242655</v>
      </c>
      <c r="I9" s="19">
        <f>60237555+32819369</f>
        <v>93056924</v>
      </c>
      <c r="J9" s="19">
        <f>54912793+32333952</f>
        <v>87246745</v>
      </c>
      <c r="K9" s="19">
        <f>57539595+33719539</f>
        <v>91259134</v>
      </c>
      <c r="L9" s="25">
        <f>53523149+34877849</f>
        <v>88400998</v>
      </c>
      <c r="M9" s="25">
        <f>53309276+32863677</f>
        <v>86172953</v>
      </c>
      <c r="N9" s="19">
        <f>SUM(B9:M9)</f>
        <v>1096014486</v>
      </c>
    </row>
    <row r="10" spans="1:14" x14ac:dyDescent="0.25">
      <c r="A10" s="34" t="s">
        <v>21</v>
      </c>
      <c r="B10" s="19">
        <f>+B9+B19+B20+B21</f>
        <v>103943495</v>
      </c>
      <c r="C10" s="19">
        <f>+C9+C19+C20+C21</f>
        <v>94536878</v>
      </c>
      <c r="D10" s="19">
        <f>+D9+D19+D20+D21</f>
        <v>101668576</v>
      </c>
      <c r="E10" s="19">
        <f>+E9+E19+E20+E21</f>
        <v>84112194</v>
      </c>
      <c r="F10" s="19">
        <f>+F9+F19+F20+F21</f>
        <v>89250185</v>
      </c>
      <c r="G10" s="19">
        <f t="shared" ref="G10:M10" si="0">+G9+G19+G20+G21</f>
        <v>87133127</v>
      </c>
      <c r="H10" s="19">
        <f t="shared" si="0"/>
        <v>91242655</v>
      </c>
      <c r="I10" s="19">
        <f t="shared" si="0"/>
        <v>93056924</v>
      </c>
      <c r="J10" s="19">
        <f t="shared" si="0"/>
        <v>87246745</v>
      </c>
      <c r="K10" s="19">
        <f t="shared" si="0"/>
        <v>91259134</v>
      </c>
      <c r="L10" s="19">
        <f t="shared" si="0"/>
        <v>88400998</v>
      </c>
      <c r="M10" s="19">
        <f t="shared" si="0"/>
        <v>86172953</v>
      </c>
      <c r="N10" s="19">
        <f>SUM(B10:M10)</f>
        <v>1098023864</v>
      </c>
    </row>
    <row r="11" spans="1:14" x14ac:dyDescent="0.25">
      <c r="A11" s="34" t="s">
        <v>22</v>
      </c>
      <c r="B11" s="19">
        <f>-B8+B10</f>
        <v>80269</v>
      </c>
      <c r="C11" s="19">
        <f>-C8+C10</f>
        <v>-6641</v>
      </c>
      <c r="D11" s="19">
        <f>-D8+D10</f>
        <v>176807</v>
      </c>
      <c r="E11" s="19">
        <f>-E8+E10</f>
        <v>163749</v>
      </c>
      <c r="F11" s="19">
        <f>-F8+F10</f>
        <v>195973</v>
      </c>
      <c r="G11" s="19">
        <f t="shared" ref="G11:M11" si="1">-G8+G10</f>
        <v>273540</v>
      </c>
      <c r="H11" s="19">
        <f t="shared" si="1"/>
        <v>36077</v>
      </c>
      <c r="I11" s="19">
        <f t="shared" si="1"/>
        <v>70197</v>
      </c>
      <c r="J11" s="19">
        <f t="shared" si="1"/>
        <v>-6079</v>
      </c>
      <c r="K11" s="19">
        <f t="shared" si="1"/>
        <v>74351</v>
      </c>
      <c r="L11" s="19">
        <f t="shared" si="1"/>
        <v>-13965</v>
      </c>
      <c r="M11" s="19">
        <f t="shared" si="1"/>
        <v>33241</v>
      </c>
      <c r="N11" s="19">
        <f>SUM(B11:M11)</f>
        <v>1077519</v>
      </c>
    </row>
    <row r="12" spans="1:14" x14ac:dyDescent="0.25">
      <c r="A12" s="35" t="s">
        <v>23</v>
      </c>
      <c r="B12" s="27">
        <f>2*B11/(B8+B10)</f>
        <v>7.7253516742608144E-4</v>
      </c>
      <c r="C12" s="27">
        <f>2*C11/(C8+C10)</f>
        <v>-7.0245251283241166E-5</v>
      </c>
      <c r="D12" s="27">
        <f>2*D11/(D8+D10)</f>
        <v>1.7405660538723736E-3</v>
      </c>
      <c r="E12" s="27">
        <f t="shared" ref="E12:M12" si="2">E11/E8</f>
        <v>1.9505900317748589E-3</v>
      </c>
      <c r="F12" s="27">
        <f t="shared" si="2"/>
        <v>2.200603380781136E-3</v>
      </c>
      <c r="G12" s="27">
        <f t="shared" si="2"/>
        <v>3.1492205920804115E-3</v>
      </c>
      <c r="H12" s="27">
        <f t="shared" si="2"/>
        <v>3.9555261025142288E-4</v>
      </c>
      <c r="I12" s="27">
        <f t="shared" si="2"/>
        <v>7.5491419329126405E-4</v>
      </c>
      <c r="J12" s="27">
        <f t="shared" si="2"/>
        <v>-6.9671097407689639E-5</v>
      </c>
      <c r="K12" s="27">
        <f t="shared" si="2"/>
        <v>8.1538824301418799E-4</v>
      </c>
      <c r="L12" s="27">
        <f t="shared" si="2"/>
        <v>-1.5794837803641902E-4</v>
      </c>
      <c r="M12" s="27">
        <f t="shared" si="2"/>
        <v>3.8589634476604703E-4</v>
      </c>
      <c r="N12" s="27">
        <f>2*N11/(N8+N10)</f>
        <v>9.8180740274457176E-4</v>
      </c>
    </row>
    <row r="13" spans="1:14" x14ac:dyDescent="0.25">
      <c r="A13" s="34" t="s">
        <v>24</v>
      </c>
      <c r="B13" s="19">
        <f t="shared" ref="B13:J13" si="3">-B8+B10</f>
        <v>80269</v>
      </c>
      <c r="C13" s="19">
        <f t="shared" si="3"/>
        <v>-6641</v>
      </c>
      <c r="D13" s="19">
        <f t="shared" si="3"/>
        <v>176807</v>
      </c>
      <c r="E13" s="19">
        <f t="shared" si="3"/>
        <v>163749</v>
      </c>
      <c r="F13" s="19">
        <f t="shared" si="3"/>
        <v>195973</v>
      </c>
      <c r="G13" s="19">
        <f t="shared" si="3"/>
        <v>273540</v>
      </c>
      <c r="H13" s="19">
        <f t="shared" si="3"/>
        <v>36077</v>
      </c>
      <c r="I13" s="19">
        <f t="shared" si="3"/>
        <v>70197</v>
      </c>
      <c r="J13" s="19">
        <f t="shared" si="3"/>
        <v>-6079</v>
      </c>
      <c r="K13" s="19">
        <f>-K8+K10</f>
        <v>74351</v>
      </c>
      <c r="L13" s="19">
        <f>-L8+L10</f>
        <v>-13965</v>
      </c>
      <c r="M13" s="19">
        <f>-M8+M10</f>
        <v>33241</v>
      </c>
      <c r="N13" s="19">
        <f>SUM(B13:M13)</f>
        <v>1077519</v>
      </c>
    </row>
    <row r="14" spans="1:14" x14ac:dyDescent="0.25">
      <c r="A14" s="35" t="s">
        <v>23</v>
      </c>
      <c r="B14" s="27">
        <f>2*B13/(B8+B10)</f>
        <v>7.7253516742608144E-4</v>
      </c>
      <c r="C14" s="27">
        <f>2*C13/(C8+C10)</f>
        <v>-7.0245251283241166E-5</v>
      </c>
      <c r="D14" s="27">
        <f>2*D13/(D8+D10)</f>
        <v>1.7405660538723736E-3</v>
      </c>
      <c r="E14" s="27">
        <f t="shared" ref="E14:M14" si="4">E13/E8</f>
        <v>1.9505900317748589E-3</v>
      </c>
      <c r="F14" s="27">
        <f t="shared" si="4"/>
        <v>2.200603380781136E-3</v>
      </c>
      <c r="G14" s="27">
        <f t="shared" si="4"/>
        <v>3.1492205920804115E-3</v>
      </c>
      <c r="H14" s="27">
        <f t="shared" si="4"/>
        <v>3.9555261025142288E-4</v>
      </c>
      <c r="I14" s="27">
        <f t="shared" si="4"/>
        <v>7.5491419329126405E-4</v>
      </c>
      <c r="J14" s="27">
        <f t="shared" si="4"/>
        <v>-6.9671097407689639E-5</v>
      </c>
      <c r="K14" s="27">
        <f t="shared" si="4"/>
        <v>8.1538824301418799E-4</v>
      </c>
      <c r="L14" s="27">
        <f t="shared" si="4"/>
        <v>-1.5794837803641902E-4</v>
      </c>
      <c r="M14" s="27">
        <f t="shared" si="4"/>
        <v>3.8589634476604703E-4</v>
      </c>
      <c r="N14" s="27">
        <f>2*N13/(N8+N10)</f>
        <v>9.8180740274457176E-4</v>
      </c>
    </row>
    <row r="15" spans="1:14" ht="13.8" x14ac:dyDescent="0.3">
      <c r="A15" s="34"/>
      <c r="B15" s="20"/>
      <c r="C15" s="20"/>
      <c r="D15" s="20"/>
      <c r="E15" s="19"/>
      <c r="F15" s="19"/>
      <c r="G15" s="19"/>
      <c r="H15" s="19"/>
      <c r="I15" s="19"/>
      <c r="J15" s="19"/>
      <c r="K15" s="19"/>
      <c r="L15" s="31"/>
      <c r="M15" s="31"/>
      <c r="N15" s="19" t="s">
        <v>1</v>
      </c>
    </row>
    <row r="16" spans="1:14" x14ac:dyDescent="0.25">
      <c r="A16" s="34" t="s">
        <v>25</v>
      </c>
      <c r="B16" s="19">
        <v>56357459</v>
      </c>
      <c r="C16" s="19">
        <v>50983916</v>
      </c>
      <c r="D16" s="19">
        <v>56484047</v>
      </c>
      <c r="E16" s="19">
        <v>55269884</v>
      </c>
      <c r="F16" s="19">
        <v>57033458</v>
      </c>
      <c r="G16" s="19">
        <v>57524028</v>
      </c>
      <c r="H16" s="19">
        <v>58769535</v>
      </c>
      <c r="I16" s="19">
        <v>60167358</v>
      </c>
      <c r="J16" s="19">
        <v>54918872</v>
      </c>
      <c r="K16" s="19">
        <v>57465244</v>
      </c>
      <c r="L16" s="19">
        <v>53537114</v>
      </c>
      <c r="M16" s="19">
        <v>53276035</v>
      </c>
      <c r="N16" s="19">
        <f>SUM(B16:M16)</f>
        <v>671786950</v>
      </c>
    </row>
    <row r="17" spans="1:14" x14ac:dyDescent="0.25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5">
      <c r="A18" s="34" t="s">
        <v>26</v>
      </c>
      <c r="B18" s="19">
        <v>55811517</v>
      </c>
      <c r="C18" s="19">
        <v>50369525</v>
      </c>
      <c r="D18" s="19">
        <v>55885437</v>
      </c>
      <c r="E18" s="19">
        <v>55433633</v>
      </c>
      <c r="F18" s="19">
        <v>57229431</v>
      </c>
      <c r="G18" s="19">
        <v>57797568</v>
      </c>
      <c r="H18" s="19">
        <v>58805612</v>
      </c>
      <c r="I18" s="19">
        <v>60237555</v>
      </c>
      <c r="J18" s="19">
        <v>54912793</v>
      </c>
      <c r="K18" s="19">
        <v>57539595</v>
      </c>
      <c r="L18" s="19">
        <v>53523149</v>
      </c>
      <c r="M18" s="19">
        <v>53309276</v>
      </c>
      <c r="N18" s="19">
        <f t="shared" ref="N18:N23" si="5">SUM(B18:M18)</f>
        <v>670855091</v>
      </c>
    </row>
    <row r="19" spans="1:14" x14ac:dyDescent="0.25">
      <c r="A19" s="34" t="s">
        <v>27</v>
      </c>
      <c r="B19" s="19">
        <v>635520</v>
      </c>
      <c r="C19" s="19">
        <v>570076</v>
      </c>
      <c r="D19" s="19">
        <v>638720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f t="shared" si="5"/>
        <v>1844316</v>
      </c>
    </row>
    <row r="20" spans="1:14" x14ac:dyDescent="0.25">
      <c r="A20" s="34" t="s">
        <v>28</v>
      </c>
      <c r="B20" s="19">
        <v>-17746</v>
      </c>
      <c r="C20" s="19">
        <v>33996</v>
      </c>
      <c r="D20" s="19">
        <v>107280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f t="shared" si="5"/>
        <v>123530</v>
      </c>
    </row>
    <row r="21" spans="1:14" x14ac:dyDescent="0.25">
      <c r="A21" s="34" t="s">
        <v>29</v>
      </c>
      <c r="B21" s="19">
        <v>8437</v>
      </c>
      <c r="C21" s="19">
        <v>3678</v>
      </c>
      <c r="D21" s="19">
        <v>29417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f t="shared" si="5"/>
        <v>41532</v>
      </c>
    </row>
    <row r="22" spans="1:14" x14ac:dyDescent="0.25">
      <c r="A22" s="34" t="s">
        <v>21</v>
      </c>
      <c r="B22" s="19">
        <f t="shared" ref="B22:J22" si="6">SUM(B18:B21)</f>
        <v>56437728</v>
      </c>
      <c r="C22" s="19">
        <f t="shared" si="6"/>
        <v>50977275</v>
      </c>
      <c r="D22" s="19">
        <f t="shared" si="6"/>
        <v>56660854</v>
      </c>
      <c r="E22" s="19">
        <f t="shared" si="6"/>
        <v>55433633</v>
      </c>
      <c r="F22" s="19">
        <f t="shared" si="6"/>
        <v>57229431</v>
      </c>
      <c r="G22" s="19">
        <f t="shared" si="6"/>
        <v>57797568</v>
      </c>
      <c r="H22" s="19">
        <f t="shared" si="6"/>
        <v>58805612</v>
      </c>
      <c r="I22" s="19">
        <f t="shared" si="6"/>
        <v>60237555</v>
      </c>
      <c r="J22" s="19">
        <f t="shared" si="6"/>
        <v>54912793</v>
      </c>
      <c r="K22" s="19">
        <f>SUM(K18:K21)</f>
        <v>57539595</v>
      </c>
      <c r="L22" s="19">
        <f>SUM(L18:L21)</f>
        <v>53523149</v>
      </c>
      <c r="M22" s="19">
        <f>SUM(M18:M21)</f>
        <v>53309276</v>
      </c>
      <c r="N22" s="19">
        <f t="shared" si="5"/>
        <v>672864469</v>
      </c>
    </row>
    <row r="23" spans="1:14" x14ac:dyDescent="0.25">
      <c r="A23" s="34" t="s">
        <v>51</v>
      </c>
      <c r="B23" s="19">
        <f>-B16+B22</f>
        <v>80269</v>
      </c>
      <c r="C23" s="19">
        <f>-C16+C22</f>
        <v>-6641</v>
      </c>
      <c r="D23" s="19">
        <f>-D16+D22</f>
        <v>176807</v>
      </c>
      <c r="E23" s="19">
        <f>-E16+E22</f>
        <v>163749</v>
      </c>
      <c r="F23" s="19">
        <f>-F16+F22</f>
        <v>195973</v>
      </c>
      <c r="G23" s="19">
        <f t="shared" ref="G23:M23" si="7">-G16+G22</f>
        <v>273540</v>
      </c>
      <c r="H23" s="19">
        <f t="shared" si="7"/>
        <v>36077</v>
      </c>
      <c r="I23" s="19">
        <f t="shared" si="7"/>
        <v>70197</v>
      </c>
      <c r="J23" s="19">
        <f t="shared" si="7"/>
        <v>-6079</v>
      </c>
      <c r="K23" s="19">
        <f t="shared" si="7"/>
        <v>74351</v>
      </c>
      <c r="L23" s="19">
        <f t="shared" si="7"/>
        <v>-13965</v>
      </c>
      <c r="M23" s="19">
        <f t="shared" si="7"/>
        <v>33241</v>
      </c>
      <c r="N23" s="19">
        <f t="shared" si="5"/>
        <v>1077519</v>
      </c>
    </row>
    <row r="24" spans="1:14" x14ac:dyDescent="0.25">
      <c r="A24" s="35" t="s">
        <v>23</v>
      </c>
      <c r="B24" s="27">
        <f t="shared" ref="B24:M24" si="8">B23/B16</f>
        <v>1.4242835185312383E-3</v>
      </c>
      <c r="C24" s="27">
        <f t="shared" si="8"/>
        <v>-1.3025676568273023E-4</v>
      </c>
      <c r="D24" s="27">
        <f t="shared" si="8"/>
        <v>3.1302112612433737E-3</v>
      </c>
      <c r="E24" s="27">
        <f t="shared" si="8"/>
        <v>2.9627165492151207E-3</v>
      </c>
      <c r="F24" s="27">
        <f t="shared" si="8"/>
        <v>3.4361058731525625E-3</v>
      </c>
      <c r="G24" s="27">
        <f t="shared" si="8"/>
        <v>4.7552302839432596E-3</v>
      </c>
      <c r="H24" s="27">
        <f t="shared" si="8"/>
        <v>6.1387247661564789E-4</v>
      </c>
      <c r="I24" s="27">
        <f t="shared" si="8"/>
        <v>1.1666957355847335E-3</v>
      </c>
      <c r="J24" s="27">
        <f t="shared" si="8"/>
        <v>-1.1069054732223925E-4</v>
      </c>
      <c r="K24" s="27">
        <f t="shared" si="8"/>
        <v>1.2938429357404278E-3</v>
      </c>
      <c r="L24" s="27">
        <f t="shared" si="8"/>
        <v>-2.608470826425197E-4</v>
      </c>
      <c r="M24" s="27">
        <f t="shared" si="8"/>
        <v>6.2393907504565611E-4</v>
      </c>
      <c r="N24" s="27">
        <f>N23/N16</f>
        <v>1.6039594100480815E-3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="75" workbookViewId="0">
      <selection activeCell="F43" sqref="F43"/>
    </sheetView>
  </sheetViews>
  <sheetFormatPr defaultColWidth="9.109375" defaultRowHeight="10.199999999999999" x14ac:dyDescent="0.2"/>
  <cols>
    <col min="1" max="1" width="8.109375" style="33" customWidth="1"/>
    <col min="2" max="2" width="6.5546875" style="33" customWidth="1"/>
    <col min="3" max="3" width="3.33203125" style="33" customWidth="1"/>
    <col min="4" max="4" width="25.109375" style="32" customWidth="1"/>
    <col min="5" max="5" width="9.44140625" style="32" customWidth="1"/>
    <col min="6" max="6" width="9.5546875" style="32" customWidth="1"/>
    <col min="7" max="7" width="7.5546875" style="32" customWidth="1"/>
    <col min="8" max="8" width="8.6640625" style="32" customWidth="1"/>
    <col min="9" max="9" width="10" style="32" customWidth="1"/>
    <col min="10" max="10" width="8.33203125" style="32" customWidth="1"/>
    <col min="11" max="11" width="4.109375" style="33" customWidth="1"/>
    <col min="12" max="12" width="6.5546875" style="33" customWidth="1"/>
    <col min="13" max="13" width="12.6640625" style="33" customWidth="1"/>
    <col min="14" max="14" width="39.88671875" style="32" customWidth="1"/>
    <col min="15" max="16384" width="9.109375" style="32"/>
  </cols>
  <sheetData>
    <row r="1" spans="1:14" x14ac:dyDescent="0.2">
      <c r="A1" s="37"/>
      <c r="B1" s="37"/>
      <c r="C1" s="37"/>
      <c r="D1" s="37"/>
      <c r="E1" s="38"/>
      <c r="F1" s="39" t="s">
        <v>33</v>
      </c>
      <c r="G1" s="40"/>
      <c r="H1" s="38"/>
      <c r="I1" s="39" t="s">
        <v>34</v>
      </c>
      <c r="J1" s="40"/>
      <c r="K1" s="37" t="s">
        <v>35</v>
      </c>
      <c r="L1" s="37" t="s">
        <v>35</v>
      </c>
      <c r="M1" s="37" t="s">
        <v>35</v>
      </c>
      <c r="N1" s="50" t="s">
        <v>36</v>
      </c>
    </row>
    <row r="2" spans="1:14" x14ac:dyDescent="0.2">
      <c r="A2" s="42" t="s">
        <v>53</v>
      </c>
      <c r="B2" s="42" t="s">
        <v>38</v>
      </c>
      <c r="C2" s="42" t="s">
        <v>39</v>
      </c>
      <c r="D2" s="42" t="s">
        <v>40</v>
      </c>
      <c r="E2" s="43" t="s">
        <v>41</v>
      </c>
      <c r="F2" s="44" t="s">
        <v>42</v>
      </c>
      <c r="G2" s="45" t="s">
        <v>43</v>
      </c>
      <c r="H2" s="43" t="s">
        <v>41</v>
      </c>
      <c r="I2" s="44" t="s">
        <v>44</v>
      </c>
      <c r="J2" s="45" t="s">
        <v>43</v>
      </c>
      <c r="K2" s="42" t="s">
        <v>45</v>
      </c>
      <c r="L2" s="42" t="s">
        <v>46</v>
      </c>
      <c r="M2" s="42" t="s">
        <v>47</v>
      </c>
      <c r="N2" s="51" t="s">
        <v>48</v>
      </c>
    </row>
    <row r="3" spans="1:14" ht="22.5" customHeight="1" x14ac:dyDescent="0.2">
      <c r="G3" s="32">
        <f>+F3-E3</f>
        <v>0</v>
      </c>
      <c r="J3" s="32">
        <f>+I3-H3</f>
        <v>0</v>
      </c>
      <c r="L3" s="54"/>
    </row>
    <row r="4" spans="1:14" ht="22.5" customHeight="1" x14ac:dyDescent="0.2">
      <c r="G4" s="32">
        <f>+F4-E4</f>
        <v>0</v>
      </c>
      <c r="J4" s="32">
        <f>+I4-H4</f>
        <v>0</v>
      </c>
      <c r="L4" s="54"/>
    </row>
    <row r="5" spans="1:14" ht="22.5" customHeight="1" x14ac:dyDescent="0.2">
      <c r="A5" s="32"/>
      <c r="B5" s="32"/>
      <c r="C5" s="32"/>
      <c r="K5" s="32"/>
      <c r="L5" s="32"/>
      <c r="M5" s="32"/>
    </row>
    <row r="6" spans="1:14" ht="30" customHeight="1" x14ac:dyDescent="0.2">
      <c r="G6" s="52"/>
      <c r="J6" s="52"/>
      <c r="L6" s="54"/>
    </row>
    <row r="7" spans="1:14" ht="30" customHeight="1" x14ac:dyDescent="0.2">
      <c r="G7" s="52"/>
      <c r="J7" s="52"/>
      <c r="L7" s="54"/>
    </row>
    <row r="8" spans="1:14" ht="30" customHeight="1" x14ac:dyDescent="0.2">
      <c r="G8" s="52"/>
      <c r="J8" s="52"/>
      <c r="L8" s="54"/>
    </row>
    <row r="9" spans="1:14" ht="30" customHeight="1" x14ac:dyDescent="0.2">
      <c r="G9" s="52"/>
      <c r="J9" s="52"/>
      <c r="L9" s="54"/>
    </row>
    <row r="10" spans="1:14" ht="30" customHeight="1" x14ac:dyDescent="0.2"/>
    <row r="11" spans="1:14" ht="30" customHeight="1" x14ac:dyDescent="0.2"/>
    <row r="12" spans="1:14" ht="30" customHeight="1" x14ac:dyDescent="0.2"/>
    <row r="13" spans="1:14" ht="30" customHeight="1" x14ac:dyDescent="0.2"/>
    <row r="14" spans="1:14" ht="30" customHeight="1" x14ac:dyDescent="0.2"/>
    <row r="15" spans="1:14" ht="30" customHeight="1" x14ac:dyDescent="0.2"/>
    <row r="16" spans="1:14" ht="30" customHeight="1" x14ac:dyDescent="0.2"/>
  </sheetData>
  <phoneticPr fontId="7" type="noConversion"/>
  <printOptions horizontalCentered="1" verticalCentered="1" gridLines="1" gridLinesSet="0"/>
  <pageMargins left="0.25" right="0.24" top="1" bottom="1" header="0.5" footer="0.5"/>
  <pageSetup scale="85" orientation="landscape" horizontalDpi="300" verticalDpi="300" r:id="rId1"/>
  <headerFooter alignWithMargins="0">
    <oddHeader>&amp;C&amp;"Arial,Bold Italic"&amp;12TW Corrections Over 25,000 DTH</oddHeader>
    <oddFooter>&amp;L&amp;F&amp;CPage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="90" workbookViewId="0">
      <selection activeCell="F43" sqref="F43"/>
    </sheetView>
  </sheetViews>
  <sheetFormatPr defaultColWidth="9.109375" defaultRowHeight="13.8" x14ac:dyDescent="0.3"/>
  <cols>
    <col min="1" max="1" width="18.44140625" style="8" customWidth="1"/>
    <col min="2" max="2" width="11.88671875" style="8" customWidth="1"/>
    <col min="3" max="3" width="11.44140625" style="8" customWidth="1"/>
    <col min="4" max="4" width="11.109375" style="8" customWidth="1"/>
    <col min="5" max="5" width="12.109375" style="8" customWidth="1"/>
    <col min="6" max="6" width="11.44140625" style="8" customWidth="1"/>
    <col min="7" max="7" width="11.88671875" style="8" customWidth="1"/>
    <col min="8" max="8" width="11.44140625" style="8" customWidth="1"/>
    <col min="9" max="9" width="11" style="8" customWidth="1"/>
    <col min="10" max="10" width="12.5546875" style="8" customWidth="1"/>
    <col min="11" max="11" width="11.6640625" style="8" customWidth="1"/>
    <col min="12" max="12" width="12" style="8" customWidth="1"/>
    <col min="13" max="13" width="12.44140625" style="8" customWidth="1"/>
    <col min="14" max="14" width="13.33203125" style="8" customWidth="1"/>
    <col min="15" max="16384" width="9.109375" style="8"/>
  </cols>
  <sheetData>
    <row r="1" spans="1:14" ht="12" customHeight="1" x14ac:dyDescent="0.3">
      <c r="A1" s="2" t="s">
        <v>0</v>
      </c>
      <c r="B1" s="3"/>
      <c r="C1" s="3"/>
      <c r="D1" s="3"/>
      <c r="E1" s="3"/>
      <c r="F1" s="3"/>
      <c r="G1" s="3"/>
      <c r="H1" s="13" t="s">
        <v>2</v>
      </c>
      <c r="I1" s="4">
        <f ca="1">NOW()</f>
        <v>37285.808733796293</v>
      </c>
      <c r="J1" s="3"/>
      <c r="K1" s="3"/>
      <c r="L1" s="3"/>
      <c r="M1" s="3"/>
      <c r="N1" s="3"/>
    </row>
    <row r="2" spans="1:14" ht="12" customHeight="1" x14ac:dyDescent="0.3">
      <c r="A2" s="2" t="s">
        <v>31</v>
      </c>
      <c r="B2" s="3"/>
      <c r="C2" s="3"/>
      <c r="D2" s="3"/>
      <c r="E2" s="3"/>
      <c r="F2" s="3"/>
      <c r="G2" s="3"/>
      <c r="H2" s="3" t="s">
        <v>57</v>
      </c>
      <c r="I2" s="3"/>
      <c r="J2" s="3"/>
      <c r="K2" s="3"/>
      <c r="L2" s="3"/>
      <c r="M2" s="3"/>
      <c r="N2" s="3"/>
    </row>
    <row r="3" spans="1:14" ht="12" customHeight="1" x14ac:dyDescent="0.3">
      <c r="A3" s="2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" customHeight="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 x14ac:dyDescent="0.3">
      <c r="A5" s="2"/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7" t="s">
        <v>17</v>
      </c>
    </row>
    <row r="6" spans="1:14" ht="12" customHeight="1" x14ac:dyDescent="0.3">
      <c r="A6" s="2"/>
      <c r="B6" s="6">
        <v>1999</v>
      </c>
      <c r="C6" s="6">
        <v>1999</v>
      </c>
      <c r="D6" s="6">
        <v>1999</v>
      </c>
      <c r="E6" s="6">
        <v>1999</v>
      </c>
      <c r="F6" s="6">
        <v>1999</v>
      </c>
      <c r="G6" s="6">
        <v>1999</v>
      </c>
      <c r="H6" s="6">
        <v>1999</v>
      </c>
      <c r="I6" s="6">
        <v>1999</v>
      </c>
      <c r="J6" s="6">
        <v>1999</v>
      </c>
      <c r="K6" s="6">
        <v>2000</v>
      </c>
      <c r="L6" s="6">
        <v>2000</v>
      </c>
      <c r="M6" s="6">
        <v>2000</v>
      </c>
      <c r="N6" s="7" t="s">
        <v>18</v>
      </c>
    </row>
    <row r="7" spans="1:14" ht="12" customHeigh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" customHeight="1" x14ac:dyDescent="0.3">
      <c r="A8" s="9" t="s">
        <v>19</v>
      </c>
      <c r="B8" s="3">
        <v>287071880</v>
      </c>
      <c r="C8" s="3">
        <v>234509419</v>
      </c>
      <c r="D8" s="3">
        <v>227519513</v>
      </c>
      <c r="E8" s="3">
        <v>240700039</v>
      </c>
      <c r="F8" s="3">
        <v>237908535</v>
      </c>
      <c r="G8" s="3">
        <v>243128948</v>
      </c>
      <c r="H8" s="3">
        <v>297907211</v>
      </c>
      <c r="I8" s="3">
        <v>286899111</v>
      </c>
      <c r="J8" s="3">
        <v>332329964</v>
      </c>
      <c r="K8" s="3">
        <v>389462524</v>
      </c>
      <c r="L8" s="3">
        <v>327592311</v>
      </c>
      <c r="M8" s="3">
        <v>287137686</v>
      </c>
      <c r="N8" s="3">
        <f>SUM(B8:M8)</f>
        <v>3392167141</v>
      </c>
    </row>
    <row r="9" spans="1:14" ht="12" customHeight="1" x14ac:dyDescent="0.3">
      <c r="A9" s="9" t="s">
        <v>20</v>
      </c>
      <c r="B9" s="3">
        <v>285228167</v>
      </c>
      <c r="C9" s="3">
        <v>232942153</v>
      </c>
      <c r="D9" s="3">
        <v>225739747</v>
      </c>
      <c r="E9" s="3">
        <v>238327952</v>
      </c>
      <c r="F9" s="3">
        <v>235624857</v>
      </c>
      <c r="G9" s="3">
        <v>240597758</v>
      </c>
      <c r="H9" s="3">
        <v>295391210</v>
      </c>
      <c r="I9" s="3">
        <v>284477637</v>
      </c>
      <c r="J9" s="3">
        <v>329496964</v>
      </c>
      <c r="K9" s="3">
        <v>386562421</v>
      </c>
      <c r="L9" s="3">
        <v>324141831</v>
      </c>
      <c r="M9" s="3">
        <v>284806968</v>
      </c>
      <c r="N9" s="3">
        <f>SUM(B9:M9)</f>
        <v>3363337665</v>
      </c>
    </row>
    <row r="10" spans="1:14" ht="12" customHeight="1" x14ac:dyDescent="0.3">
      <c r="A10" s="9" t="s">
        <v>21</v>
      </c>
      <c r="B10" s="3">
        <f t="shared" ref="B10:M10" si="0">+B9+B19+B20+B21</f>
        <v>287435858</v>
      </c>
      <c r="C10" s="3">
        <f t="shared" si="0"/>
        <v>234512395</v>
      </c>
      <c r="D10" s="3">
        <f t="shared" si="0"/>
        <v>227422520</v>
      </c>
      <c r="E10" s="3">
        <f t="shared" si="0"/>
        <v>240204179</v>
      </c>
      <c r="F10" s="3">
        <f t="shared" si="0"/>
        <v>237335566</v>
      </c>
      <c r="G10" s="3">
        <f t="shared" si="0"/>
        <v>242640474</v>
      </c>
      <c r="H10" s="3">
        <f t="shared" si="0"/>
        <v>297632403</v>
      </c>
      <c r="I10" s="3">
        <f t="shared" si="0"/>
        <v>286685608</v>
      </c>
      <c r="J10" s="3">
        <f t="shared" si="0"/>
        <v>332032931</v>
      </c>
      <c r="K10" s="3">
        <f t="shared" si="0"/>
        <v>389241753</v>
      </c>
      <c r="L10" s="3">
        <f t="shared" si="0"/>
        <v>326911329</v>
      </c>
      <c r="M10" s="3">
        <f t="shared" si="0"/>
        <v>286962772</v>
      </c>
      <c r="N10" s="3">
        <f>SUM(B10:M10)</f>
        <v>3389017788</v>
      </c>
    </row>
    <row r="11" spans="1:14" ht="12" customHeight="1" x14ac:dyDescent="0.3">
      <c r="A11" s="9" t="s">
        <v>22</v>
      </c>
      <c r="B11" s="3">
        <f t="shared" ref="B11:M11" si="1">-B8+B10</f>
        <v>363978</v>
      </c>
      <c r="C11" s="3">
        <f t="shared" si="1"/>
        <v>2976</v>
      </c>
      <c r="D11" s="3">
        <f t="shared" si="1"/>
        <v>-96993</v>
      </c>
      <c r="E11" s="3">
        <f t="shared" si="1"/>
        <v>-495860</v>
      </c>
      <c r="F11" s="3">
        <f t="shared" si="1"/>
        <v>-572969</v>
      </c>
      <c r="G11" s="3">
        <f t="shared" si="1"/>
        <v>-488474</v>
      </c>
      <c r="H11" s="3">
        <f t="shared" si="1"/>
        <v>-274808</v>
      </c>
      <c r="I11" s="3">
        <f t="shared" si="1"/>
        <v>-213503</v>
      </c>
      <c r="J11" s="3">
        <f t="shared" si="1"/>
        <v>-297033</v>
      </c>
      <c r="K11" s="3">
        <f t="shared" si="1"/>
        <v>-220771</v>
      </c>
      <c r="L11" s="3">
        <f t="shared" si="1"/>
        <v>-680982</v>
      </c>
      <c r="M11" s="3">
        <f t="shared" si="1"/>
        <v>-174914</v>
      </c>
      <c r="N11" s="3">
        <f>SUM(B11:M11)</f>
        <v>-3149353</v>
      </c>
    </row>
    <row r="12" spans="1:14" ht="12" customHeight="1" x14ac:dyDescent="0.3">
      <c r="A12" s="11" t="s">
        <v>23</v>
      </c>
      <c r="B12" s="12">
        <f t="shared" ref="B12:M12" si="2">B11/B8</f>
        <v>1.2678984789454126E-3</v>
      </c>
      <c r="C12" s="12">
        <f t="shared" si="2"/>
        <v>1.2690321833085945E-5</v>
      </c>
      <c r="D12" s="12">
        <f t="shared" si="2"/>
        <v>-4.2630629224316244E-4</v>
      </c>
      <c r="E12" s="12">
        <f t="shared" si="2"/>
        <v>-2.0600744480976175E-3</v>
      </c>
      <c r="F12" s="12">
        <f t="shared" si="2"/>
        <v>-2.408358321402803E-3</v>
      </c>
      <c r="G12" s="12">
        <f t="shared" si="2"/>
        <v>-2.0091149327064088E-3</v>
      </c>
      <c r="H12" s="12">
        <f t="shared" si="2"/>
        <v>-9.224617258425477E-4</v>
      </c>
      <c r="I12" s="12">
        <f t="shared" si="2"/>
        <v>-7.4417449135978674E-4</v>
      </c>
      <c r="J12" s="12">
        <f t="shared" si="2"/>
        <v>-8.9378940263117534E-4</v>
      </c>
      <c r="K12" s="12">
        <f t="shared" si="2"/>
        <v>-5.6686070262308469E-4</v>
      </c>
      <c r="L12" s="12">
        <f t="shared" si="2"/>
        <v>-2.0787484233718784E-3</v>
      </c>
      <c r="M12" s="12">
        <f t="shared" si="2"/>
        <v>-6.0916420424172394E-4</v>
      </c>
      <c r="N12" s="12">
        <f>N11/N8</f>
        <v>-9.2841916954350921E-4</v>
      </c>
    </row>
    <row r="13" spans="1:14" ht="12" customHeight="1" x14ac:dyDescent="0.3">
      <c r="A13" s="9" t="s">
        <v>24</v>
      </c>
      <c r="B13" s="3">
        <f t="shared" ref="B13:M13" si="3">-B8+B10</f>
        <v>363978</v>
      </c>
      <c r="C13" s="3">
        <f t="shared" si="3"/>
        <v>2976</v>
      </c>
      <c r="D13" s="3">
        <f t="shared" si="3"/>
        <v>-96993</v>
      </c>
      <c r="E13" s="3">
        <f t="shared" si="3"/>
        <v>-495860</v>
      </c>
      <c r="F13" s="3">
        <f t="shared" si="3"/>
        <v>-572969</v>
      </c>
      <c r="G13" s="3">
        <f t="shared" si="3"/>
        <v>-488474</v>
      </c>
      <c r="H13" s="3">
        <f t="shared" si="3"/>
        <v>-274808</v>
      </c>
      <c r="I13" s="3">
        <f t="shared" si="3"/>
        <v>-213503</v>
      </c>
      <c r="J13" s="3">
        <f t="shared" si="3"/>
        <v>-297033</v>
      </c>
      <c r="K13" s="3">
        <f t="shared" si="3"/>
        <v>-220771</v>
      </c>
      <c r="L13" s="3">
        <f t="shared" si="3"/>
        <v>-680982</v>
      </c>
      <c r="M13" s="3">
        <f t="shared" si="3"/>
        <v>-174914</v>
      </c>
      <c r="N13" s="3">
        <f>SUM(B13:M13)</f>
        <v>-3149353</v>
      </c>
    </row>
    <row r="14" spans="1:14" ht="12" customHeight="1" x14ac:dyDescent="0.3">
      <c r="A14" s="11" t="s">
        <v>23</v>
      </c>
      <c r="B14" s="12">
        <f t="shared" ref="B14:M14" si="4">B13/B8</f>
        <v>1.2678984789454126E-3</v>
      </c>
      <c r="C14" s="12">
        <f t="shared" si="4"/>
        <v>1.2690321833085945E-5</v>
      </c>
      <c r="D14" s="12">
        <f t="shared" si="4"/>
        <v>-4.2630629224316244E-4</v>
      </c>
      <c r="E14" s="12">
        <f t="shared" si="4"/>
        <v>-2.0600744480976175E-3</v>
      </c>
      <c r="F14" s="12">
        <f t="shared" si="4"/>
        <v>-2.408358321402803E-3</v>
      </c>
      <c r="G14" s="12">
        <f t="shared" si="4"/>
        <v>-2.0091149327064088E-3</v>
      </c>
      <c r="H14" s="12">
        <f t="shared" si="4"/>
        <v>-9.224617258425477E-4</v>
      </c>
      <c r="I14" s="12">
        <f t="shared" si="4"/>
        <v>-7.4417449135978674E-4</v>
      </c>
      <c r="J14" s="12">
        <f t="shared" si="4"/>
        <v>-8.9378940263117534E-4</v>
      </c>
      <c r="K14" s="12">
        <f t="shared" si="4"/>
        <v>-5.6686070262308469E-4</v>
      </c>
      <c r="L14" s="12">
        <f t="shared" si="4"/>
        <v>-2.0787484233718784E-3</v>
      </c>
      <c r="M14" s="12">
        <f t="shared" si="4"/>
        <v>-6.0916420424172394E-4</v>
      </c>
      <c r="N14" s="12">
        <f>N13/N8</f>
        <v>-9.2841916954350921E-4</v>
      </c>
    </row>
    <row r="15" spans="1:14" ht="12" customHeight="1" x14ac:dyDescent="0.3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1</v>
      </c>
    </row>
    <row r="16" spans="1:14" ht="12" customHeight="1" x14ac:dyDescent="0.3">
      <c r="A16" s="9" t="s">
        <v>25</v>
      </c>
      <c r="B16" s="3">
        <v>111245060</v>
      </c>
      <c r="C16" s="3">
        <v>100752299</v>
      </c>
      <c r="D16" s="3">
        <v>102165617</v>
      </c>
      <c r="E16" s="3">
        <v>107025781</v>
      </c>
      <c r="F16" s="3">
        <v>109371841</v>
      </c>
      <c r="G16" s="3">
        <v>105987374</v>
      </c>
      <c r="H16" s="3">
        <v>113951011</v>
      </c>
      <c r="I16" s="3">
        <v>113897847</v>
      </c>
      <c r="J16" s="3">
        <v>134852297</v>
      </c>
      <c r="K16" s="3">
        <v>149428069</v>
      </c>
      <c r="L16" s="3">
        <v>127927568</v>
      </c>
      <c r="M16" s="3">
        <v>120128005</v>
      </c>
      <c r="N16" s="3">
        <f>SUM(B16:M16)</f>
        <v>1396732769</v>
      </c>
    </row>
    <row r="17" spans="1:14" ht="12" customHeight="1" x14ac:dyDescent="0.3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ht="12" customHeight="1" x14ac:dyDescent="0.3">
      <c r="A18" s="9" t="s">
        <v>26</v>
      </c>
      <c r="B18" s="3">
        <v>109401347</v>
      </c>
      <c r="C18" s="3">
        <v>99185033</v>
      </c>
      <c r="D18" s="3">
        <v>100385851</v>
      </c>
      <c r="E18" s="3">
        <v>104653694</v>
      </c>
      <c r="F18" s="3">
        <v>107088163</v>
      </c>
      <c r="G18" s="3">
        <v>103456184</v>
      </c>
      <c r="H18" s="3">
        <v>111435010</v>
      </c>
      <c r="I18" s="3">
        <v>111476373</v>
      </c>
      <c r="J18" s="3">
        <v>132019297</v>
      </c>
      <c r="K18" s="3">
        <v>146527966</v>
      </c>
      <c r="L18" s="3">
        <v>124477088</v>
      </c>
      <c r="M18" s="3">
        <v>117797287</v>
      </c>
      <c r="N18" s="3">
        <f t="shared" ref="N18:N23" si="5">SUM(B18:M18)</f>
        <v>1367903293</v>
      </c>
    </row>
    <row r="19" spans="1:14" ht="12" customHeight="1" x14ac:dyDescent="0.3">
      <c r="A19" s="9" t="s">
        <v>27</v>
      </c>
      <c r="B19" s="3">
        <v>2107850</v>
      </c>
      <c r="C19" s="3">
        <v>1758146</v>
      </c>
      <c r="D19" s="3">
        <v>1662779</v>
      </c>
      <c r="E19" s="3">
        <v>1703484</v>
      </c>
      <c r="F19" s="3">
        <v>1710235</v>
      </c>
      <c r="G19" s="3">
        <v>1795181</v>
      </c>
      <c r="H19" s="3">
        <v>2148528</v>
      </c>
      <c r="I19" s="3">
        <v>2093994</v>
      </c>
      <c r="J19" s="3">
        <v>2325836</v>
      </c>
      <c r="K19" s="3">
        <v>2820089</v>
      </c>
      <c r="L19" s="3">
        <v>2514315</v>
      </c>
      <c r="M19" s="3">
        <v>2233298</v>
      </c>
      <c r="N19" s="3">
        <f t="shared" si="5"/>
        <v>24873735</v>
      </c>
    </row>
    <row r="20" spans="1:14" ht="12" customHeight="1" x14ac:dyDescent="0.3">
      <c r="A20" s="9" t="s">
        <v>28</v>
      </c>
      <c r="B20" s="3">
        <v>-40094</v>
      </c>
      <c r="C20" s="3">
        <v>-242478</v>
      </c>
      <c r="D20" s="3">
        <v>-90948</v>
      </c>
      <c r="E20" s="3">
        <v>82432</v>
      </c>
      <c r="F20" s="3">
        <v>-99557</v>
      </c>
      <c r="G20" s="3">
        <v>146966</v>
      </c>
      <c r="H20" s="3">
        <v>-5734</v>
      </c>
      <c r="I20" s="3">
        <v>5873</v>
      </c>
      <c r="J20" s="3">
        <v>92940</v>
      </c>
      <c r="K20" s="3">
        <v>-271818</v>
      </c>
      <c r="L20" s="3">
        <v>108969</v>
      </c>
      <c r="M20" s="3">
        <v>-216600</v>
      </c>
      <c r="N20" s="3">
        <f t="shared" si="5"/>
        <v>-530049</v>
      </c>
    </row>
    <row r="21" spans="1:14" ht="12" customHeight="1" x14ac:dyDescent="0.3">
      <c r="A21" s="9" t="s">
        <v>29</v>
      </c>
      <c r="B21" s="3">
        <v>139935</v>
      </c>
      <c r="C21" s="3">
        <v>54574</v>
      </c>
      <c r="D21" s="3">
        <v>110942</v>
      </c>
      <c r="E21" s="3">
        <v>90311</v>
      </c>
      <c r="F21" s="3">
        <v>100031</v>
      </c>
      <c r="G21" s="3">
        <v>100569</v>
      </c>
      <c r="H21" s="3">
        <v>98399</v>
      </c>
      <c r="I21" s="3">
        <v>108104</v>
      </c>
      <c r="J21" s="3">
        <v>117191</v>
      </c>
      <c r="K21" s="3">
        <v>131061</v>
      </c>
      <c r="L21" s="3">
        <v>146214</v>
      </c>
      <c r="M21" s="3">
        <v>139106</v>
      </c>
      <c r="N21" s="3">
        <f t="shared" si="5"/>
        <v>1336437</v>
      </c>
    </row>
    <row r="22" spans="1:14" ht="12" customHeight="1" x14ac:dyDescent="0.3">
      <c r="A22" s="9" t="s">
        <v>21</v>
      </c>
      <c r="B22" s="3">
        <f t="shared" ref="B22:M22" si="6">SUM(B18:B21)</f>
        <v>111609038</v>
      </c>
      <c r="C22" s="3">
        <f t="shared" si="6"/>
        <v>100755275</v>
      </c>
      <c r="D22" s="3">
        <f t="shared" si="6"/>
        <v>102068624</v>
      </c>
      <c r="E22" s="3">
        <f t="shared" si="6"/>
        <v>106529921</v>
      </c>
      <c r="F22" s="3">
        <f t="shared" si="6"/>
        <v>108798872</v>
      </c>
      <c r="G22" s="3">
        <f t="shared" si="6"/>
        <v>105498900</v>
      </c>
      <c r="H22" s="3">
        <f t="shared" si="6"/>
        <v>113676203</v>
      </c>
      <c r="I22" s="3">
        <f t="shared" si="6"/>
        <v>113684344</v>
      </c>
      <c r="J22" s="3">
        <f t="shared" si="6"/>
        <v>134555264</v>
      </c>
      <c r="K22" s="3">
        <f t="shared" si="6"/>
        <v>149207298</v>
      </c>
      <c r="L22" s="3">
        <f t="shared" si="6"/>
        <v>127246586</v>
      </c>
      <c r="M22" s="3">
        <f t="shared" si="6"/>
        <v>119953091</v>
      </c>
      <c r="N22" s="3">
        <f t="shared" si="5"/>
        <v>1393583416</v>
      </c>
    </row>
    <row r="23" spans="1:14" ht="12" customHeight="1" x14ac:dyDescent="0.3">
      <c r="A23" s="9" t="s">
        <v>32</v>
      </c>
      <c r="B23" s="3">
        <f t="shared" ref="B23:M23" si="7">-B16+B22</f>
        <v>363978</v>
      </c>
      <c r="C23" s="3">
        <f t="shared" si="7"/>
        <v>2976</v>
      </c>
      <c r="D23" s="3">
        <f t="shared" si="7"/>
        <v>-96993</v>
      </c>
      <c r="E23" s="3">
        <f t="shared" si="7"/>
        <v>-495860</v>
      </c>
      <c r="F23" s="3">
        <f t="shared" si="7"/>
        <v>-572969</v>
      </c>
      <c r="G23" s="3">
        <f t="shared" si="7"/>
        <v>-488474</v>
      </c>
      <c r="H23" s="3">
        <f t="shared" si="7"/>
        <v>-274808</v>
      </c>
      <c r="I23" s="3">
        <f t="shared" si="7"/>
        <v>-213503</v>
      </c>
      <c r="J23" s="3">
        <f t="shared" si="7"/>
        <v>-297033</v>
      </c>
      <c r="K23" s="3">
        <f t="shared" si="7"/>
        <v>-220771</v>
      </c>
      <c r="L23" s="3">
        <f t="shared" si="7"/>
        <v>-680982</v>
      </c>
      <c r="M23" s="3">
        <f t="shared" si="7"/>
        <v>-174914</v>
      </c>
      <c r="N23" s="3">
        <f t="shared" si="5"/>
        <v>-3149353</v>
      </c>
    </row>
    <row r="24" spans="1:14" ht="12" customHeight="1" x14ac:dyDescent="0.3">
      <c r="A24" s="11" t="s">
        <v>23</v>
      </c>
      <c r="B24" s="12">
        <f t="shared" ref="B24:M24" si="8">B23/B16</f>
        <v>3.2718576447349663E-3</v>
      </c>
      <c r="C24" s="12">
        <f t="shared" si="8"/>
        <v>2.9537787519865924E-5</v>
      </c>
      <c r="D24" s="12">
        <f t="shared" si="8"/>
        <v>-9.4937027591190492E-4</v>
      </c>
      <c r="E24" s="12">
        <f t="shared" si="8"/>
        <v>-4.6330892927564805E-3</v>
      </c>
      <c r="F24" s="12">
        <f t="shared" si="8"/>
        <v>-5.2387250206385391E-3</v>
      </c>
      <c r="G24" s="12">
        <f t="shared" si="8"/>
        <v>-4.6087942512850633E-3</v>
      </c>
      <c r="H24" s="12">
        <f t="shared" si="8"/>
        <v>-2.4116328375533235E-3</v>
      </c>
      <c r="I24" s="12">
        <f t="shared" si="8"/>
        <v>-1.8745130450095338E-3</v>
      </c>
      <c r="J24" s="12">
        <f t="shared" si="8"/>
        <v>-2.2026543604222034E-3</v>
      </c>
      <c r="K24" s="12">
        <f t="shared" si="8"/>
        <v>-1.477439958084448E-3</v>
      </c>
      <c r="L24" s="12">
        <f t="shared" si="8"/>
        <v>-5.3231841318205943E-3</v>
      </c>
      <c r="M24" s="12">
        <f t="shared" si="8"/>
        <v>-1.4560634716276192E-3</v>
      </c>
      <c r="N24" s="12">
        <f>N23/N16</f>
        <v>-2.2547999659625656E-3</v>
      </c>
    </row>
    <row r="25" spans="1:14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/>
    </row>
    <row r="26" spans="1:14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16"/>
    </row>
    <row r="28" spans="1:14" x14ac:dyDescent="0.3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</sheetData>
  <phoneticPr fontId="7" type="noConversion"/>
  <printOptions horizontalCentered="1" verticalCentered="1" gridLines="1" gridLinesSet="0"/>
  <pageMargins left="0.25" right="0.24" top="1" bottom="1" header="0.5" footer="0.5"/>
  <pageSetup scale="79" orientation="landscape" horizontalDpi="300" verticalDpi="300" r:id="rId1"/>
  <headerFooter alignWithMargins="0">
    <oddHeader>&amp;C&amp;"Arial,Bold Italic"&amp;12NNG DTH PRA (99)12 Month Historical</oddHeader>
    <oddFooter>&amp;L&amp;F&amp;CPage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2" x14ac:dyDescent="0.25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3.2" x14ac:dyDescent="0.25"/>
  <cols>
    <col min="1" max="1" width="11.6640625" customWidth="1"/>
    <col min="2" max="2" width="9.33203125" customWidth="1"/>
    <col min="3" max="3" width="10.109375" customWidth="1"/>
    <col min="4" max="4" width="9" customWidth="1"/>
    <col min="5" max="5" width="9.33203125" bestFit="1" customWidth="1"/>
    <col min="6" max="6" width="9.33203125" customWidth="1"/>
    <col min="8" max="9" width="9.33203125" customWidth="1"/>
    <col min="10" max="10" width="10.6640625" customWidth="1"/>
    <col min="11" max="11" width="9" customWidth="1"/>
    <col min="12" max="12" width="10.88671875" customWidth="1"/>
    <col min="13" max="13" width="9.88671875" customWidth="1"/>
    <col min="14" max="14" width="10.6640625" customWidth="1"/>
  </cols>
  <sheetData>
    <row r="1" spans="1:14" x14ac:dyDescent="0.25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2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x14ac:dyDescent="0.25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2000</v>
      </c>
      <c r="L6" s="6">
        <v>2000</v>
      </c>
      <c r="M6" s="6">
        <v>2000</v>
      </c>
      <c r="N6" s="7" t="s">
        <v>18</v>
      </c>
    </row>
    <row r="7" spans="1:14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x14ac:dyDescent="0.25">
      <c r="A8" s="9" t="s">
        <v>19</v>
      </c>
      <c r="B8" s="10">
        <v>383648778</v>
      </c>
      <c r="C8" s="10">
        <v>322883049</v>
      </c>
      <c r="D8" s="10">
        <v>282853628</v>
      </c>
      <c r="E8" s="10">
        <v>259837653</v>
      </c>
      <c r="F8" s="10">
        <v>233128019</v>
      </c>
      <c r="G8" s="10">
        <v>212598681</v>
      </c>
      <c r="H8" s="10">
        <v>217531439</v>
      </c>
      <c r="I8" s="10">
        <v>224610474</v>
      </c>
      <c r="J8" s="10">
        <v>233074589</v>
      </c>
      <c r="K8" s="10">
        <v>264953601</v>
      </c>
      <c r="L8" s="10">
        <v>313359285</v>
      </c>
      <c r="M8" s="10">
        <v>372209697</v>
      </c>
      <c r="N8" s="3">
        <f>SUM(B8:M8)</f>
        <v>3320688893</v>
      </c>
    </row>
    <row r="9" spans="1:14" x14ac:dyDescent="0.25">
      <c r="A9" s="9" t="s">
        <v>20</v>
      </c>
      <c r="B9" s="10">
        <v>380965837</v>
      </c>
      <c r="C9" s="10">
        <v>319742774</v>
      </c>
      <c r="D9" s="10">
        <v>280808213</v>
      </c>
      <c r="E9" s="10">
        <v>257340924</v>
      </c>
      <c r="F9" s="10">
        <v>231522390</v>
      </c>
      <c r="G9" s="10">
        <v>210583422</v>
      </c>
      <c r="H9" s="10">
        <v>215852270</v>
      </c>
      <c r="I9" s="10">
        <v>222571433</v>
      </c>
      <c r="J9" s="10">
        <v>231304863</v>
      </c>
      <c r="K9" s="10">
        <v>263053407</v>
      </c>
      <c r="L9" s="10">
        <v>311106093</v>
      </c>
      <c r="M9" s="10">
        <v>369297433</v>
      </c>
      <c r="N9" s="3">
        <f>SUM(B9:M9)</f>
        <v>3294149059</v>
      </c>
    </row>
    <row r="10" spans="1:14" x14ac:dyDescent="0.25">
      <c r="A10" s="9" t="s">
        <v>21</v>
      </c>
      <c r="B10" s="3">
        <f t="shared" ref="B10:M10" si="0">+B9+B19+B20+B21</f>
        <v>383510647</v>
      </c>
      <c r="C10" s="3">
        <f t="shared" si="0"/>
        <v>322373162</v>
      </c>
      <c r="D10" s="3">
        <f t="shared" si="0"/>
        <v>282828865</v>
      </c>
      <c r="E10" s="3">
        <f t="shared" si="0"/>
        <v>259677983</v>
      </c>
      <c r="F10" s="3">
        <f t="shared" si="0"/>
        <v>233093426</v>
      </c>
      <c r="G10" s="3">
        <f t="shared" si="0"/>
        <v>212357055</v>
      </c>
      <c r="H10" s="3">
        <f t="shared" si="0"/>
        <v>217854514</v>
      </c>
      <c r="I10" s="3">
        <f t="shared" si="0"/>
        <v>224034715</v>
      </c>
      <c r="J10" s="3">
        <f t="shared" si="0"/>
        <v>233271710</v>
      </c>
      <c r="K10" s="3">
        <f t="shared" si="0"/>
        <v>265008528</v>
      </c>
      <c r="L10" s="3">
        <f t="shared" si="0"/>
        <v>313410778</v>
      </c>
      <c r="M10" s="3">
        <f t="shared" si="0"/>
        <v>371776705</v>
      </c>
      <c r="N10" s="3">
        <f>SUM(B10:M10)</f>
        <v>3319198088</v>
      </c>
    </row>
    <row r="11" spans="1:14" x14ac:dyDescent="0.25">
      <c r="A11" s="9" t="s">
        <v>22</v>
      </c>
      <c r="B11" s="3">
        <f t="shared" ref="B11:M11" si="1">-B8+B10</f>
        <v>-138131</v>
      </c>
      <c r="C11" s="3">
        <f t="shared" si="1"/>
        <v>-509887</v>
      </c>
      <c r="D11" s="3">
        <f t="shared" si="1"/>
        <v>-24763</v>
      </c>
      <c r="E11" s="3">
        <f t="shared" si="1"/>
        <v>-159670</v>
      </c>
      <c r="F11" s="3">
        <f t="shared" si="1"/>
        <v>-34593</v>
      </c>
      <c r="G11" s="3">
        <f t="shared" si="1"/>
        <v>-241626</v>
      </c>
      <c r="H11" s="3">
        <f t="shared" si="1"/>
        <v>323075</v>
      </c>
      <c r="I11" s="3">
        <f t="shared" si="1"/>
        <v>-575759</v>
      </c>
      <c r="J11" s="3">
        <f t="shared" si="1"/>
        <v>197121</v>
      </c>
      <c r="K11" s="3">
        <f t="shared" si="1"/>
        <v>54927</v>
      </c>
      <c r="L11" s="3">
        <f t="shared" si="1"/>
        <v>51493</v>
      </c>
      <c r="M11" s="3">
        <f t="shared" si="1"/>
        <v>-432992</v>
      </c>
      <c r="N11" s="3">
        <f>SUM(B11:M11)</f>
        <v>-1490805</v>
      </c>
    </row>
    <row r="12" spans="1:14" x14ac:dyDescent="0.25">
      <c r="A12" s="11" t="s">
        <v>23</v>
      </c>
      <c r="B12" s="12">
        <f t="shared" ref="B12:M12" si="2">B11/B8</f>
        <v>-3.6004545803609991E-4</v>
      </c>
      <c r="C12" s="12">
        <f t="shared" si="2"/>
        <v>-1.5791693047348546E-3</v>
      </c>
      <c r="D12" s="12">
        <f t="shared" si="2"/>
        <v>-8.7547047478563718E-5</v>
      </c>
      <c r="E12" s="12">
        <f t="shared" si="2"/>
        <v>-6.1449908493439167E-4</v>
      </c>
      <c r="F12" s="12">
        <f t="shared" si="2"/>
        <v>-1.483862821311067E-4</v>
      </c>
      <c r="G12" s="12">
        <f t="shared" si="2"/>
        <v>-1.136535743606048E-3</v>
      </c>
      <c r="H12" s="12">
        <f t="shared" si="2"/>
        <v>1.485187619247993E-3</v>
      </c>
      <c r="I12" s="12">
        <f t="shared" si="2"/>
        <v>-2.5633666576029752E-3</v>
      </c>
      <c r="J12" s="12">
        <f t="shared" si="2"/>
        <v>8.4574213278994562E-4</v>
      </c>
      <c r="K12" s="12">
        <f t="shared" si="2"/>
        <v>2.0730799578753414E-4</v>
      </c>
      <c r="L12" s="12">
        <f t="shared" si="2"/>
        <v>1.6432575150916623E-4</v>
      </c>
      <c r="M12" s="12">
        <f t="shared" si="2"/>
        <v>-1.1633012344651516E-3</v>
      </c>
      <c r="N12" s="12">
        <f>N11/N8</f>
        <v>-4.4894449556614937E-4</v>
      </c>
    </row>
    <row r="13" spans="1:14" x14ac:dyDescent="0.25">
      <c r="A13" s="9" t="s">
        <v>24</v>
      </c>
      <c r="B13" s="3">
        <f t="shared" ref="B13:M13" si="3">-B8+B10</f>
        <v>-138131</v>
      </c>
      <c r="C13" s="3">
        <f t="shared" si="3"/>
        <v>-509887</v>
      </c>
      <c r="D13" s="3">
        <f t="shared" si="3"/>
        <v>-24763</v>
      </c>
      <c r="E13" s="3">
        <f t="shared" si="3"/>
        <v>-159670</v>
      </c>
      <c r="F13" s="3">
        <f t="shared" si="3"/>
        <v>-34593</v>
      </c>
      <c r="G13" s="3">
        <f t="shared" si="3"/>
        <v>-241626</v>
      </c>
      <c r="H13" s="3">
        <f t="shared" si="3"/>
        <v>323075</v>
      </c>
      <c r="I13" s="3">
        <f t="shared" si="3"/>
        <v>-575759</v>
      </c>
      <c r="J13" s="3">
        <f t="shared" si="3"/>
        <v>197121</v>
      </c>
      <c r="K13" s="3">
        <f t="shared" si="3"/>
        <v>54927</v>
      </c>
      <c r="L13" s="3">
        <f t="shared" si="3"/>
        <v>51493</v>
      </c>
      <c r="M13" s="3">
        <f t="shared" si="3"/>
        <v>-432992</v>
      </c>
      <c r="N13" s="3">
        <f>SUM(B13:M13)</f>
        <v>-1490805</v>
      </c>
    </row>
    <row r="14" spans="1:14" x14ac:dyDescent="0.25">
      <c r="A14" s="11" t="s">
        <v>23</v>
      </c>
      <c r="B14" s="12">
        <f t="shared" ref="B14:M14" si="4">B13/B8</f>
        <v>-3.6004545803609991E-4</v>
      </c>
      <c r="C14" s="12">
        <f t="shared" si="4"/>
        <v>-1.5791693047348546E-3</v>
      </c>
      <c r="D14" s="12">
        <f t="shared" si="4"/>
        <v>-8.7547047478563718E-5</v>
      </c>
      <c r="E14" s="12">
        <f t="shared" si="4"/>
        <v>-6.1449908493439167E-4</v>
      </c>
      <c r="F14" s="12">
        <f t="shared" si="4"/>
        <v>-1.483862821311067E-4</v>
      </c>
      <c r="G14" s="12">
        <f t="shared" si="4"/>
        <v>-1.136535743606048E-3</v>
      </c>
      <c r="H14" s="12">
        <f t="shared" si="4"/>
        <v>1.485187619247993E-3</v>
      </c>
      <c r="I14" s="12">
        <f t="shared" si="4"/>
        <v>-2.5633666576029752E-3</v>
      </c>
      <c r="J14" s="12">
        <f t="shared" si="4"/>
        <v>8.4574213278994562E-4</v>
      </c>
      <c r="K14" s="12">
        <f t="shared" si="4"/>
        <v>2.0730799578753414E-4</v>
      </c>
      <c r="L14" s="12">
        <f t="shared" si="4"/>
        <v>1.6432575150916623E-4</v>
      </c>
      <c r="M14" s="12">
        <f t="shared" si="4"/>
        <v>-1.1633012344651516E-3</v>
      </c>
      <c r="N14" s="12">
        <f>N13/N8</f>
        <v>-4.4894449556614937E-4</v>
      </c>
    </row>
    <row r="15" spans="1:14" x14ac:dyDescent="0.25">
      <c r="A15" s="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" t="s">
        <v>1</v>
      </c>
    </row>
    <row r="16" spans="1:14" x14ac:dyDescent="0.25">
      <c r="A16" s="9" t="s">
        <v>25</v>
      </c>
      <c r="B16" s="3">
        <v>146830605</v>
      </c>
      <c r="C16" s="3">
        <v>125650260</v>
      </c>
      <c r="D16" s="3">
        <v>117994083</v>
      </c>
      <c r="E16" s="3">
        <v>106825498</v>
      </c>
      <c r="F16" s="3">
        <v>102366920</v>
      </c>
      <c r="G16" s="3">
        <v>91567485</v>
      </c>
      <c r="H16" s="3">
        <v>98924687</v>
      </c>
      <c r="I16" s="3">
        <v>100482767</v>
      </c>
      <c r="J16" s="3">
        <v>104400357</v>
      </c>
      <c r="K16" s="3">
        <v>111613192</v>
      </c>
      <c r="L16" s="3">
        <v>128467892</v>
      </c>
      <c r="M16" s="3">
        <v>151266999</v>
      </c>
      <c r="N16" s="3">
        <f>SUM(B16:M16)</f>
        <v>1386390745</v>
      </c>
    </row>
    <row r="17" spans="1:14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5">
      <c r="A18" s="9" t="s">
        <v>26</v>
      </c>
      <c r="B18" s="3">
        <v>144147664</v>
      </c>
      <c r="C18" s="3">
        <v>122509985</v>
      </c>
      <c r="D18" s="3">
        <v>115948668</v>
      </c>
      <c r="E18" s="3">
        <v>104328769</v>
      </c>
      <c r="F18" s="3">
        <v>100761291</v>
      </c>
      <c r="G18" s="3">
        <v>89552226</v>
      </c>
      <c r="H18" s="3">
        <v>97245518</v>
      </c>
      <c r="I18" s="3">
        <v>98443726</v>
      </c>
      <c r="J18" s="3">
        <v>102630631</v>
      </c>
      <c r="K18" s="3">
        <v>109712998</v>
      </c>
      <c r="L18" s="3">
        <v>126214700</v>
      </c>
      <c r="M18" s="3">
        <v>148354735</v>
      </c>
      <c r="N18" s="3">
        <f t="shared" ref="N18:N23" si="5">SUM(B18:M18)</f>
        <v>1359850911</v>
      </c>
    </row>
    <row r="19" spans="1:14" x14ac:dyDescent="0.25">
      <c r="A19" s="9" t="s">
        <v>27</v>
      </c>
      <c r="B19" s="3">
        <v>2790141</v>
      </c>
      <c r="C19" s="3">
        <v>2491772</v>
      </c>
      <c r="D19" s="3">
        <v>2207421</v>
      </c>
      <c r="E19" s="3">
        <v>1963902</v>
      </c>
      <c r="F19" s="3">
        <v>1713206</v>
      </c>
      <c r="G19" s="3">
        <v>1543042</v>
      </c>
      <c r="H19" s="3">
        <v>1534964</v>
      </c>
      <c r="I19" s="3">
        <v>1589917</v>
      </c>
      <c r="J19" s="3">
        <v>1762126</v>
      </c>
      <c r="K19" s="3">
        <v>1864924</v>
      </c>
      <c r="L19" s="3">
        <v>2217394</v>
      </c>
      <c r="M19" s="3">
        <v>2520014</v>
      </c>
      <c r="N19" s="3">
        <f t="shared" si="5"/>
        <v>24198823</v>
      </c>
    </row>
    <row r="20" spans="1:14" x14ac:dyDescent="0.25">
      <c r="A20" s="9" t="s">
        <v>28</v>
      </c>
      <c r="B20" s="3">
        <v>-273610</v>
      </c>
      <c r="C20" s="3">
        <v>107270</v>
      </c>
      <c r="D20" s="3">
        <v>-216580</v>
      </c>
      <c r="E20" s="3">
        <v>329178</v>
      </c>
      <c r="F20" s="3">
        <v>-182730</v>
      </c>
      <c r="G20" s="3">
        <v>198720</v>
      </c>
      <c r="H20" s="3">
        <v>446385</v>
      </c>
      <c r="I20" s="3">
        <v>-144738</v>
      </c>
      <c r="J20" s="3">
        <v>176208</v>
      </c>
      <c r="K20" s="3">
        <v>73204</v>
      </c>
      <c r="L20" s="3">
        <v>62360</v>
      </c>
      <c r="M20" s="3">
        <v>-71705</v>
      </c>
      <c r="N20" s="3">
        <f t="shared" si="5"/>
        <v>503962</v>
      </c>
    </row>
    <row r="21" spans="1:14" x14ac:dyDescent="0.25">
      <c r="A21" s="9" t="s">
        <v>29</v>
      </c>
      <c r="B21" s="3">
        <v>28279</v>
      </c>
      <c r="C21" s="3">
        <v>31346</v>
      </c>
      <c r="D21" s="3">
        <v>29811</v>
      </c>
      <c r="E21" s="3">
        <v>43979</v>
      </c>
      <c r="F21" s="3">
        <v>40560</v>
      </c>
      <c r="G21" s="3">
        <v>31871</v>
      </c>
      <c r="H21" s="3">
        <v>20895</v>
      </c>
      <c r="I21" s="3">
        <v>18103</v>
      </c>
      <c r="J21" s="3">
        <v>28513</v>
      </c>
      <c r="K21" s="3">
        <v>16993</v>
      </c>
      <c r="L21" s="3">
        <v>24931</v>
      </c>
      <c r="M21" s="3">
        <v>30963</v>
      </c>
      <c r="N21" s="3">
        <f t="shared" si="5"/>
        <v>346244</v>
      </c>
    </row>
    <row r="22" spans="1:14" x14ac:dyDescent="0.25">
      <c r="A22" s="9" t="s">
        <v>21</v>
      </c>
      <c r="B22" s="3">
        <f t="shared" ref="B22:M22" si="6">SUM(B18:B21)</f>
        <v>146692474</v>
      </c>
      <c r="C22" s="3">
        <f t="shared" si="6"/>
        <v>125140373</v>
      </c>
      <c r="D22" s="3">
        <f t="shared" si="6"/>
        <v>117969320</v>
      </c>
      <c r="E22" s="3">
        <f t="shared" si="6"/>
        <v>106665828</v>
      </c>
      <c r="F22" s="3">
        <f t="shared" si="6"/>
        <v>102332327</v>
      </c>
      <c r="G22" s="3">
        <f t="shared" si="6"/>
        <v>91325859</v>
      </c>
      <c r="H22" s="3">
        <f t="shared" si="6"/>
        <v>99247762</v>
      </c>
      <c r="I22" s="3">
        <f t="shared" si="6"/>
        <v>99907008</v>
      </c>
      <c r="J22" s="3">
        <f t="shared" si="6"/>
        <v>104597478</v>
      </c>
      <c r="K22" s="3">
        <f t="shared" si="6"/>
        <v>111668119</v>
      </c>
      <c r="L22" s="3">
        <f t="shared" si="6"/>
        <v>128519385</v>
      </c>
      <c r="M22" s="3">
        <f t="shared" si="6"/>
        <v>150834007</v>
      </c>
      <c r="N22" s="3">
        <f t="shared" si="5"/>
        <v>1384899940</v>
      </c>
    </row>
    <row r="23" spans="1:14" x14ac:dyDescent="0.25">
      <c r="A23" s="9" t="s">
        <v>30</v>
      </c>
      <c r="B23" s="3">
        <f t="shared" ref="B23:M23" si="7">-B16+B22</f>
        <v>-138131</v>
      </c>
      <c r="C23" s="3">
        <f t="shared" si="7"/>
        <v>-509887</v>
      </c>
      <c r="D23" s="3">
        <f t="shared" si="7"/>
        <v>-24763</v>
      </c>
      <c r="E23" s="3">
        <f t="shared" si="7"/>
        <v>-159670</v>
      </c>
      <c r="F23" s="3">
        <f t="shared" si="7"/>
        <v>-34593</v>
      </c>
      <c r="G23" s="3">
        <f t="shared" si="7"/>
        <v>-241626</v>
      </c>
      <c r="H23" s="3">
        <f t="shared" si="7"/>
        <v>323075</v>
      </c>
      <c r="I23" s="3">
        <f t="shared" si="7"/>
        <v>-575759</v>
      </c>
      <c r="J23" s="3">
        <f t="shared" si="7"/>
        <v>197121</v>
      </c>
      <c r="K23" s="3">
        <f t="shared" si="7"/>
        <v>54927</v>
      </c>
      <c r="L23" s="3">
        <f t="shared" si="7"/>
        <v>51493</v>
      </c>
      <c r="M23" s="3">
        <f t="shared" si="7"/>
        <v>-432992</v>
      </c>
      <c r="N23" s="3">
        <f t="shared" si="5"/>
        <v>-1490805</v>
      </c>
    </row>
    <row r="24" spans="1:14" x14ac:dyDescent="0.25">
      <c r="A24" s="11" t="s">
        <v>23</v>
      </c>
      <c r="B24" s="12">
        <f t="shared" ref="B24:M24" si="8">B23/B16</f>
        <v>-9.4075073789963611E-4</v>
      </c>
      <c r="C24" s="12">
        <f t="shared" si="8"/>
        <v>-4.0579860320225361E-3</v>
      </c>
      <c r="D24" s="12">
        <f t="shared" si="8"/>
        <v>-2.0986645576117575E-4</v>
      </c>
      <c r="E24" s="12">
        <f t="shared" si="8"/>
        <v>-1.4946806051866007E-3</v>
      </c>
      <c r="F24" s="12">
        <f t="shared" si="8"/>
        <v>-3.3793143331849781E-4</v>
      </c>
      <c r="G24" s="12">
        <f t="shared" si="8"/>
        <v>-2.6387751066877067E-3</v>
      </c>
      <c r="H24" s="12">
        <f t="shared" si="8"/>
        <v>3.2658683064622687E-3</v>
      </c>
      <c r="I24" s="12">
        <f t="shared" si="8"/>
        <v>-5.7299277994603791E-3</v>
      </c>
      <c r="J24" s="12">
        <f t="shared" si="8"/>
        <v>1.8881257273861622E-3</v>
      </c>
      <c r="K24" s="12">
        <f t="shared" si="8"/>
        <v>4.9211924697933559E-4</v>
      </c>
      <c r="L24" s="12">
        <f t="shared" si="8"/>
        <v>4.0082388835336382E-4</v>
      </c>
      <c r="M24" s="12">
        <f t="shared" si="8"/>
        <v>-2.8624353154517198E-3</v>
      </c>
      <c r="N24" s="12">
        <f>N23/N16</f>
        <v>-1.0753137276605232E-3</v>
      </c>
    </row>
  </sheetData>
  <phoneticPr fontId="7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3.2" x14ac:dyDescent="0.25"/>
  <cols>
    <col min="1" max="1" width="12.6640625" customWidth="1"/>
    <col min="3" max="3" width="9.33203125" bestFit="1" customWidth="1"/>
    <col min="4" max="6" width="9" customWidth="1"/>
    <col min="7" max="7" width="8.88671875" customWidth="1"/>
    <col min="8" max="9" width="9" customWidth="1"/>
    <col min="10" max="10" width="10.33203125" customWidth="1"/>
    <col min="11" max="11" width="9.44140625" customWidth="1"/>
    <col min="12" max="13" width="10.33203125" customWidth="1"/>
    <col min="14" max="14" width="10.109375" customWidth="1"/>
  </cols>
  <sheetData>
    <row r="1" spans="1:14" x14ac:dyDescent="0.25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2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x14ac:dyDescent="0.25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2000</v>
      </c>
      <c r="L6" s="6">
        <v>2000</v>
      </c>
      <c r="M6" s="6">
        <v>2000</v>
      </c>
      <c r="N6" s="7" t="s">
        <v>18</v>
      </c>
    </row>
    <row r="7" spans="1:14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x14ac:dyDescent="0.25">
      <c r="A8" s="9" t="s">
        <v>19</v>
      </c>
      <c r="B8" s="10">
        <v>389462524</v>
      </c>
      <c r="C8" s="10">
        <v>327592311</v>
      </c>
      <c r="D8" s="10">
        <v>287137686</v>
      </c>
      <c r="E8" s="10">
        <v>264736025</v>
      </c>
      <c r="F8" s="10">
        <v>238071405</v>
      </c>
      <c r="G8" s="10">
        <v>218685444</v>
      </c>
      <c r="H8" s="10">
        <v>223482056</v>
      </c>
      <c r="I8" s="10">
        <v>230223503</v>
      </c>
      <c r="J8" s="10">
        <v>238858380</v>
      </c>
      <c r="K8" s="10">
        <v>269939084</v>
      </c>
      <c r="L8" s="10">
        <v>317732541</v>
      </c>
      <c r="M8" s="10">
        <v>378284649</v>
      </c>
      <c r="N8" s="3">
        <f>SUM(B8:M8)</f>
        <v>3384205608</v>
      </c>
    </row>
    <row r="9" spans="1:14" x14ac:dyDescent="0.25">
      <c r="A9" s="9" t="s">
        <v>20</v>
      </c>
      <c r="B9" s="10">
        <v>386562421</v>
      </c>
      <c r="C9" s="10">
        <v>324141831</v>
      </c>
      <c r="D9" s="10">
        <v>284806968</v>
      </c>
      <c r="E9" s="10">
        <v>261888455</v>
      </c>
      <c r="F9" s="10">
        <v>236216917</v>
      </c>
      <c r="G9" s="10">
        <v>216410637</v>
      </c>
      <c r="H9" s="10">
        <v>221725930</v>
      </c>
      <c r="I9" s="10">
        <v>228125235</v>
      </c>
      <c r="J9" s="10">
        <v>237123161</v>
      </c>
      <c r="K9" s="10">
        <v>268039685</v>
      </c>
      <c r="L9" s="10">
        <v>315403855</v>
      </c>
      <c r="M9" s="10">
        <v>375190523</v>
      </c>
      <c r="N9" s="3">
        <f>SUM(B9:M9)</f>
        <v>3355635618</v>
      </c>
    </row>
    <row r="10" spans="1:14" x14ac:dyDescent="0.25">
      <c r="A10" s="9" t="s">
        <v>21</v>
      </c>
      <c r="B10" s="3">
        <f t="shared" ref="B10:M10" si="0">+B9+B19+B20+B21</f>
        <v>389241753</v>
      </c>
      <c r="C10" s="3">
        <f t="shared" si="0"/>
        <v>326911329</v>
      </c>
      <c r="D10" s="3">
        <f t="shared" si="0"/>
        <v>286962772</v>
      </c>
      <c r="E10" s="3">
        <f t="shared" si="0"/>
        <v>264414093</v>
      </c>
      <c r="F10" s="3">
        <f t="shared" si="0"/>
        <v>237982633</v>
      </c>
      <c r="G10" s="3">
        <f t="shared" si="0"/>
        <v>218346083</v>
      </c>
      <c r="H10" s="3">
        <f t="shared" si="0"/>
        <v>223859803</v>
      </c>
      <c r="I10" s="3">
        <f t="shared" si="0"/>
        <v>229693649</v>
      </c>
      <c r="J10" s="3">
        <f t="shared" si="0"/>
        <v>239236200</v>
      </c>
      <c r="K10" s="3">
        <f t="shared" si="0"/>
        <v>270095595</v>
      </c>
      <c r="L10" s="3">
        <f t="shared" si="0"/>
        <v>317836229</v>
      </c>
      <c r="M10" s="3">
        <f t="shared" si="0"/>
        <v>377825541</v>
      </c>
      <c r="N10" s="3">
        <f>SUM(B10:M10)</f>
        <v>3382405680</v>
      </c>
    </row>
    <row r="11" spans="1:14" x14ac:dyDescent="0.25">
      <c r="A11" s="9" t="s">
        <v>22</v>
      </c>
      <c r="B11" s="3">
        <f t="shared" ref="B11:M11" si="1">-B8+B10</f>
        <v>-220771</v>
      </c>
      <c r="C11" s="3">
        <f t="shared" si="1"/>
        <v>-680982</v>
      </c>
      <c r="D11" s="3">
        <f t="shared" si="1"/>
        <v>-174914</v>
      </c>
      <c r="E11" s="3">
        <f t="shared" si="1"/>
        <v>-321932</v>
      </c>
      <c r="F11" s="3">
        <f t="shared" si="1"/>
        <v>-88772</v>
      </c>
      <c r="G11" s="3">
        <f t="shared" si="1"/>
        <v>-339361</v>
      </c>
      <c r="H11" s="3">
        <f t="shared" si="1"/>
        <v>377747</v>
      </c>
      <c r="I11" s="3">
        <f t="shared" si="1"/>
        <v>-529854</v>
      </c>
      <c r="J11" s="3">
        <f t="shared" si="1"/>
        <v>377820</v>
      </c>
      <c r="K11" s="3">
        <f t="shared" si="1"/>
        <v>156511</v>
      </c>
      <c r="L11" s="3">
        <f t="shared" si="1"/>
        <v>103688</v>
      </c>
      <c r="M11" s="3">
        <f t="shared" si="1"/>
        <v>-459108</v>
      </c>
      <c r="N11" s="3">
        <f>SUM(B11:M11)</f>
        <v>-1799928</v>
      </c>
    </row>
    <row r="12" spans="1:14" x14ac:dyDescent="0.25">
      <c r="A12" s="11" t="s">
        <v>23</v>
      </c>
      <c r="B12" s="12">
        <f t="shared" ref="B12:M12" si="2">B11/B8</f>
        <v>-5.6686070262308469E-4</v>
      </c>
      <c r="C12" s="12">
        <f t="shared" si="2"/>
        <v>-2.0787484233718784E-3</v>
      </c>
      <c r="D12" s="12">
        <f t="shared" si="2"/>
        <v>-6.0916420424172394E-4</v>
      </c>
      <c r="E12" s="12">
        <f t="shared" si="2"/>
        <v>-1.2160490813443315E-3</v>
      </c>
      <c r="F12" s="12">
        <f t="shared" si="2"/>
        <v>-3.728797248875815E-4</v>
      </c>
      <c r="G12" s="12">
        <f t="shared" si="2"/>
        <v>-1.5518225346539296E-3</v>
      </c>
      <c r="H12" s="12">
        <f t="shared" si="2"/>
        <v>1.690278883061645E-3</v>
      </c>
      <c r="I12" s="12">
        <f t="shared" si="2"/>
        <v>-2.301476578609787E-3</v>
      </c>
      <c r="J12" s="12">
        <f t="shared" si="2"/>
        <v>1.5817741039690547E-3</v>
      </c>
      <c r="K12" s="12">
        <f t="shared" si="2"/>
        <v>5.7980118210670083E-4</v>
      </c>
      <c r="L12" s="12">
        <f t="shared" si="2"/>
        <v>3.2633736435576485E-4</v>
      </c>
      <c r="M12" s="12">
        <f t="shared" si="2"/>
        <v>-1.2136574963156912E-3</v>
      </c>
      <c r="N12" s="12">
        <f>N11/N8</f>
        <v>-5.3186130173211391E-4</v>
      </c>
    </row>
    <row r="13" spans="1:14" x14ac:dyDescent="0.25">
      <c r="A13" s="9" t="s">
        <v>24</v>
      </c>
      <c r="B13" s="3">
        <f t="shared" ref="B13:M13" si="3">-B8+B10</f>
        <v>-220771</v>
      </c>
      <c r="C13" s="3">
        <f t="shared" si="3"/>
        <v>-680982</v>
      </c>
      <c r="D13" s="3">
        <f t="shared" si="3"/>
        <v>-174914</v>
      </c>
      <c r="E13" s="3">
        <f t="shared" si="3"/>
        <v>-321932</v>
      </c>
      <c r="F13" s="3">
        <f t="shared" si="3"/>
        <v>-88772</v>
      </c>
      <c r="G13" s="3">
        <f t="shared" si="3"/>
        <v>-339361</v>
      </c>
      <c r="H13" s="3">
        <f t="shared" si="3"/>
        <v>377747</v>
      </c>
      <c r="I13" s="3">
        <f t="shared" si="3"/>
        <v>-529854</v>
      </c>
      <c r="J13" s="3">
        <f t="shared" si="3"/>
        <v>377820</v>
      </c>
      <c r="K13" s="3">
        <f t="shared" si="3"/>
        <v>156511</v>
      </c>
      <c r="L13" s="3">
        <f t="shared" si="3"/>
        <v>103688</v>
      </c>
      <c r="M13" s="3">
        <f t="shared" si="3"/>
        <v>-459108</v>
      </c>
      <c r="N13" s="3">
        <f>SUM(B13:M13)</f>
        <v>-1799928</v>
      </c>
    </row>
    <row r="14" spans="1:14" x14ac:dyDescent="0.25">
      <c r="A14" s="11" t="s">
        <v>23</v>
      </c>
      <c r="B14" s="12">
        <f t="shared" ref="B14:M14" si="4">B13/B8</f>
        <v>-5.6686070262308469E-4</v>
      </c>
      <c r="C14" s="12">
        <f t="shared" si="4"/>
        <v>-2.0787484233718784E-3</v>
      </c>
      <c r="D14" s="12">
        <f t="shared" si="4"/>
        <v>-6.0916420424172394E-4</v>
      </c>
      <c r="E14" s="12">
        <f t="shared" si="4"/>
        <v>-1.2160490813443315E-3</v>
      </c>
      <c r="F14" s="12">
        <f t="shared" si="4"/>
        <v>-3.728797248875815E-4</v>
      </c>
      <c r="G14" s="12">
        <f t="shared" si="4"/>
        <v>-1.5518225346539296E-3</v>
      </c>
      <c r="H14" s="12">
        <f t="shared" si="4"/>
        <v>1.690278883061645E-3</v>
      </c>
      <c r="I14" s="12">
        <f t="shared" si="4"/>
        <v>-2.301476578609787E-3</v>
      </c>
      <c r="J14" s="12">
        <f t="shared" si="4"/>
        <v>1.5817741039690547E-3</v>
      </c>
      <c r="K14" s="12">
        <f t="shared" si="4"/>
        <v>5.7980118210670083E-4</v>
      </c>
      <c r="L14" s="12">
        <f t="shared" si="4"/>
        <v>3.2633736435576485E-4</v>
      </c>
      <c r="M14" s="12">
        <f t="shared" si="4"/>
        <v>-1.2136574963156912E-3</v>
      </c>
      <c r="N14" s="12">
        <f>N13/N8</f>
        <v>-5.3186130173211391E-4</v>
      </c>
    </row>
    <row r="15" spans="1:14" x14ac:dyDescent="0.25">
      <c r="A15" s="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" t="s">
        <v>1</v>
      </c>
    </row>
    <row r="16" spans="1:14" x14ac:dyDescent="0.25">
      <c r="A16" s="9" t="s">
        <v>25</v>
      </c>
      <c r="B16" s="3">
        <v>149428069</v>
      </c>
      <c r="C16" s="3">
        <v>127927568</v>
      </c>
      <c r="D16" s="3">
        <v>120128005</v>
      </c>
      <c r="E16" s="3">
        <v>109021045</v>
      </c>
      <c r="F16" s="3">
        <v>104397477</v>
      </c>
      <c r="G16" s="3">
        <v>93951694</v>
      </c>
      <c r="H16" s="3">
        <v>101266797</v>
      </c>
      <c r="I16" s="3">
        <v>102814096</v>
      </c>
      <c r="J16" s="3">
        <v>106572865</v>
      </c>
      <c r="K16" s="3">
        <v>113468501</v>
      </c>
      <c r="L16" s="3">
        <v>130371967</v>
      </c>
      <c r="M16" s="3">
        <v>153792963</v>
      </c>
      <c r="N16" s="3">
        <f>SUM(B16:M16)</f>
        <v>1413141047</v>
      </c>
    </row>
    <row r="17" spans="1:14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5">
      <c r="A18" s="9" t="s">
        <v>26</v>
      </c>
      <c r="B18" s="3">
        <v>146527966</v>
      </c>
      <c r="C18" s="3">
        <v>124477088</v>
      </c>
      <c r="D18" s="3">
        <v>117797287</v>
      </c>
      <c r="E18" s="3">
        <v>106173475</v>
      </c>
      <c r="F18" s="3">
        <v>102542989</v>
      </c>
      <c r="G18" s="3">
        <v>91676887</v>
      </c>
      <c r="H18" s="3">
        <v>99510671</v>
      </c>
      <c r="I18" s="3">
        <v>100715828</v>
      </c>
      <c r="J18" s="3">
        <v>104837646</v>
      </c>
      <c r="K18" s="3">
        <v>111569102</v>
      </c>
      <c r="L18" s="3">
        <v>128043281</v>
      </c>
      <c r="M18" s="3">
        <v>150698837</v>
      </c>
      <c r="N18" s="3">
        <f t="shared" ref="N18:N23" si="5">SUM(B18:M18)</f>
        <v>1384571057</v>
      </c>
    </row>
    <row r="19" spans="1:14" x14ac:dyDescent="0.25">
      <c r="A19" s="9" t="s">
        <v>27</v>
      </c>
      <c r="B19" s="3">
        <v>2820089</v>
      </c>
      <c r="C19" s="3">
        <v>2514315</v>
      </c>
      <c r="D19" s="3">
        <v>2233298</v>
      </c>
      <c r="E19" s="3">
        <v>1996836</v>
      </c>
      <c r="F19" s="3">
        <v>1751913</v>
      </c>
      <c r="G19" s="3">
        <v>1584762</v>
      </c>
      <c r="H19" s="3">
        <v>1573207</v>
      </c>
      <c r="I19" s="3">
        <v>1630148</v>
      </c>
      <c r="J19" s="3">
        <v>1800184</v>
      </c>
      <c r="K19" s="3">
        <v>1893976</v>
      </c>
      <c r="L19" s="3">
        <v>2250282</v>
      </c>
      <c r="M19" s="3">
        <v>2561882</v>
      </c>
      <c r="N19" s="3">
        <f t="shared" si="5"/>
        <v>24610892</v>
      </c>
    </row>
    <row r="20" spans="1:14" x14ac:dyDescent="0.25">
      <c r="A20" s="9" t="s">
        <v>28</v>
      </c>
      <c r="B20" s="3">
        <v>-271818</v>
      </c>
      <c r="C20" s="3">
        <v>108969</v>
      </c>
      <c r="D20" s="3">
        <v>-216600</v>
      </c>
      <c r="E20" s="3">
        <v>326931</v>
      </c>
      <c r="F20" s="3">
        <v>-178902</v>
      </c>
      <c r="G20" s="3">
        <v>200231</v>
      </c>
      <c r="H20" s="3">
        <v>461593</v>
      </c>
      <c r="I20" s="3">
        <v>-147789</v>
      </c>
      <c r="J20" s="3">
        <v>177964</v>
      </c>
      <c r="K20" s="3">
        <v>72651</v>
      </c>
      <c r="L20" s="3">
        <v>62705</v>
      </c>
      <c r="M20" s="3">
        <v>-72228</v>
      </c>
      <c r="N20" s="3">
        <f t="shared" si="5"/>
        <v>523707</v>
      </c>
    </row>
    <row r="21" spans="1:14" x14ac:dyDescent="0.25">
      <c r="A21" s="9" t="s">
        <v>29</v>
      </c>
      <c r="B21" s="3">
        <v>131061</v>
      </c>
      <c r="C21" s="3">
        <v>146214</v>
      </c>
      <c r="D21" s="3">
        <v>139106</v>
      </c>
      <c r="E21" s="3">
        <v>201871</v>
      </c>
      <c r="F21" s="3">
        <v>192705</v>
      </c>
      <c r="G21" s="3">
        <v>150453</v>
      </c>
      <c r="H21" s="3">
        <v>99073</v>
      </c>
      <c r="I21" s="3">
        <v>86055</v>
      </c>
      <c r="J21" s="3">
        <v>134891</v>
      </c>
      <c r="K21" s="3">
        <v>89283</v>
      </c>
      <c r="L21" s="3">
        <v>119387</v>
      </c>
      <c r="M21" s="3">
        <v>145364</v>
      </c>
      <c r="N21" s="3">
        <f t="shared" si="5"/>
        <v>1635463</v>
      </c>
    </row>
    <row r="22" spans="1:14" x14ac:dyDescent="0.25">
      <c r="A22" s="9" t="s">
        <v>21</v>
      </c>
      <c r="B22" s="3">
        <f t="shared" ref="B22:M22" si="6">SUM(B18:B21)</f>
        <v>149207298</v>
      </c>
      <c r="C22" s="3">
        <f t="shared" si="6"/>
        <v>127246586</v>
      </c>
      <c r="D22" s="3">
        <f t="shared" si="6"/>
        <v>119953091</v>
      </c>
      <c r="E22" s="3">
        <f t="shared" si="6"/>
        <v>108699113</v>
      </c>
      <c r="F22" s="3">
        <f t="shared" si="6"/>
        <v>104308705</v>
      </c>
      <c r="G22" s="3">
        <f t="shared" si="6"/>
        <v>93612333</v>
      </c>
      <c r="H22" s="3">
        <f t="shared" si="6"/>
        <v>101644544</v>
      </c>
      <c r="I22" s="3">
        <f t="shared" si="6"/>
        <v>102284242</v>
      </c>
      <c r="J22" s="3">
        <f t="shared" si="6"/>
        <v>106950685</v>
      </c>
      <c r="K22" s="3">
        <f t="shared" si="6"/>
        <v>113625012</v>
      </c>
      <c r="L22" s="3">
        <f t="shared" si="6"/>
        <v>130475655</v>
      </c>
      <c r="M22" s="3">
        <f t="shared" si="6"/>
        <v>153333855</v>
      </c>
      <c r="N22" s="3">
        <f t="shared" si="5"/>
        <v>1411341119</v>
      </c>
    </row>
    <row r="23" spans="1:14" x14ac:dyDescent="0.25">
      <c r="A23" s="9" t="s">
        <v>32</v>
      </c>
      <c r="B23" s="3">
        <f t="shared" ref="B23:M23" si="7">-B16+B22</f>
        <v>-220771</v>
      </c>
      <c r="C23" s="3">
        <f t="shared" si="7"/>
        <v>-680982</v>
      </c>
      <c r="D23" s="3">
        <f t="shared" si="7"/>
        <v>-174914</v>
      </c>
      <c r="E23" s="3">
        <f t="shared" si="7"/>
        <v>-321932</v>
      </c>
      <c r="F23" s="3">
        <f t="shared" si="7"/>
        <v>-88772</v>
      </c>
      <c r="G23" s="3">
        <f t="shared" si="7"/>
        <v>-339361</v>
      </c>
      <c r="H23" s="3">
        <f t="shared" si="7"/>
        <v>377747</v>
      </c>
      <c r="I23" s="3">
        <f t="shared" si="7"/>
        <v>-529854</v>
      </c>
      <c r="J23" s="3">
        <f t="shared" si="7"/>
        <v>377820</v>
      </c>
      <c r="K23" s="3">
        <f t="shared" si="7"/>
        <v>156511</v>
      </c>
      <c r="L23" s="3">
        <f t="shared" si="7"/>
        <v>103688</v>
      </c>
      <c r="M23" s="3">
        <f t="shared" si="7"/>
        <v>-459108</v>
      </c>
      <c r="N23" s="3">
        <f t="shared" si="5"/>
        <v>-1799928</v>
      </c>
    </row>
    <row r="24" spans="1:14" x14ac:dyDescent="0.25">
      <c r="A24" s="11" t="s">
        <v>23</v>
      </c>
      <c r="B24" s="12">
        <f t="shared" ref="B24:M24" si="8">B23/B16</f>
        <v>-1.477439958084448E-3</v>
      </c>
      <c r="C24" s="12">
        <f t="shared" si="8"/>
        <v>-5.3231841318205943E-3</v>
      </c>
      <c r="D24" s="12">
        <f t="shared" si="8"/>
        <v>-1.4560634716276192E-3</v>
      </c>
      <c r="E24" s="12">
        <f t="shared" si="8"/>
        <v>-2.952934454077192E-3</v>
      </c>
      <c r="F24" s="12">
        <f t="shared" si="8"/>
        <v>-8.5032706298065043E-4</v>
      </c>
      <c r="G24" s="12">
        <f t="shared" si="8"/>
        <v>-3.6120796289207942E-3</v>
      </c>
      <c r="H24" s="12">
        <f t="shared" si="8"/>
        <v>3.7302157389257607E-3</v>
      </c>
      <c r="I24" s="12">
        <f t="shared" si="8"/>
        <v>-5.1535151366793128E-3</v>
      </c>
      <c r="J24" s="12">
        <f t="shared" si="8"/>
        <v>3.5451800981422428E-3</v>
      </c>
      <c r="K24" s="12">
        <f t="shared" si="8"/>
        <v>1.3793343405497178E-3</v>
      </c>
      <c r="L24" s="12">
        <f t="shared" si="8"/>
        <v>7.9532435067118375E-4</v>
      </c>
      <c r="M24" s="12">
        <f t="shared" si="8"/>
        <v>-2.9852341163359992E-3</v>
      </c>
      <c r="N24" s="12">
        <f>N23/N16</f>
        <v>-1.2737072522386367E-3</v>
      </c>
    </row>
  </sheetData>
  <phoneticPr fontId="7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3"/>
  <sheetViews>
    <sheetView zoomScale="90" workbookViewId="0"/>
  </sheetViews>
  <sheetFormatPr defaultColWidth="9.109375" defaultRowHeight="10.199999999999999" x14ac:dyDescent="0.25"/>
  <cols>
    <col min="1" max="1" width="15" style="2" customWidth="1"/>
    <col min="2" max="2" width="11.88671875" style="3" hidden="1" customWidth="1"/>
    <col min="3" max="3" width="12" style="3" hidden="1" customWidth="1"/>
    <col min="4" max="4" width="11.6640625" style="3" hidden="1" customWidth="1"/>
    <col min="5" max="5" width="12.109375" style="3" hidden="1" customWidth="1"/>
    <col min="6" max="6" width="11.44140625" style="3" hidden="1" customWidth="1"/>
    <col min="7" max="7" width="11.88671875" style="3" hidden="1" customWidth="1"/>
    <col min="8" max="8" width="11.44140625" style="3" hidden="1" customWidth="1"/>
    <col min="9" max="9" width="11" style="3" hidden="1" customWidth="1"/>
    <col min="10" max="10" width="11.44140625" style="3" hidden="1" customWidth="1"/>
    <col min="11" max="11" width="10" style="3" customWidth="1"/>
    <col min="12" max="12" width="10.5546875" style="3" customWidth="1"/>
    <col min="13" max="18" width="9.88671875" style="3" customWidth="1"/>
    <col min="19" max="22" width="11.6640625" style="3" customWidth="1"/>
    <col min="23" max="23" width="13" style="3" customWidth="1"/>
    <col min="24" max="16384" width="9.109375" style="3"/>
  </cols>
  <sheetData>
    <row r="1" spans="1:24" ht="12" customHeight="1" x14ac:dyDescent="0.25">
      <c r="A1" s="2" t="s">
        <v>0</v>
      </c>
      <c r="F1" s="3" t="s">
        <v>1</v>
      </c>
      <c r="I1" s="3" t="s">
        <v>2</v>
      </c>
      <c r="J1" s="4">
        <f ca="1">NOW()</f>
        <v>37285.808733796293</v>
      </c>
    </row>
    <row r="2" spans="1:24" ht="12" customHeight="1" x14ac:dyDescent="0.25">
      <c r="A2" s="2" t="s">
        <v>3</v>
      </c>
      <c r="I2" s="5" t="s">
        <v>56</v>
      </c>
    </row>
    <row r="3" spans="1:24" ht="12" customHeight="1" x14ac:dyDescent="0.25">
      <c r="A3" s="2" t="s">
        <v>4</v>
      </c>
    </row>
    <row r="4" spans="1:24" ht="12" customHeight="1" x14ac:dyDescent="0.25"/>
    <row r="5" spans="1:24" ht="12" customHeight="1" x14ac:dyDescent="0.2"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6" t="s">
        <v>12</v>
      </c>
      <c r="V5" s="6" t="s">
        <v>13</v>
      </c>
      <c r="W5" s="7" t="s">
        <v>17</v>
      </c>
    </row>
    <row r="6" spans="1:24" ht="12" customHeight="1" x14ac:dyDescent="0.2"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2001</v>
      </c>
      <c r="L6" s="6">
        <v>2001</v>
      </c>
      <c r="M6" s="6">
        <v>2001</v>
      </c>
      <c r="N6" s="6">
        <v>2001</v>
      </c>
      <c r="O6" s="6">
        <v>2001</v>
      </c>
      <c r="P6" s="6">
        <v>2001</v>
      </c>
      <c r="Q6" s="6">
        <v>2001</v>
      </c>
      <c r="R6" s="6">
        <v>2001</v>
      </c>
      <c r="S6" s="6">
        <v>2001</v>
      </c>
      <c r="T6" s="6">
        <v>2001</v>
      </c>
      <c r="U6" s="6">
        <v>2001</v>
      </c>
      <c r="V6" s="6">
        <v>2001</v>
      </c>
      <c r="W6" s="7" t="s">
        <v>18</v>
      </c>
    </row>
    <row r="7" spans="1:24" ht="12" customHeight="1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4" ht="12" customHeight="1" x14ac:dyDescent="0.2">
      <c r="A8" s="9" t="s">
        <v>19</v>
      </c>
      <c r="B8" s="10">
        <v>259837653</v>
      </c>
      <c r="C8" s="10">
        <v>233128019</v>
      </c>
      <c r="D8" s="10">
        <v>212598681</v>
      </c>
      <c r="E8" s="10">
        <v>217531439</v>
      </c>
      <c r="F8" s="10">
        <v>224610474</v>
      </c>
      <c r="G8" s="10">
        <v>233074589</v>
      </c>
      <c r="H8" s="10">
        <v>264953601</v>
      </c>
      <c r="I8" s="10">
        <v>313359285</v>
      </c>
      <c r="J8" s="10">
        <v>372209697</v>
      </c>
      <c r="K8" s="10">
        <v>301077970</v>
      </c>
      <c r="L8" s="10">
        <v>311599155</v>
      </c>
      <c r="M8" s="10">
        <v>309650897</v>
      </c>
      <c r="N8" s="10">
        <f>97887777+139191081</f>
        <v>237078858</v>
      </c>
      <c r="O8" s="10">
        <f>92157544+124284973</f>
        <v>216442517</v>
      </c>
      <c r="P8" s="10">
        <f>93848102+118865202</f>
        <v>212713304</v>
      </c>
      <c r="Q8" s="10">
        <f>103227400+138344707</f>
        <v>241572107</v>
      </c>
      <c r="R8" s="10">
        <f>103206147+131144289</f>
        <v>234350436</v>
      </c>
      <c r="S8" s="10">
        <f>98788913+127534070</f>
        <v>226322983</v>
      </c>
      <c r="T8" s="10">
        <f>109813680+177525952</f>
        <v>287339632</v>
      </c>
      <c r="U8" s="10">
        <f>106741721+164340922</f>
        <v>271082643</v>
      </c>
      <c r="V8" s="10">
        <f>124172161+185116905</f>
        <v>309289066</v>
      </c>
      <c r="W8" s="19">
        <f>SUM(K8:V8)</f>
        <v>3158519568</v>
      </c>
    </row>
    <row r="9" spans="1:24" ht="12" customHeight="1" x14ac:dyDescent="0.2">
      <c r="A9" s="9" t="s">
        <v>20</v>
      </c>
      <c r="B9" s="10">
        <v>257321963</v>
      </c>
      <c r="C9" s="10">
        <v>231522390</v>
      </c>
      <c r="D9" s="10">
        <v>210583422</v>
      </c>
      <c r="E9" s="10">
        <v>215852270</v>
      </c>
      <c r="F9" s="10">
        <v>222571433</v>
      </c>
      <c r="G9" s="10">
        <v>231304863</v>
      </c>
      <c r="H9" s="10">
        <v>263053407</v>
      </c>
      <c r="I9" s="10">
        <v>311106093</v>
      </c>
      <c r="J9" s="10">
        <v>369297433</v>
      </c>
      <c r="K9" s="10">
        <v>298863441</v>
      </c>
      <c r="L9" s="10">
        <v>309684869</v>
      </c>
      <c r="M9" s="10">
        <v>307112445</v>
      </c>
      <c r="N9" s="10">
        <f>97821818+139191081</f>
        <v>237012899</v>
      </c>
      <c r="O9" s="10">
        <f>91900590+124284973</f>
        <v>216185563</v>
      </c>
      <c r="P9" s="10">
        <f>93450786+118865202</f>
        <v>212315988</v>
      </c>
      <c r="Q9" s="10">
        <f>102449558+138344707</f>
        <v>240794265</v>
      </c>
      <c r="R9" s="10">
        <f>102672492+131144289</f>
        <v>233816781</v>
      </c>
      <c r="S9" s="10">
        <f>98389327+127534070</f>
        <v>225923397</v>
      </c>
      <c r="T9" s="10">
        <f>109050271+177525952</f>
        <v>286576223</v>
      </c>
      <c r="U9" s="10">
        <f>106229270+164340922</f>
        <v>270570192</v>
      </c>
      <c r="V9" s="10">
        <f>123278953+185116905</f>
        <v>308395858</v>
      </c>
      <c r="W9" s="19">
        <f>SUM(K9:V9)</f>
        <v>3147251921</v>
      </c>
    </row>
    <row r="10" spans="1:24" ht="12" customHeight="1" x14ac:dyDescent="0.25">
      <c r="A10" s="9" t="s">
        <v>21</v>
      </c>
      <c r="B10" s="3">
        <f t="shared" ref="B10:V10" si="0">+B9+B19+B20+B21</f>
        <v>259659022</v>
      </c>
      <c r="C10" s="3">
        <f t="shared" si="0"/>
        <v>233093426</v>
      </c>
      <c r="D10" s="3">
        <f t="shared" si="0"/>
        <v>212357055</v>
      </c>
      <c r="E10" s="3">
        <f t="shared" si="0"/>
        <v>217854514</v>
      </c>
      <c r="F10" s="3">
        <f t="shared" si="0"/>
        <v>224034715</v>
      </c>
      <c r="G10" s="3">
        <f t="shared" si="0"/>
        <v>233271710</v>
      </c>
      <c r="H10" s="3">
        <f t="shared" si="0"/>
        <v>265008528</v>
      </c>
      <c r="I10" s="3">
        <f t="shared" si="0"/>
        <v>313410778</v>
      </c>
      <c r="J10" s="3">
        <f t="shared" si="0"/>
        <v>371776705</v>
      </c>
      <c r="K10" s="3">
        <f t="shared" si="0"/>
        <v>300800124</v>
      </c>
      <c r="L10" s="3">
        <f t="shared" si="0"/>
        <v>311592168</v>
      </c>
      <c r="M10" s="3">
        <f t="shared" si="0"/>
        <v>309276630</v>
      </c>
      <c r="N10" s="3">
        <f t="shared" si="0"/>
        <v>237012899</v>
      </c>
      <c r="O10" s="3">
        <f t="shared" si="0"/>
        <v>216185563</v>
      </c>
      <c r="P10" s="3">
        <f t="shared" si="0"/>
        <v>212315988</v>
      </c>
      <c r="Q10" s="3">
        <f t="shared" si="0"/>
        <v>240794265</v>
      </c>
      <c r="R10" s="3">
        <f t="shared" si="0"/>
        <v>233816781</v>
      </c>
      <c r="S10" s="3">
        <f t="shared" si="0"/>
        <v>225923397</v>
      </c>
      <c r="T10" s="3">
        <f t="shared" si="0"/>
        <v>286576223</v>
      </c>
      <c r="U10" s="3">
        <f t="shared" si="0"/>
        <v>270570192</v>
      </c>
      <c r="V10" s="3">
        <f t="shared" si="0"/>
        <v>308395858</v>
      </c>
      <c r="W10" s="19">
        <f>SUM(K10:V10)</f>
        <v>3153260088</v>
      </c>
    </row>
    <row r="11" spans="1:24" ht="12" customHeight="1" x14ac:dyDescent="0.25">
      <c r="A11" s="9" t="s">
        <v>22</v>
      </c>
      <c r="B11" s="3">
        <f t="shared" ref="B11:V11" si="1">-B8+B10</f>
        <v>-178631</v>
      </c>
      <c r="C11" s="3">
        <f t="shared" si="1"/>
        <v>-34593</v>
      </c>
      <c r="D11" s="3">
        <f t="shared" si="1"/>
        <v>-241626</v>
      </c>
      <c r="E11" s="3">
        <f t="shared" si="1"/>
        <v>323075</v>
      </c>
      <c r="F11" s="3">
        <f t="shared" si="1"/>
        <v>-575759</v>
      </c>
      <c r="G11" s="3">
        <f t="shared" si="1"/>
        <v>197121</v>
      </c>
      <c r="H11" s="3">
        <f t="shared" si="1"/>
        <v>54927</v>
      </c>
      <c r="I11" s="3">
        <f t="shared" si="1"/>
        <v>51493</v>
      </c>
      <c r="J11" s="3">
        <f t="shared" si="1"/>
        <v>-432992</v>
      </c>
      <c r="K11" s="3">
        <f t="shared" si="1"/>
        <v>-277846</v>
      </c>
      <c r="L11" s="3">
        <f t="shared" si="1"/>
        <v>-6987</v>
      </c>
      <c r="M11" s="3">
        <f t="shared" si="1"/>
        <v>-374267</v>
      </c>
      <c r="N11" s="3">
        <f t="shared" si="1"/>
        <v>-65959</v>
      </c>
      <c r="O11" s="3">
        <f t="shared" si="1"/>
        <v>-256954</v>
      </c>
      <c r="P11" s="3">
        <f t="shared" si="1"/>
        <v>-397316</v>
      </c>
      <c r="Q11" s="3">
        <f t="shared" si="1"/>
        <v>-777842</v>
      </c>
      <c r="R11" s="3">
        <f t="shared" si="1"/>
        <v>-533655</v>
      </c>
      <c r="S11" s="3">
        <f t="shared" si="1"/>
        <v>-399586</v>
      </c>
      <c r="T11" s="3">
        <f t="shared" si="1"/>
        <v>-763409</v>
      </c>
      <c r="U11" s="3">
        <f t="shared" si="1"/>
        <v>-512451</v>
      </c>
      <c r="V11" s="3">
        <f t="shared" si="1"/>
        <v>-893208</v>
      </c>
      <c r="W11" s="19">
        <f>SUM(K11:V11)</f>
        <v>-5259480</v>
      </c>
      <c r="X11" s="3" t="s">
        <v>1</v>
      </c>
    </row>
    <row r="12" spans="1:24" s="12" customFormat="1" ht="12" customHeight="1" x14ac:dyDescent="0.25">
      <c r="A12" s="11" t="s">
        <v>23</v>
      </c>
      <c r="B12" s="12">
        <f>2*B11/(B8+B10)</f>
        <v>-6.8770796271217709E-4</v>
      </c>
      <c r="C12" s="12">
        <f>2*C11/(C8+C10)</f>
        <v>-1.4839729219234005E-4</v>
      </c>
      <c r="D12" s="12">
        <f>2*D11/(D8+D10)</f>
        <v>-1.137181967582619E-3</v>
      </c>
      <c r="E12" s="12">
        <f>2*E11/(E8+E10)</f>
        <v>1.4840855465082035E-3</v>
      </c>
      <c r="F12" s="12">
        <f>2*F11/(F8+F10)</f>
        <v>-2.5666562981911303E-3</v>
      </c>
      <c r="G12" s="12">
        <f t="shared" ref="G12:Q12" si="2">G11/G8</f>
        <v>8.4574213278994562E-4</v>
      </c>
      <c r="H12" s="12">
        <f t="shared" si="2"/>
        <v>2.0730799578753414E-4</v>
      </c>
      <c r="I12" s="12">
        <f t="shared" si="2"/>
        <v>1.6432575150916623E-4</v>
      </c>
      <c r="J12" s="12">
        <f t="shared" si="2"/>
        <v>-1.1633012344651516E-3</v>
      </c>
      <c r="K12" s="12">
        <f t="shared" si="2"/>
        <v>-9.2283736335806968E-4</v>
      </c>
      <c r="L12" s="12">
        <f t="shared" si="2"/>
        <v>-2.2423038984171829E-5</v>
      </c>
      <c r="M12" s="12">
        <f t="shared" si="2"/>
        <v>-1.2086740378472083E-3</v>
      </c>
      <c r="N12" s="12">
        <f t="shared" si="2"/>
        <v>-2.7821544509042643E-4</v>
      </c>
      <c r="O12" s="12">
        <f t="shared" si="2"/>
        <v>-1.1871697093598296E-3</v>
      </c>
      <c r="P12" s="12">
        <f t="shared" si="2"/>
        <v>-1.8678474384470093E-3</v>
      </c>
      <c r="Q12" s="12">
        <f t="shared" si="2"/>
        <v>-3.2199164450720298E-3</v>
      </c>
      <c r="R12" s="12">
        <f t="shared" ref="R12:W12" si="3">R11/R8</f>
        <v>-2.2771666616400064E-3</v>
      </c>
      <c r="S12" s="12">
        <f t="shared" si="3"/>
        <v>-1.7655564393122196E-3</v>
      </c>
      <c r="T12" s="12">
        <f t="shared" si="3"/>
        <v>-2.6568176296682946E-3</v>
      </c>
      <c r="U12" s="12">
        <f t="shared" si="3"/>
        <v>-1.8903866154204494E-3</v>
      </c>
      <c r="V12" s="12">
        <f t="shared" si="3"/>
        <v>-2.8879391423426524E-3</v>
      </c>
      <c r="W12" s="27">
        <f t="shared" si="3"/>
        <v>-1.6651725236359212E-3</v>
      </c>
      <c r="X12" s="12" t="s">
        <v>1</v>
      </c>
    </row>
    <row r="13" spans="1:24" ht="12" customHeight="1" x14ac:dyDescent="0.25">
      <c r="A13" s="9" t="s">
        <v>24</v>
      </c>
      <c r="B13" s="3">
        <f>-B8+B10</f>
        <v>-178631</v>
      </c>
      <c r="C13" s="3">
        <f t="shared" ref="C13:M13" si="4">-C8+C10</f>
        <v>-34593</v>
      </c>
      <c r="D13" s="3">
        <f t="shared" si="4"/>
        <v>-241626</v>
      </c>
      <c r="E13" s="3">
        <f t="shared" si="4"/>
        <v>323075</v>
      </c>
      <c r="F13" s="3">
        <f t="shared" si="4"/>
        <v>-575759</v>
      </c>
      <c r="G13" s="3">
        <f t="shared" si="4"/>
        <v>197121</v>
      </c>
      <c r="H13" s="3">
        <f t="shared" si="4"/>
        <v>54927</v>
      </c>
      <c r="I13" s="3">
        <f t="shared" si="4"/>
        <v>51493</v>
      </c>
      <c r="J13" s="3">
        <f t="shared" si="4"/>
        <v>-432992</v>
      </c>
      <c r="K13" s="3">
        <f t="shared" si="4"/>
        <v>-277846</v>
      </c>
      <c r="L13" s="3">
        <f t="shared" si="4"/>
        <v>-6987</v>
      </c>
      <c r="M13" s="3">
        <f t="shared" si="4"/>
        <v>-374267</v>
      </c>
      <c r="N13" s="3">
        <f t="shared" ref="N13:S13" si="5">-N8+N10</f>
        <v>-65959</v>
      </c>
      <c r="O13" s="3">
        <f t="shared" si="5"/>
        <v>-256954</v>
      </c>
      <c r="P13" s="3">
        <f t="shared" si="5"/>
        <v>-397316</v>
      </c>
      <c r="Q13" s="3">
        <f t="shared" si="5"/>
        <v>-777842</v>
      </c>
      <c r="R13" s="3">
        <f t="shared" si="5"/>
        <v>-533655</v>
      </c>
      <c r="S13" s="3">
        <f t="shared" si="5"/>
        <v>-399586</v>
      </c>
      <c r="T13" s="3">
        <f>-T8+T10</f>
        <v>-763409</v>
      </c>
      <c r="U13" s="3">
        <f>-U8+U10</f>
        <v>-512451</v>
      </c>
      <c r="V13" s="3">
        <f>-V8+V10</f>
        <v>-893208</v>
      </c>
      <c r="W13" s="19">
        <f>SUM(K13:V13)</f>
        <v>-5259480</v>
      </c>
    </row>
    <row r="14" spans="1:24" s="12" customFormat="1" ht="12" customHeight="1" x14ac:dyDescent="0.25">
      <c r="A14" s="11" t="s">
        <v>23</v>
      </c>
      <c r="B14" s="12">
        <f>2*B13/(B8+B10)</f>
        <v>-6.8770796271217709E-4</v>
      </c>
      <c r="C14" s="12">
        <f>2*C13/(C8+C10)</f>
        <v>-1.4839729219234005E-4</v>
      </c>
      <c r="D14" s="12">
        <f>2*D13/(D8+D10)</f>
        <v>-1.137181967582619E-3</v>
      </c>
      <c r="E14" s="12">
        <f>2*E13/(E8+E10)</f>
        <v>1.4840855465082035E-3</v>
      </c>
      <c r="F14" s="12">
        <f>2*F13/(F8+F10)</f>
        <v>-2.5666562981911303E-3</v>
      </c>
      <c r="G14" s="12">
        <f t="shared" ref="G14:V14" si="6">G13/G8</f>
        <v>8.4574213278994562E-4</v>
      </c>
      <c r="H14" s="12">
        <f t="shared" si="6"/>
        <v>2.0730799578753414E-4</v>
      </c>
      <c r="I14" s="12">
        <f t="shared" si="6"/>
        <v>1.6432575150916623E-4</v>
      </c>
      <c r="J14" s="12">
        <f t="shared" si="6"/>
        <v>-1.1633012344651516E-3</v>
      </c>
      <c r="K14" s="12">
        <f t="shared" si="6"/>
        <v>-9.2283736335806968E-4</v>
      </c>
      <c r="L14" s="12">
        <f t="shared" si="6"/>
        <v>-2.2423038984171829E-5</v>
      </c>
      <c r="M14" s="12">
        <f t="shared" si="6"/>
        <v>-1.2086740378472083E-3</v>
      </c>
      <c r="N14" s="12">
        <f t="shared" si="6"/>
        <v>-2.7821544509042643E-4</v>
      </c>
      <c r="O14" s="12">
        <f t="shared" si="6"/>
        <v>-1.1871697093598296E-3</v>
      </c>
      <c r="P14" s="12">
        <f t="shared" si="6"/>
        <v>-1.8678474384470093E-3</v>
      </c>
      <c r="Q14" s="12">
        <f t="shared" si="6"/>
        <v>-3.2199164450720298E-3</v>
      </c>
      <c r="R14" s="12">
        <f t="shared" si="6"/>
        <v>-2.2771666616400064E-3</v>
      </c>
      <c r="S14" s="12">
        <f t="shared" si="6"/>
        <v>-1.7655564393122196E-3</v>
      </c>
      <c r="T14" s="12">
        <f t="shared" si="6"/>
        <v>-2.6568176296682946E-3</v>
      </c>
      <c r="U14" s="12">
        <f t="shared" si="6"/>
        <v>-1.8903866154204494E-3</v>
      </c>
      <c r="V14" s="12">
        <f t="shared" si="6"/>
        <v>-2.8879391423426524E-3</v>
      </c>
      <c r="W14" s="27">
        <f>W13/W8</f>
        <v>-1.6651725236359212E-3</v>
      </c>
    </row>
    <row r="15" spans="1:24" ht="12" customHeight="1" x14ac:dyDescent="0.3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9" t="s">
        <v>1</v>
      </c>
    </row>
    <row r="16" spans="1:24" ht="12" customHeight="1" x14ac:dyDescent="0.25">
      <c r="A16" s="9" t="s">
        <v>25</v>
      </c>
      <c r="B16" s="3">
        <v>106825498</v>
      </c>
      <c r="C16" s="3">
        <v>102366920</v>
      </c>
      <c r="D16" s="3">
        <v>91567485</v>
      </c>
      <c r="E16" s="3">
        <v>98924687</v>
      </c>
      <c r="F16" s="3">
        <v>100482767</v>
      </c>
      <c r="G16" s="3">
        <v>104400357</v>
      </c>
      <c r="H16" s="3">
        <v>111613192</v>
      </c>
      <c r="I16" s="3">
        <v>128467892</v>
      </c>
      <c r="J16" s="3">
        <v>151266999</v>
      </c>
      <c r="K16" s="3">
        <v>130852732</v>
      </c>
      <c r="L16" s="3">
        <v>121693805</v>
      </c>
      <c r="M16" s="3">
        <v>123738465</v>
      </c>
      <c r="N16" s="3">
        <v>97887777</v>
      </c>
      <c r="O16" s="3">
        <v>92157544</v>
      </c>
      <c r="P16" s="3">
        <v>93848102</v>
      </c>
      <c r="Q16" s="3">
        <v>103227400</v>
      </c>
      <c r="R16" s="3">
        <v>103206147</v>
      </c>
      <c r="S16" s="3">
        <v>98788913</v>
      </c>
      <c r="T16" s="3">
        <v>109813680</v>
      </c>
      <c r="U16" s="3">
        <v>106741721</v>
      </c>
      <c r="V16" s="3">
        <v>124172161</v>
      </c>
      <c r="W16" s="19">
        <f>SUM(K16:V16)</f>
        <v>1306128447</v>
      </c>
    </row>
    <row r="17" spans="1:23" ht="12" customHeight="1" x14ac:dyDescent="0.25">
      <c r="A17" s="9"/>
      <c r="W17" s="19" t="s">
        <v>1</v>
      </c>
    </row>
    <row r="18" spans="1:23" ht="12" customHeight="1" x14ac:dyDescent="0.25">
      <c r="A18" s="9" t="s">
        <v>26</v>
      </c>
      <c r="B18" s="3">
        <v>104309808</v>
      </c>
      <c r="C18" s="3">
        <v>100761291</v>
      </c>
      <c r="D18" s="3">
        <v>89552226</v>
      </c>
      <c r="E18" s="3">
        <v>97245518</v>
      </c>
      <c r="F18" s="3">
        <v>98443726</v>
      </c>
      <c r="G18" s="3">
        <v>102630631</v>
      </c>
      <c r="H18" s="3">
        <v>109712998</v>
      </c>
      <c r="I18" s="3">
        <v>126214700</v>
      </c>
      <c r="J18" s="3">
        <v>148354735</v>
      </c>
      <c r="K18" s="3">
        <v>128638203</v>
      </c>
      <c r="L18" s="3">
        <v>119779519</v>
      </c>
      <c r="M18" s="3">
        <v>121200013</v>
      </c>
      <c r="N18" s="3">
        <v>97821818</v>
      </c>
      <c r="O18" s="3">
        <v>91900590</v>
      </c>
      <c r="P18" s="3">
        <v>93450786</v>
      </c>
      <c r="Q18" s="3">
        <v>102449558</v>
      </c>
      <c r="R18" s="3">
        <v>102672492</v>
      </c>
      <c r="S18" s="3">
        <v>98389327</v>
      </c>
      <c r="T18" s="3">
        <v>109050271</v>
      </c>
      <c r="U18" s="3">
        <v>106229270</v>
      </c>
      <c r="V18" s="3">
        <v>123278953</v>
      </c>
      <c r="W18" s="19">
        <f t="shared" ref="W18:W23" si="7">SUM(K18:V18)</f>
        <v>1294860800</v>
      </c>
    </row>
    <row r="19" spans="1:23" ht="12" customHeight="1" x14ac:dyDescent="0.25">
      <c r="A19" s="9" t="s">
        <v>27</v>
      </c>
      <c r="B19" s="3">
        <v>1963902</v>
      </c>
      <c r="C19" s="3">
        <v>1713206</v>
      </c>
      <c r="D19" s="3">
        <v>1543042</v>
      </c>
      <c r="E19" s="3">
        <v>1534964</v>
      </c>
      <c r="F19" s="3">
        <v>1589917</v>
      </c>
      <c r="G19" s="3">
        <v>1762126</v>
      </c>
      <c r="H19" s="3">
        <v>1864924</v>
      </c>
      <c r="I19" s="3">
        <v>2217394</v>
      </c>
      <c r="J19" s="3">
        <v>2520014</v>
      </c>
      <c r="K19" s="3">
        <v>1962158</v>
      </c>
      <c r="L19" s="3">
        <v>2044208</v>
      </c>
      <c r="M19" s="3">
        <v>2058977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9">
        <f t="shared" si="7"/>
        <v>6065343</v>
      </c>
    </row>
    <row r="20" spans="1:23" ht="12" customHeight="1" x14ac:dyDescent="0.25">
      <c r="A20" s="9" t="s">
        <v>28</v>
      </c>
      <c r="B20" s="3">
        <v>329178</v>
      </c>
      <c r="C20" s="3">
        <v>-182730</v>
      </c>
      <c r="D20" s="3">
        <v>198720</v>
      </c>
      <c r="E20" s="3">
        <v>446385</v>
      </c>
      <c r="F20" s="3">
        <v>-144738</v>
      </c>
      <c r="G20" s="3">
        <v>176208</v>
      </c>
      <c r="H20" s="3">
        <v>73204</v>
      </c>
      <c r="I20" s="3">
        <v>62360</v>
      </c>
      <c r="J20" s="3">
        <v>-71705</v>
      </c>
      <c r="K20" s="3">
        <v>-55736</v>
      </c>
      <c r="L20" s="3">
        <v>-161574</v>
      </c>
      <c r="M20" s="3">
        <v>82322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9">
        <f t="shared" si="7"/>
        <v>-134988</v>
      </c>
    </row>
    <row r="21" spans="1:23" ht="12" customHeight="1" x14ac:dyDescent="0.25">
      <c r="A21" s="9" t="s">
        <v>29</v>
      </c>
      <c r="B21" s="3">
        <v>43979</v>
      </c>
      <c r="C21" s="3">
        <v>40560</v>
      </c>
      <c r="D21" s="3">
        <v>31871</v>
      </c>
      <c r="E21" s="3">
        <v>20895</v>
      </c>
      <c r="F21" s="3">
        <v>18103</v>
      </c>
      <c r="G21" s="3">
        <v>28513</v>
      </c>
      <c r="H21" s="3">
        <v>16993</v>
      </c>
      <c r="I21" s="3">
        <v>24931</v>
      </c>
      <c r="J21" s="3">
        <v>30963</v>
      </c>
      <c r="K21" s="3">
        <v>30261</v>
      </c>
      <c r="L21" s="3">
        <v>24665</v>
      </c>
      <c r="M21" s="3">
        <v>22886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19">
        <f t="shared" si="7"/>
        <v>77812</v>
      </c>
    </row>
    <row r="22" spans="1:23" ht="12" customHeight="1" x14ac:dyDescent="0.25">
      <c r="A22" s="9" t="s">
        <v>21</v>
      </c>
      <c r="B22" s="3">
        <f t="shared" ref="B22:V22" si="8">SUM(B18:B21)</f>
        <v>106646867</v>
      </c>
      <c r="C22" s="3">
        <f t="shared" si="8"/>
        <v>102332327</v>
      </c>
      <c r="D22" s="3">
        <f t="shared" si="8"/>
        <v>91325859</v>
      </c>
      <c r="E22" s="3">
        <f t="shared" si="8"/>
        <v>99247762</v>
      </c>
      <c r="F22" s="3">
        <f t="shared" si="8"/>
        <v>99907008</v>
      </c>
      <c r="G22" s="3">
        <f t="shared" si="8"/>
        <v>104597478</v>
      </c>
      <c r="H22" s="3">
        <f t="shared" si="8"/>
        <v>111668119</v>
      </c>
      <c r="I22" s="3">
        <f t="shared" si="8"/>
        <v>128519385</v>
      </c>
      <c r="J22" s="3">
        <f t="shared" si="8"/>
        <v>150834007</v>
      </c>
      <c r="K22" s="3">
        <f t="shared" si="8"/>
        <v>130574886</v>
      </c>
      <c r="L22" s="3">
        <f t="shared" si="8"/>
        <v>121686818</v>
      </c>
      <c r="M22" s="3">
        <f t="shared" si="8"/>
        <v>123364198</v>
      </c>
      <c r="N22" s="3">
        <f t="shared" si="8"/>
        <v>97821818</v>
      </c>
      <c r="O22" s="3">
        <f t="shared" si="8"/>
        <v>91900590</v>
      </c>
      <c r="P22" s="3">
        <f t="shared" si="8"/>
        <v>93450786</v>
      </c>
      <c r="Q22" s="3">
        <f t="shared" si="8"/>
        <v>102449558</v>
      </c>
      <c r="R22" s="3">
        <f t="shared" si="8"/>
        <v>102672492</v>
      </c>
      <c r="S22" s="3">
        <f t="shared" si="8"/>
        <v>98389327</v>
      </c>
      <c r="T22" s="3">
        <f t="shared" si="8"/>
        <v>109050271</v>
      </c>
      <c r="U22" s="3">
        <f t="shared" si="8"/>
        <v>106229270</v>
      </c>
      <c r="V22" s="3">
        <f t="shared" si="8"/>
        <v>123278953</v>
      </c>
      <c r="W22" s="19">
        <f t="shared" si="7"/>
        <v>1300868967</v>
      </c>
    </row>
    <row r="23" spans="1:23" ht="12" customHeight="1" x14ac:dyDescent="0.25">
      <c r="A23" s="9" t="s">
        <v>30</v>
      </c>
      <c r="B23" s="3">
        <f t="shared" ref="B23:V23" si="9">-B16+B22</f>
        <v>-178631</v>
      </c>
      <c r="C23" s="3">
        <f t="shared" si="9"/>
        <v>-34593</v>
      </c>
      <c r="D23" s="3">
        <f t="shared" si="9"/>
        <v>-241626</v>
      </c>
      <c r="E23" s="3">
        <f t="shared" si="9"/>
        <v>323075</v>
      </c>
      <c r="F23" s="3">
        <f t="shared" si="9"/>
        <v>-575759</v>
      </c>
      <c r="G23" s="3">
        <f t="shared" si="9"/>
        <v>197121</v>
      </c>
      <c r="H23" s="3">
        <f t="shared" si="9"/>
        <v>54927</v>
      </c>
      <c r="I23" s="3">
        <f t="shared" si="9"/>
        <v>51493</v>
      </c>
      <c r="J23" s="3">
        <f t="shared" si="9"/>
        <v>-432992</v>
      </c>
      <c r="K23" s="3">
        <f t="shared" si="9"/>
        <v>-277846</v>
      </c>
      <c r="L23" s="3">
        <f t="shared" si="9"/>
        <v>-6987</v>
      </c>
      <c r="M23" s="3">
        <f t="shared" si="9"/>
        <v>-374267</v>
      </c>
      <c r="N23" s="3">
        <f t="shared" si="9"/>
        <v>-65959</v>
      </c>
      <c r="O23" s="3">
        <f t="shared" si="9"/>
        <v>-256954</v>
      </c>
      <c r="P23" s="3">
        <f t="shared" si="9"/>
        <v>-397316</v>
      </c>
      <c r="Q23" s="3">
        <f t="shared" si="9"/>
        <v>-777842</v>
      </c>
      <c r="R23" s="3">
        <f t="shared" si="9"/>
        <v>-533655</v>
      </c>
      <c r="S23" s="3">
        <f t="shared" si="9"/>
        <v>-399586</v>
      </c>
      <c r="T23" s="3">
        <f t="shared" si="9"/>
        <v>-763409</v>
      </c>
      <c r="U23" s="3">
        <f t="shared" si="9"/>
        <v>-512451</v>
      </c>
      <c r="V23" s="3">
        <f t="shared" si="9"/>
        <v>-893208</v>
      </c>
      <c r="W23" s="19">
        <f t="shared" si="7"/>
        <v>-5259480</v>
      </c>
    </row>
    <row r="24" spans="1:23" s="12" customFormat="1" ht="12" customHeight="1" x14ac:dyDescent="0.25">
      <c r="A24" s="11" t="s">
        <v>23</v>
      </c>
      <c r="B24" s="12">
        <f>2*B23/(B16+B22)</f>
        <v>-1.6735749379082393E-3</v>
      </c>
      <c r="C24" s="12">
        <f>2*C23/(C16+C22)</f>
        <v>-3.3798854179468475E-4</v>
      </c>
      <c r="D24" s="12">
        <f>2*D23/(D16+D22)</f>
        <v>-2.6422612733244138E-3</v>
      </c>
      <c r="E24" s="12">
        <f>2*E23/(E16+E22)</f>
        <v>3.2605440527204666E-3</v>
      </c>
      <c r="F24" s="12">
        <f>2*F23/(F16+F22)</f>
        <v>-5.7463910022355182E-3</v>
      </c>
      <c r="G24" s="12">
        <f t="shared" ref="G24:V24" si="10">G23/G16</f>
        <v>1.8881257273861622E-3</v>
      </c>
      <c r="H24" s="12">
        <f t="shared" si="10"/>
        <v>4.9211924697933559E-4</v>
      </c>
      <c r="I24" s="12">
        <f t="shared" si="10"/>
        <v>4.0082388835336382E-4</v>
      </c>
      <c r="J24" s="12">
        <f t="shared" si="10"/>
        <v>-2.8624353154517198E-3</v>
      </c>
      <c r="K24" s="12">
        <f t="shared" si="10"/>
        <v>-2.1233488651960283E-3</v>
      </c>
      <c r="L24" s="12">
        <f t="shared" si="10"/>
        <v>-5.7414590660551702E-5</v>
      </c>
      <c r="M24" s="12">
        <f t="shared" si="10"/>
        <v>-3.024661733115891E-3</v>
      </c>
      <c r="N24" s="12">
        <f t="shared" si="10"/>
        <v>-6.7382263671183378E-4</v>
      </c>
      <c r="O24" s="12">
        <f t="shared" si="10"/>
        <v>-2.788203643968637E-3</v>
      </c>
      <c r="P24" s="12">
        <f t="shared" si="10"/>
        <v>-4.2336071964460186E-3</v>
      </c>
      <c r="Q24" s="12">
        <f t="shared" si="10"/>
        <v>-7.5352280499169791E-3</v>
      </c>
      <c r="R24" s="12">
        <f t="shared" si="10"/>
        <v>-5.1707675900351168E-3</v>
      </c>
      <c r="S24" s="12">
        <f t="shared" si="10"/>
        <v>-4.044846611481594E-3</v>
      </c>
      <c r="T24" s="12">
        <f t="shared" si="10"/>
        <v>-6.9518569999657606E-3</v>
      </c>
      <c r="U24" s="12">
        <f t="shared" si="10"/>
        <v>-4.8008500818531863E-3</v>
      </c>
      <c r="V24" s="12">
        <f t="shared" si="10"/>
        <v>-7.1933031752584222E-3</v>
      </c>
      <c r="W24" s="27">
        <f>W23/W16</f>
        <v>-4.0267708831243304E-3</v>
      </c>
    </row>
    <row r="25" spans="1:23" ht="12" customHeight="1" x14ac:dyDescent="0.25"/>
    <row r="26" spans="1:23" ht="12" customHeight="1" x14ac:dyDescent="0.25"/>
    <row r="27" spans="1:23" ht="12" customHeight="1" x14ac:dyDescent="0.25"/>
    <row r="32" spans="1:23" ht="13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4" ht="13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4" ht="13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4" ht="13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4" ht="13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4" ht="13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4" ht="13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4" ht="13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4" ht="13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4" ht="13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ht="13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s="12" customFormat="1" ht="13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ht="13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s="12" customFormat="1" ht="13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ht="13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3" t="s">
        <v>1</v>
      </c>
    </row>
    <row r="47" spans="1:24" ht="13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4" ht="13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s="12" customFormat="1" ht="13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s="12" customFormat="1" ht="13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</sheetData>
  <phoneticPr fontId="7" type="noConversion"/>
  <printOptions horizontalCentered="1" gridLines="1" gridLinesSet="0"/>
  <pageMargins left="0.25" right="0.24" top="1" bottom="1" header="0.5" footer="0.5"/>
  <pageSetup scale="88" orientation="landscape" horizontalDpi="300" verticalDpi="300" r:id="rId1"/>
  <headerFooter alignWithMargins="0">
    <oddHeader>&amp;C&amp;"Arial,Bold Italic"&amp;12NNG MCF PRA (00)12 Month Historical</oddHeader>
    <oddFooter>&amp;L&amp;F&amp;CPage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zoomScale="90" workbookViewId="0"/>
  </sheetViews>
  <sheetFormatPr defaultColWidth="9.109375" defaultRowHeight="13.8" x14ac:dyDescent="0.3"/>
  <cols>
    <col min="1" max="1" width="18.44140625" style="8" customWidth="1"/>
    <col min="2" max="2" width="11.88671875" style="8" hidden="1" customWidth="1"/>
    <col min="3" max="3" width="11.44140625" style="8" hidden="1" customWidth="1"/>
    <col min="4" max="4" width="11.109375" style="8" hidden="1" customWidth="1"/>
    <col min="5" max="5" width="12.109375" style="8" hidden="1" customWidth="1"/>
    <col min="6" max="6" width="11.44140625" style="8" hidden="1" customWidth="1"/>
    <col min="7" max="7" width="11.88671875" style="8" hidden="1" customWidth="1"/>
    <col min="8" max="8" width="11.44140625" style="8" hidden="1" customWidth="1"/>
    <col min="9" max="9" width="11" style="8" hidden="1" customWidth="1"/>
    <col min="10" max="10" width="12.5546875" style="8" hidden="1" customWidth="1"/>
    <col min="11" max="11" width="11.6640625" style="8" customWidth="1"/>
    <col min="12" max="12" width="12" style="8" customWidth="1"/>
    <col min="13" max="22" width="12.44140625" style="8" customWidth="1"/>
    <col min="23" max="23" width="13.33203125" style="8" customWidth="1"/>
    <col min="24" max="16384" width="9.109375" style="8"/>
  </cols>
  <sheetData>
    <row r="1" spans="1:23" ht="12" customHeight="1" x14ac:dyDescent="0.3">
      <c r="A1" s="2" t="s">
        <v>0</v>
      </c>
      <c r="B1" s="3"/>
      <c r="C1" s="3"/>
      <c r="D1" s="3"/>
      <c r="E1" s="3"/>
      <c r="F1" s="3"/>
      <c r="G1" s="3"/>
      <c r="H1" s="13" t="s">
        <v>2</v>
      </c>
      <c r="I1" s="4">
        <f ca="1">NOW()</f>
        <v>37285.808733796293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" customHeight="1" x14ac:dyDescent="0.3">
      <c r="A2" s="2" t="s">
        <v>31</v>
      </c>
      <c r="B2" s="3"/>
      <c r="C2" s="3"/>
      <c r="D2" s="3"/>
      <c r="E2" s="3"/>
      <c r="F2" s="3"/>
      <c r="G2" s="3"/>
      <c r="H2" s="3" t="s">
        <v>55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2" customHeight="1" x14ac:dyDescent="0.3">
      <c r="A3" s="2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" customHeight="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" customHeight="1" x14ac:dyDescent="0.3">
      <c r="A5" s="2"/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6" t="s">
        <v>12</v>
      </c>
      <c r="V5" s="6" t="s">
        <v>13</v>
      </c>
      <c r="W5" s="7" t="s">
        <v>17</v>
      </c>
    </row>
    <row r="6" spans="1:23" ht="12" customHeight="1" x14ac:dyDescent="0.3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2001</v>
      </c>
      <c r="L6" s="6">
        <v>2001</v>
      </c>
      <c r="M6" s="6">
        <v>2001</v>
      </c>
      <c r="N6" s="6">
        <v>2001</v>
      </c>
      <c r="O6" s="6">
        <v>2001</v>
      </c>
      <c r="P6" s="6">
        <v>2001</v>
      </c>
      <c r="Q6" s="6">
        <v>2001</v>
      </c>
      <c r="R6" s="6">
        <v>2001</v>
      </c>
      <c r="S6" s="6">
        <v>2001</v>
      </c>
      <c r="T6" s="6">
        <v>2001</v>
      </c>
      <c r="U6" s="6">
        <v>2001</v>
      </c>
      <c r="V6" s="6">
        <v>2001</v>
      </c>
      <c r="W6" s="7" t="s">
        <v>18</v>
      </c>
    </row>
    <row r="7" spans="1:23" ht="12" customHeigh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2" customHeight="1" x14ac:dyDescent="0.3">
      <c r="A8" s="9" t="s">
        <v>19</v>
      </c>
      <c r="B8" s="3">
        <v>264736025</v>
      </c>
      <c r="C8" s="3">
        <v>238071405</v>
      </c>
      <c r="D8" s="3">
        <v>218658444</v>
      </c>
      <c r="E8" s="3">
        <v>223482056</v>
      </c>
      <c r="F8" s="3">
        <v>230223503</v>
      </c>
      <c r="G8" s="3">
        <v>238858380</v>
      </c>
      <c r="H8" s="3">
        <v>269939084</v>
      </c>
      <c r="I8" s="3">
        <v>317732541</v>
      </c>
      <c r="J8" s="3">
        <v>378284649</v>
      </c>
      <c r="K8" s="3">
        <v>309193408</v>
      </c>
      <c r="L8" s="3">
        <v>317537668</v>
      </c>
      <c r="M8" s="3">
        <v>315178975</v>
      </c>
      <c r="N8" s="3">
        <f>99717974+142409684</f>
        <v>242127658</v>
      </c>
      <c r="O8" s="3">
        <f>94010445+127465912</f>
        <v>221476357</v>
      </c>
      <c r="P8" s="3">
        <f>95714869+121832472</f>
        <v>217547341</v>
      </c>
      <c r="Q8" s="3">
        <f>105210566+141925661</f>
        <v>247136227</v>
      </c>
      <c r="R8" s="3">
        <f>105057188+133818236</f>
        <v>238875424</v>
      </c>
      <c r="S8" s="3">
        <f>100624675+129935740</f>
        <v>230560415</v>
      </c>
      <c r="T8" s="3">
        <f>111774912+180360920</f>
        <v>292135832</v>
      </c>
      <c r="U8" s="3">
        <f>108387235+166754508</f>
        <v>275141743</v>
      </c>
      <c r="V8" s="3">
        <f>126175646+187281009</f>
        <v>313456655</v>
      </c>
      <c r="W8" s="19">
        <f>SUM(K8:V8)</f>
        <v>3220367703</v>
      </c>
    </row>
    <row r="9" spans="1:23" ht="12" customHeight="1" x14ac:dyDescent="0.3">
      <c r="A9" s="9" t="s">
        <v>20</v>
      </c>
      <c r="B9" s="3">
        <v>261869280</v>
      </c>
      <c r="C9" s="3">
        <v>236208060</v>
      </c>
      <c r="D9" s="3">
        <v>216410637</v>
      </c>
      <c r="E9" s="3">
        <v>221725930</v>
      </c>
      <c r="F9" s="3">
        <v>228125235</v>
      </c>
      <c r="G9" s="3">
        <v>237123161</v>
      </c>
      <c r="H9" s="3">
        <v>268039685</v>
      </c>
      <c r="I9" s="3">
        <v>315403855</v>
      </c>
      <c r="J9" s="3">
        <v>375190523</v>
      </c>
      <c r="K9" s="3">
        <v>306688625</v>
      </c>
      <c r="L9" s="3">
        <v>315452446</v>
      </c>
      <c r="M9" s="3">
        <v>312469605</v>
      </c>
      <c r="N9" s="3">
        <f>99650536+142409684</f>
        <v>242060220</v>
      </c>
      <c r="O9" s="3">
        <f>93791278+127465912</f>
        <v>221257190</v>
      </c>
      <c r="P9" s="3">
        <f>95410648+121832472</f>
        <v>217243120</v>
      </c>
      <c r="Q9" s="3">
        <f>104579979+141925661</f>
        <v>246505640</v>
      </c>
      <c r="R9" s="3">
        <f>104641658+133818236</f>
        <v>238459894</v>
      </c>
      <c r="S9" s="3">
        <f>100214541+129935740</f>
        <v>230150281</v>
      </c>
      <c r="T9" s="3">
        <f>111019414+180360920</f>
        <v>291380334</v>
      </c>
      <c r="U9" s="3">
        <f>107970587+166754508</f>
        <v>274725095</v>
      </c>
      <c r="V9" s="3">
        <f>125152569+187281009</f>
        <v>312433578</v>
      </c>
      <c r="W9" s="19">
        <f>SUM(K9:V9)</f>
        <v>3208826028</v>
      </c>
    </row>
    <row r="10" spans="1:23" ht="12" customHeight="1" x14ac:dyDescent="0.3">
      <c r="A10" s="9" t="s">
        <v>21</v>
      </c>
      <c r="B10" s="3">
        <f t="shared" ref="B10:V10" si="0">+B9+B19+B20+B21</f>
        <v>264394918</v>
      </c>
      <c r="C10" s="3">
        <f t="shared" si="0"/>
        <v>237976464</v>
      </c>
      <c r="D10" s="3">
        <f t="shared" si="0"/>
        <v>218346083</v>
      </c>
      <c r="E10" s="3">
        <f t="shared" si="0"/>
        <v>223859803</v>
      </c>
      <c r="F10" s="3">
        <f t="shared" si="0"/>
        <v>229693649</v>
      </c>
      <c r="G10" s="3">
        <f t="shared" si="0"/>
        <v>239236200</v>
      </c>
      <c r="H10" s="3">
        <f t="shared" si="0"/>
        <v>270095595</v>
      </c>
      <c r="I10" s="3">
        <f t="shared" si="0"/>
        <v>317836229</v>
      </c>
      <c r="J10" s="3">
        <f t="shared" si="0"/>
        <v>377825541</v>
      </c>
      <c r="K10" s="3">
        <f t="shared" si="0"/>
        <v>308780916</v>
      </c>
      <c r="L10" s="3">
        <f t="shared" si="0"/>
        <v>317473086</v>
      </c>
      <c r="M10" s="3">
        <f t="shared" si="0"/>
        <v>314742495</v>
      </c>
      <c r="N10" s="3">
        <f t="shared" si="0"/>
        <v>242060220</v>
      </c>
      <c r="O10" s="3">
        <f t="shared" si="0"/>
        <v>221257190</v>
      </c>
      <c r="P10" s="3">
        <f t="shared" si="0"/>
        <v>217243120</v>
      </c>
      <c r="Q10" s="3">
        <f t="shared" si="0"/>
        <v>246505640</v>
      </c>
      <c r="R10" s="3">
        <f t="shared" si="0"/>
        <v>238459894</v>
      </c>
      <c r="S10" s="3">
        <f t="shared" si="0"/>
        <v>230150281</v>
      </c>
      <c r="T10" s="3">
        <f t="shared" si="0"/>
        <v>291380334</v>
      </c>
      <c r="U10" s="3">
        <f t="shared" si="0"/>
        <v>274725095</v>
      </c>
      <c r="V10" s="3">
        <f t="shared" si="0"/>
        <v>312433578</v>
      </c>
      <c r="W10" s="19">
        <f>SUM(K10:V10)</f>
        <v>3215211849</v>
      </c>
    </row>
    <row r="11" spans="1:23" ht="12" customHeight="1" x14ac:dyDescent="0.3">
      <c r="A11" s="9" t="s">
        <v>22</v>
      </c>
      <c r="B11" s="3">
        <f t="shared" ref="B11:V11" si="1">-B8+B10</f>
        <v>-341107</v>
      </c>
      <c r="C11" s="3">
        <f t="shared" si="1"/>
        <v>-94941</v>
      </c>
      <c r="D11" s="3">
        <f t="shared" si="1"/>
        <v>-312361</v>
      </c>
      <c r="E11" s="3">
        <f t="shared" si="1"/>
        <v>377747</v>
      </c>
      <c r="F11" s="3">
        <f t="shared" si="1"/>
        <v>-529854</v>
      </c>
      <c r="G11" s="3">
        <f t="shared" si="1"/>
        <v>377820</v>
      </c>
      <c r="H11" s="3">
        <f t="shared" si="1"/>
        <v>156511</v>
      </c>
      <c r="I11" s="3">
        <f t="shared" si="1"/>
        <v>103688</v>
      </c>
      <c r="J11" s="3">
        <f t="shared" si="1"/>
        <v>-459108</v>
      </c>
      <c r="K11" s="3">
        <f t="shared" si="1"/>
        <v>-412492</v>
      </c>
      <c r="L11" s="3">
        <f t="shared" si="1"/>
        <v>-64582</v>
      </c>
      <c r="M11" s="3">
        <f t="shared" si="1"/>
        <v>-436480</v>
      </c>
      <c r="N11" s="3">
        <f t="shared" si="1"/>
        <v>-67438</v>
      </c>
      <c r="O11" s="3">
        <f t="shared" si="1"/>
        <v>-219167</v>
      </c>
      <c r="P11" s="3">
        <f t="shared" si="1"/>
        <v>-304221</v>
      </c>
      <c r="Q11" s="3">
        <f t="shared" si="1"/>
        <v>-630587</v>
      </c>
      <c r="R11" s="3">
        <f t="shared" si="1"/>
        <v>-415530</v>
      </c>
      <c r="S11" s="3">
        <f t="shared" si="1"/>
        <v>-410134</v>
      </c>
      <c r="T11" s="3">
        <f t="shared" si="1"/>
        <v>-755498</v>
      </c>
      <c r="U11" s="3">
        <f t="shared" si="1"/>
        <v>-416648</v>
      </c>
      <c r="V11" s="3">
        <f t="shared" si="1"/>
        <v>-1023077</v>
      </c>
      <c r="W11" s="19">
        <f>SUM(K11:V11)</f>
        <v>-5155854</v>
      </c>
    </row>
    <row r="12" spans="1:23" ht="12" customHeight="1" x14ac:dyDescent="0.3">
      <c r="A12" s="11" t="s">
        <v>23</v>
      </c>
      <c r="B12" s="12">
        <f>2*B11/(B8+B10)</f>
        <v>-1.2893103475144904E-3</v>
      </c>
      <c r="C12" s="12">
        <f>2*C11/(C8+C10)</f>
        <v>-3.9887165212790818E-4</v>
      </c>
      <c r="D12" s="12">
        <f>2*D11/(D8+D10)</f>
        <v>-1.4295549849075134E-3</v>
      </c>
      <c r="E12" s="12">
        <f>2*E11/(E8+E10)</f>
        <v>1.6888515679906449E-3</v>
      </c>
      <c r="F12" s="12">
        <f>2*F11/(F8+F10)</f>
        <v>-2.3041280269538631E-3</v>
      </c>
      <c r="G12" s="12">
        <f t="shared" ref="G12:Q12" si="2">G11/G8</f>
        <v>1.5817741039690547E-3</v>
      </c>
      <c r="H12" s="12">
        <f t="shared" si="2"/>
        <v>5.7980118210670083E-4</v>
      </c>
      <c r="I12" s="12">
        <f t="shared" si="2"/>
        <v>3.2633736435576485E-4</v>
      </c>
      <c r="J12" s="12">
        <f t="shared" si="2"/>
        <v>-1.2136574963156912E-3</v>
      </c>
      <c r="K12" s="12">
        <f t="shared" si="2"/>
        <v>-1.3340905379198771E-3</v>
      </c>
      <c r="L12" s="12">
        <f t="shared" si="2"/>
        <v>-2.03383744696393E-4</v>
      </c>
      <c r="M12" s="12">
        <f t="shared" si="2"/>
        <v>-1.3848639491260482E-3</v>
      </c>
      <c r="N12" s="12">
        <f t="shared" si="2"/>
        <v>-2.7852249741745739E-4</v>
      </c>
      <c r="O12" s="12">
        <f t="shared" si="2"/>
        <v>-9.8957289603603159E-4</v>
      </c>
      <c r="P12" s="12">
        <f t="shared" si="2"/>
        <v>-1.3984128631569898E-3</v>
      </c>
      <c r="Q12" s="12">
        <f t="shared" si="2"/>
        <v>-2.5515765440572175E-3</v>
      </c>
      <c r="R12" s="12">
        <f t="shared" ref="R12:W12" si="3">R11/R8</f>
        <v>-1.7395259547503723E-3</v>
      </c>
      <c r="S12" s="12">
        <f t="shared" si="3"/>
        <v>-1.7788569646701928E-3</v>
      </c>
      <c r="T12" s="12">
        <f t="shared" si="3"/>
        <v>-2.5861189119724278E-3</v>
      </c>
      <c r="U12" s="12">
        <f t="shared" si="3"/>
        <v>-1.514303120482885E-3</v>
      </c>
      <c r="V12" s="12">
        <f t="shared" si="3"/>
        <v>-3.2638547744344429E-3</v>
      </c>
      <c r="W12" s="27">
        <f t="shared" si="3"/>
        <v>-1.6010140690446491E-3</v>
      </c>
    </row>
    <row r="13" spans="1:23" ht="12" customHeight="1" x14ac:dyDescent="0.3">
      <c r="A13" s="9" t="s">
        <v>24</v>
      </c>
      <c r="B13" s="3">
        <f>-B8+B10</f>
        <v>-341107</v>
      </c>
      <c r="C13" s="3">
        <f t="shared" ref="C13:M13" si="4">-C8+C10</f>
        <v>-94941</v>
      </c>
      <c r="D13" s="3">
        <f t="shared" si="4"/>
        <v>-312361</v>
      </c>
      <c r="E13" s="3">
        <f t="shared" si="4"/>
        <v>377747</v>
      </c>
      <c r="F13" s="3">
        <f t="shared" si="4"/>
        <v>-529854</v>
      </c>
      <c r="G13" s="3">
        <f t="shared" si="4"/>
        <v>377820</v>
      </c>
      <c r="H13" s="3">
        <f t="shared" si="4"/>
        <v>156511</v>
      </c>
      <c r="I13" s="3">
        <f t="shared" si="4"/>
        <v>103688</v>
      </c>
      <c r="J13" s="3">
        <f t="shared" si="4"/>
        <v>-459108</v>
      </c>
      <c r="K13" s="3">
        <f>-K8+K10</f>
        <v>-412492</v>
      </c>
      <c r="L13" s="3">
        <f t="shared" si="4"/>
        <v>-64582</v>
      </c>
      <c r="M13" s="3">
        <f t="shared" si="4"/>
        <v>-436480</v>
      </c>
      <c r="N13" s="3">
        <f t="shared" ref="N13:S13" si="5">-N8+N10</f>
        <v>-67438</v>
      </c>
      <c r="O13" s="3">
        <f t="shared" si="5"/>
        <v>-219167</v>
      </c>
      <c r="P13" s="3">
        <f t="shared" si="5"/>
        <v>-304221</v>
      </c>
      <c r="Q13" s="3">
        <f t="shared" si="5"/>
        <v>-630587</v>
      </c>
      <c r="R13" s="3">
        <f t="shared" si="5"/>
        <v>-415530</v>
      </c>
      <c r="S13" s="3">
        <f t="shared" si="5"/>
        <v>-410134</v>
      </c>
      <c r="T13" s="3">
        <f>-T8+T10</f>
        <v>-755498</v>
      </c>
      <c r="U13" s="3">
        <f>-U8+U10</f>
        <v>-416648</v>
      </c>
      <c r="V13" s="3">
        <f>-V8+V10</f>
        <v>-1023077</v>
      </c>
      <c r="W13" s="19">
        <f>SUM(K13:V13)</f>
        <v>-5155854</v>
      </c>
    </row>
    <row r="14" spans="1:23" ht="12" customHeight="1" x14ac:dyDescent="0.3">
      <c r="A14" s="11" t="s">
        <v>23</v>
      </c>
      <c r="B14" s="12">
        <f>2*B13/(B8+B10)</f>
        <v>-1.2893103475144904E-3</v>
      </c>
      <c r="C14" s="12">
        <f>2*C13/(C8+C10)</f>
        <v>-3.9887165212790818E-4</v>
      </c>
      <c r="D14" s="12">
        <f>2*D13/(D8+D10)</f>
        <v>-1.4295549849075134E-3</v>
      </c>
      <c r="E14" s="12">
        <f>2*E13/(E8+E10)</f>
        <v>1.6888515679906449E-3</v>
      </c>
      <c r="F14" s="12">
        <f>2*F13/(F8+F10)</f>
        <v>-2.3041280269538631E-3</v>
      </c>
      <c r="G14" s="12">
        <f t="shared" ref="G14:V14" si="6">G13/G10</f>
        <v>1.5792760460164473E-3</v>
      </c>
      <c r="H14" s="12">
        <f t="shared" si="6"/>
        <v>5.7946520749440581E-4</v>
      </c>
      <c r="I14" s="12">
        <f t="shared" si="6"/>
        <v>3.2623090302270105E-4</v>
      </c>
      <c r="J14" s="12">
        <f t="shared" si="6"/>
        <v>-1.2151322506807447E-3</v>
      </c>
      <c r="K14" s="12">
        <f t="shared" si="6"/>
        <v>-1.335872713066244E-3</v>
      </c>
      <c r="L14" s="12">
        <f t="shared" si="6"/>
        <v>-2.0342511805866907E-4</v>
      </c>
      <c r="M14" s="12">
        <f t="shared" si="6"/>
        <v>-1.3867844569256528E-3</v>
      </c>
      <c r="N14" s="12">
        <f t="shared" si="6"/>
        <v>-2.7860009381136644E-4</v>
      </c>
      <c r="O14" s="12">
        <f t="shared" si="6"/>
        <v>-9.9055312055621792E-4</v>
      </c>
      <c r="P14" s="12">
        <f t="shared" si="6"/>
        <v>-1.4003711602006085E-3</v>
      </c>
      <c r="Q14" s="12">
        <f t="shared" si="6"/>
        <v>-2.5581037415614506E-3</v>
      </c>
      <c r="R14" s="12">
        <f t="shared" si="6"/>
        <v>-1.7425571781894695E-3</v>
      </c>
      <c r="S14" s="12">
        <f t="shared" si="6"/>
        <v>-1.7820269356959855E-3</v>
      </c>
      <c r="T14" s="12">
        <f t="shared" si="6"/>
        <v>-2.5928242638365569E-3</v>
      </c>
      <c r="U14" s="12">
        <f t="shared" si="6"/>
        <v>-1.5165997121595316E-3</v>
      </c>
      <c r="V14" s="12">
        <f t="shared" si="6"/>
        <v>-3.274542405298063E-3</v>
      </c>
      <c r="W14" s="27">
        <f>W13/W8</f>
        <v>-1.6010140690446491E-3</v>
      </c>
    </row>
    <row r="15" spans="1:23" ht="12" customHeight="1" x14ac:dyDescent="0.3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W15" s="19" t="s">
        <v>1</v>
      </c>
    </row>
    <row r="16" spans="1:23" ht="12" customHeight="1" x14ac:dyDescent="0.3">
      <c r="A16" s="9" t="s">
        <v>25</v>
      </c>
      <c r="B16" s="3">
        <v>109021045</v>
      </c>
      <c r="C16" s="3">
        <v>104397477</v>
      </c>
      <c r="D16" s="3">
        <v>93951694</v>
      </c>
      <c r="E16" s="3">
        <v>101266797</v>
      </c>
      <c r="F16" s="3">
        <v>102814096</v>
      </c>
      <c r="G16" s="3">
        <v>106572865</v>
      </c>
      <c r="H16" s="3">
        <v>113468501</v>
      </c>
      <c r="I16" s="3">
        <v>130371967</v>
      </c>
      <c r="J16" s="3">
        <v>153792963</v>
      </c>
      <c r="K16" s="3">
        <v>134189091</v>
      </c>
      <c r="L16" s="3">
        <v>123890929</v>
      </c>
      <c r="M16" s="3">
        <v>125822758</v>
      </c>
      <c r="N16" s="3">
        <v>99717974</v>
      </c>
      <c r="O16" s="3">
        <v>94010445</v>
      </c>
      <c r="P16" s="3">
        <v>95714869</v>
      </c>
      <c r="Q16" s="3">
        <v>105210566</v>
      </c>
      <c r="R16" s="3">
        <v>105057188</v>
      </c>
      <c r="S16" s="3">
        <v>100624675</v>
      </c>
      <c r="T16" s="3">
        <v>111774912</v>
      </c>
      <c r="U16" s="3">
        <v>108387235</v>
      </c>
      <c r="V16" s="3">
        <v>126175646</v>
      </c>
      <c r="W16" s="19">
        <f>SUM(K16:V16)</f>
        <v>1330576288</v>
      </c>
    </row>
    <row r="17" spans="1:23" ht="12" customHeight="1" x14ac:dyDescent="0.3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9" t="s">
        <v>1</v>
      </c>
    </row>
    <row r="18" spans="1:23" ht="12" customHeight="1" x14ac:dyDescent="0.3">
      <c r="A18" s="9" t="s">
        <v>26</v>
      </c>
      <c r="B18" s="3">
        <v>106154300</v>
      </c>
      <c r="C18" s="3">
        <v>102534132</v>
      </c>
      <c r="D18" s="3">
        <v>91676887</v>
      </c>
      <c r="E18" s="3">
        <v>99510671</v>
      </c>
      <c r="F18" s="3">
        <v>100715828</v>
      </c>
      <c r="G18" s="3">
        <v>104837646</v>
      </c>
      <c r="H18" s="3">
        <v>111569102</v>
      </c>
      <c r="I18" s="3">
        <v>128043281</v>
      </c>
      <c r="J18" s="3">
        <v>150698837</v>
      </c>
      <c r="K18" s="3">
        <v>131684308</v>
      </c>
      <c r="L18" s="3">
        <v>121805707</v>
      </c>
      <c r="M18" s="3">
        <v>123113388</v>
      </c>
      <c r="N18" s="3">
        <v>99650536</v>
      </c>
      <c r="O18" s="3">
        <v>93791278</v>
      </c>
      <c r="P18" s="3">
        <v>95410648</v>
      </c>
      <c r="Q18" s="3">
        <v>104579979</v>
      </c>
      <c r="R18" s="3">
        <v>104641658</v>
      </c>
      <c r="S18" s="3">
        <v>100214541</v>
      </c>
      <c r="T18" s="3">
        <v>111019414</v>
      </c>
      <c r="U18" s="3">
        <v>107970587</v>
      </c>
      <c r="V18" s="3">
        <v>125152569</v>
      </c>
      <c r="W18" s="19">
        <f t="shared" ref="W18:W23" si="7">SUM(K18:V18)</f>
        <v>1319034613</v>
      </c>
    </row>
    <row r="19" spans="1:23" ht="12" customHeight="1" x14ac:dyDescent="0.3">
      <c r="A19" s="9" t="s">
        <v>27</v>
      </c>
      <c r="B19" s="3">
        <v>1996836</v>
      </c>
      <c r="C19" s="3">
        <v>1754601</v>
      </c>
      <c r="D19" s="3">
        <v>1584762</v>
      </c>
      <c r="E19" s="3">
        <v>1573207</v>
      </c>
      <c r="F19" s="3">
        <v>1630148</v>
      </c>
      <c r="G19" s="3">
        <v>1800184</v>
      </c>
      <c r="H19" s="3">
        <v>1893976</v>
      </c>
      <c r="I19" s="3">
        <v>2250282</v>
      </c>
      <c r="J19" s="3">
        <v>2561882</v>
      </c>
      <c r="K19" s="3">
        <v>2006867</v>
      </c>
      <c r="L19" s="3">
        <v>2066188</v>
      </c>
      <c r="M19" s="3">
        <v>2079115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9">
        <f t="shared" si="7"/>
        <v>6152170</v>
      </c>
    </row>
    <row r="20" spans="1:23" ht="12" customHeight="1" x14ac:dyDescent="0.3">
      <c r="A20" s="9" t="s">
        <v>28</v>
      </c>
      <c r="B20" s="3">
        <v>326931</v>
      </c>
      <c r="C20" s="3">
        <v>-178902</v>
      </c>
      <c r="D20" s="3">
        <v>200231</v>
      </c>
      <c r="E20" s="3">
        <v>461593</v>
      </c>
      <c r="F20" s="3">
        <v>-147789</v>
      </c>
      <c r="G20" s="3">
        <v>177964</v>
      </c>
      <c r="H20" s="3">
        <v>72651</v>
      </c>
      <c r="I20" s="3">
        <v>62705</v>
      </c>
      <c r="J20" s="3">
        <v>-72228</v>
      </c>
      <c r="K20" s="3">
        <v>-55872</v>
      </c>
      <c r="L20" s="3">
        <v>-162298</v>
      </c>
      <c r="M20" s="3">
        <v>84655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9">
        <f t="shared" si="7"/>
        <v>-133515</v>
      </c>
    </row>
    <row r="21" spans="1:23" ht="12" customHeight="1" x14ac:dyDescent="0.3">
      <c r="A21" s="9" t="s">
        <v>29</v>
      </c>
      <c r="B21" s="3">
        <v>201871</v>
      </c>
      <c r="C21" s="3">
        <v>192705</v>
      </c>
      <c r="D21" s="3">
        <v>150453</v>
      </c>
      <c r="E21" s="3">
        <v>99073</v>
      </c>
      <c r="F21" s="3">
        <v>86055</v>
      </c>
      <c r="G21" s="3">
        <v>134891</v>
      </c>
      <c r="H21" s="3">
        <v>89283</v>
      </c>
      <c r="I21" s="3">
        <v>119387</v>
      </c>
      <c r="J21" s="3">
        <v>145364</v>
      </c>
      <c r="K21" s="3">
        <v>141296</v>
      </c>
      <c r="L21" s="3">
        <v>116750</v>
      </c>
      <c r="M21" s="3">
        <v>109120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19">
        <f t="shared" si="7"/>
        <v>367166</v>
      </c>
    </row>
    <row r="22" spans="1:23" ht="12" customHeight="1" x14ac:dyDescent="0.3">
      <c r="A22" s="9" t="s">
        <v>21</v>
      </c>
      <c r="B22" s="3">
        <f t="shared" ref="B22:V22" si="8">SUM(B18:B21)</f>
        <v>108679938</v>
      </c>
      <c r="C22" s="3">
        <f t="shared" si="8"/>
        <v>104302536</v>
      </c>
      <c r="D22" s="3">
        <f t="shared" si="8"/>
        <v>93612333</v>
      </c>
      <c r="E22" s="3">
        <f t="shared" si="8"/>
        <v>101644544</v>
      </c>
      <c r="F22" s="3">
        <f t="shared" si="8"/>
        <v>102284242</v>
      </c>
      <c r="G22" s="3">
        <f t="shared" si="8"/>
        <v>106950685</v>
      </c>
      <c r="H22" s="3">
        <f t="shared" si="8"/>
        <v>113625012</v>
      </c>
      <c r="I22" s="3">
        <f t="shared" si="8"/>
        <v>130475655</v>
      </c>
      <c r="J22" s="3">
        <f t="shared" si="8"/>
        <v>153333855</v>
      </c>
      <c r="K22" s="3">
        <f t="shared" si="8"/>
        <v>133776599</v>
      </c>
      <c r="L22" s="3">
        <f t="shared" si="8"/>
        <v>123826347</v>
      </c>
      <c r="M22" s="3">
        <f t="shared" si="8"/>
        <v>125386278</v>
      </c>
      <c r="N22" s="3">
        <f t="shared" si="8"/>
        <v>99650536</v>
      </c>
      <c r="O22" s="3">
        <f t="shared" si="8"/>
        <v>93791278</v>
      </c>
      <c r="P22" s="3">
        <f t="shared" si="8"/>
        <v>95410648</v>
      </c>
      <c r="Q22" s="3">
        <f t="shared" si="8"/>
        <v>104579979</v>
      </c>
      <c r="R22" s="3">
        <f t="shared" si="8"/>
        <v>104641658</v>
      </c>
      <c r="S22" s="3">
        <f t="shared" si="8"/>
        <v>100214541</v>
      </c>
      <c r="T22" s="3">
        <f t="shared" si="8"/>
        <v>111019414</v>
      </c>
      <c r="U22" s="3">
        <f t="shared" si="8"/>
        <v>107970587</v>
      </c>
      <c r="V22" s="3">
        <f t="shared" si="8"/>
        <v>125152569</v>
      </c>
      <c r="W22" s="19">
        <f t="shared" si="7"/>
        <v>1325420434</v>
      </c>
    </row>
    <row r="23" spans="1:23" ht="12" customHeight="1" x14ac:dyDescent="0.3">
      <c r="A23" s="9" t="s">
        <v>32</v>
      </c>
      <c r="B23" s="3">
        <f t="shared" ref="B23:V23" si="9">-B16+B22</f>
        <v>-341107</v>
      </c>
      <c r="C23" s="3">
        <f t="shared" si="9"/>
        <v>-94941</v>
      </c>
      <c r="D23" s="3">
        <f t="shared" si="9"/>
        <v>-339361</v>
      </c>
      <c r="E23" s="3">
        <f t="shared" si="9"/>
        <v>377747</v>
      </c>
      <c r="F23" s="3">
        <f t="shared" si="9"/>
        <v>-529854</v>
      </c>
      <c r="G23" s="3">
        <f t="shared" si="9"/>
        <v>377820</v>
      </c>
      <c r="H23" s="3">
        <f t="shared" si="9"/>
        <v>156511</v>
      </c>
      <c r="I23" s="3">
        <f t="shared" si="9"/>
        <v>103688</v>
      </c>
      <c r="J23" s="3">
        <f t="shared" si="9"/>
        <v>-459108</v>
      </c>
      <c r="K23" s="3">
        <f t="shared" si="9"/>
        <v>-412492</v>
      </c>
      <c r="L23" s="3">
        <f t="shared" si="9"/>
        <v>-64582</v>
      </c>
      <c r="M23" s="3">
        <f t="shared" si="9"/>
        <v>-436480</v>
      </c>
      <c r="N23" s="3">
        <f t="shared" si="9"/>
        <v>-67438</v>
      </c>
      <c r="O23" s="3">
        <f t="shared" si="9"/>
        <v>-219167</v>
      </c>
      <c r="P23" s="3">
        <f t="shared" si="9"/>
        <v>-304221</v>
      </c>
      <c r="Q23" s="3">
        <f t="shared" si="9"/>
        <v>-630587</v>
      </c>
      <c r="R23" s="3">
        <f t="shared" si="9"/>
        <v>-415530</v>
      </c>
      <c r="S23" s="3">
        <f t="shared" si="9"/>
        <v>-410134</v>
      </c>
      <c r="T23" s="3">
        <f t="shared" si="9"/>
        <v>-755498</v>
      </c>
      <c r="U23" s="3">
        <f t="shared" si="9"/>
        <v>-416648</v>
      </c>
      <c r="V23" s="3">
        <f t="shared" si="9"/>
        <v>-1023077</v>
      </c>
      <c r="W23" s="19">
        <f t="shared" si="7"/>
        <v>-5155854</v>
      </c>
    </row>
    <row r="24" spans="1:23" ht="12" customHeight="1" x14ac:dyDescent="0.3">
      <c r="A24" s="11" t="s">
        <v>23</v>
      </c>
      <c r="B24" s="12">
        <f>2*B23/(B16+B22)</f>
        <v>-3.1337203470505229E-3</v>
      </c>
      <c r="C24" s="12">
        <f>2*C23/(C16+C22)</f>
        <v>-9.0983223848673162E-4</v>
      </c>
      <c r="D24" s="12">
        <f>2*D23/(D16+D22)</f>
        <v>-3.6186149916689514E-3</v>
      </c>
      <c r="E24" s="12">
        <f>2*E23/(E16+E22)</f>
        <v>3.7232714360701997E-3</v>
      </c>
      <c r="F24" s="12">
        <f>2*F23/(F16+F22)</f>
        <v>-5.1668288018989214E-3</v>
      </c>
      <c r="G24" s="12">
        <f t="shared" ref="G24:Q24" si="10">G23/G16</f>
        <v>3.5451800981422428E-3</v>
      </c>
      <c r="H24" s="12">
        <f t="shared" si="10"/>
        <v>1.3793343405497178E-3</v>
      </c>
      <c r="I24" s="12">
        <f t="shared" si="10"/>
        <v>7.9532435067118375E-4</v>
      </c>
      <c r="J24" s="12">
        <f t="shared" si="10"/>
        <v>-2.9852341163359992E-3</v>
      </c>
      <c r="K24" s="12">
        <f t="shared" si="10"/>
        <v>-3.0739607588518504E-3</v>
      </c>
      <c r="L24" s="12">
        <f t="shared" si="10"/>
        <v>-5.2128110202483027E-4</v>
      </c>
      <c r="M24" s="12">
        <f t="shared" si="10"/>
        <v>-3.4690067753879628E-3</v>
      </c>
      <c r="N24" s="12">
        <f t="shared" si="10"/>
        <v>-6.76287306037726E-4</v>
      </c>
      <c r="O24" s="12">
        <f t="shared" si="10"/>
        <v>-2.3313047821441543E-3</v>
      </c>
      <c r="P24" s="12">
        <f t="shared" si="10"/>
        <v>-3.178408988889699E-3</v>
      </c>
      <c r="Q24" s="12">
        <f t="shared" si="10"/>
        <v>-5.9935710259366917E-3</v>
      </c>
      <c r="R24" s="12">
        <f t="shared" ref="R24:W24" si="11">R23/R16</f>
        <v>-3.9552743406762424E-3</v>
      </c>
      <c r="S24" s="12">
        <f t="shared" si="11"/>
        <v>-4.0758790028390156E-3</v>
      </c>
      <c r="T24" s="12">
        <f t="shared" si="11"/>
        <v>-6.7591017204289994E-3</v>
      </c>
      <c r="U24" s="12">
        <f t="shared" si="11"/>
        <v>-3.8440689071918845E-3</v>
      </c>
      <c r="V24" s="12">
        <f t="shared" si="11"/>
        <v>-8.1083555538126583E-3</v>
      </c>
      <c r="W24" s="27">
        <f t="shared" si="11"/>
        <v>-3.8749029623470939E-3</v>
      </c>
    </row>
    <row r="25" spans="1:23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3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x14ac:dyDescent="0.3">
      <c r="A27" s="16"/>
    </row>
    <row r="28" spans="1:23" x14ac:dyDescent="0.3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</sheetData>
  <phoneticPr fontId="7" type="noConversion"/>
  <printOptions horizontalCentered="1" verticalCentered="1" gridLines="1" gridLinesSet="0"/>
  <pageMargins left="0.25" right="0.24" top="1" bottom="1" header="0.5" footer="0.5"/>
  <pageSetup scale="76" orientation="landscape" horizontalDpi="300" verticalDpi="300" r:id="rId1"/>
  <headerFooter alignWithMargins="0">
    <oddHeader>&amp;C&amp;"Arial,Bold Italic"&amp;12NNG DTH PRA (00)12 Month Historical</oddHeader>
    <oddFooter>&amp;L&amp;F&amp;CPage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3.2" x14ac:dyDescent="0.25"/>
  <cols>
    <col min="4" max="4" width="9.88671875" bestFit="1" customWidth="1"/>
    <col min="14" max="14" width="10.33203125" customWidth="1"/>
  </cols>
  <sheetData>
    <row r="1" spans="1:14" x14ac:dyDescent="0.25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2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x14ac:dyDescent="0.25">
      <c r="A6" s="2"/>
      <c r="B6" s="6">
        <v>2001</v>
      </c>
      <c r="C6" s="6">
        <v>2001</v>
      </c>
      <c r="D6" s="6">
        <v>2001</v>
      </c>
      <c r="E6" s="6">
        <v>2001</v>
      </c>
      <c r="F6" s="6">
        <v>2001</v>
      </c>
      <c r="G6" s="6">
        <v>2001</v>
      </c>
      <c r="H6" s="6">
        <v>2001</v>
      </c>
      <c r="I6" s="6">
        <v>2001</v>
      </c>
      <c r="J6" s="6">
        <v>2001</v>
      </c>
      <c r="K6" s="6">
        <v>2001</v>
      </c>
      <c r="L6" s="6">
        <v>2001</v>
      </c>
      <c r="M6" s="6">
        <v>2001</v>
      </c>
      <c r="N6" s="7" t="s">
        <v>18</v>
      </c>
    </row>
    <row r="7" spans="1:14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x14ac:dyDescent="0.25">
      <c r="A8" s="9" t="s">
        <v>19</v>
      </c>
      <c r="B8" s="10">
        <v>301077970</v>
      </c>
      <c r="C8" s="10">
        <v>311599155</v>
      </c>
      <c r="D8" s="10">
        <v>309650897</v>
      </c>
      <c r="E8" s="10">
        <f>97887777+139191081</f>
        <v>237078858</v>
      </c>
      <c r="F8" s="10">
        <f>92157544+124284973</f>
        <v>216442517</v>
      </c>
      <c r="G8" s="10">
        <f>93848102+118865202</f>
        <v>212713304</v>
      </c>
      <c r="H8" s="10">
        <f>103227400+138344707</f>
        <v>241572107</v>
      </c>
      <c r="I8" s="10">
        <f>103206147+131144289</f>
        <v>234350436</v>
      </c>
      <c r="J8" s="10">
        <f>98788913+127534070</f>
        <v>226322983</v>
      </c>
      <c r="K8" s="10">
        <f>109813680+177525952</f>
        <v>287339632</v>
      </c>
      <c r="L8" s="10">
        <f>106741721+164340922</f>
        <v>271082643</v>
      </c>
      <c r="M8" s="10">
        <f>124172161+185116905</f>
        <v>309289066</v>
      </c>
      <c r="N8" s="3">
        <f>SUM(B8:M8)</f>
        <v>3158519568</v>
      </c>
    </row>
    <row r="9" spans="1:14" x14ac:dyDescent="0.25">
      <c r="A9" s="9" t="s">
        <v>20</v>
      </c>
      <c r="B9" s="10">
        <v>298863441</v>
      </c>
      <c r="C9" s="10">
        <v>309684869</v>
      </c>
      <c r="D9" s="10">
        <v>307112445</v>
      </c>
      <c r="E9" s="10">
        <f>97821818+139191081</f>
        <v>237012899</v>
      </c>
      <c r="F9" s="10">
        <f>91900590+124284973</f>
        <v>216185563</v>
      </c>
      <c r="G9" s="10">
        <f>93450786+118865202</f>
        <v>212315988</v>
      </c>
      <c r="H9" s="10">
        <f>102449558+138344707</f>
        <v>240794265</v>
      </c>
      <c r="I9" s="10">
        <f>102672492+131144289</f>
        <v>233816781</v>
      </c>
      <c r="J9" s="10">
        <f>98389327+127534070</f>
        <v>225923397</v>
      </c>
      <c r="K9" s="10">
        <f>109050271+177525952</f>
        <v>286576223</v>
      </c>
      <c r="L9" s="10">
        <f>106229270+164340922</f>
        <v>270570192</v>
      </c>
      <c r="M9" s="10">
        <f>123278953+185116905</f>
        <v>308395858</v>
      </c>
      <c r="N9" s="3">
        <f>SUM(B9:M9)</f>
        <v>3147251921</v>
      </c>
    </row>
    <row r="10" spans="1:14" x14ac:dyDescent="0.25">
      <c r="A10" s="9" t="s">
        <v>21</v>
      </c>
      <c r="B10" s="3">
        <f t="shared" ref="B10:M10" si="0">+B9+B19+B20+B21</f>
        <v>300800124</v>
      </c>
      <c r="C10" s="3">
        <f t="shared" si="0"/>
        <v>311592168</v>
      </c>
      <c r="D10" s="3">
        <f t="shared" si="0"/>
        <v>309276630</v>
      </c>
      <c r="E10" s="3">
        <f t="shared" si="0"/>
        <v>237012899</v>
      </c>
      <c r="F10" s="3">
        <f t="shared" si="0"/>
        <v>216185563</v>
      </c>
      <c r="G10" s="3">
        <f t="shared" si="0"/>
        <v>212315988</v>
      </c>
      <c r="H10" s="3">
        <f t="shared" si="0"/>
        <v>240794265</v>
      </c>
      <c r="I10" s="3">
        <f t="shared" si="0"/>
        <v>233816781</v>
      </c>
      <c r="J10" s="3">
        <f t="shared" si="0"/>
        <v>225923397</v>
      </c>
      <c r="K10" s="3">
        <f t="shared" si="0"/>
        <v>286576223</v>
      </c>
      <c r="L10" s="3">
        <f t="shared" si="0"/>
        <v>270570192</v>
      </c>
      <c r="M10" s="3">
        <f t="shared" si="0"/>
        <v>308395858</v>
      </c>
      <c r="N10" s="3">
        <f>SUM(B10:M10)</f>
        <v>3153260088</v>
      </c>
    </row>
    <row r="11" spans="1:14" x14ac:dyDescent="0.25">
      <c r="A11" s="9" t="s">
        <v>22</v>
      </c>
      <c r="B11" s="3">
        <f t="shared" ref="B11:M11" si="1">-B8+B10</f>
        <v>-277846</v>
      </c>
      <c r="C11" s="3">
        <f t="shared" si="1"/>
        <v>-6987</v>
      </c>
      <c r="D11" s="3">
        <f t="shared" si="1"/>
        <v>-374267</v>
      </c>
      <c r="E11" s="3">
        <f t="shared" si="1"/>
        <v>-65959</v>
      </c>
      <c r="F11" s="3">
        <f t="shared" si="1"/>
        <v>-256954</v>
      </c>
      <c r="G11" s="3">
        <f t="shared" si="1"/>
        <v>-397316</v>
      </c>
      <c r="H11" s="3">
        <f t="shared" si="1"/>
        <v>-777842</v>
      </c>
      <c r="I11" s="3">
        <f t="shared" si="1"/>
        <v>-533655</v>
      </c>
      <c r="J11" s="3">
        <f t="shared" si="1"/>
        <v>-399586</v>
      </c>
      <c r="K11" s="3">
        <f t="shared" si="1"/>
        <v>-763409</v>
      </c>
      <c r="L11" s="3">
        <f t="shared" si="1"/>
        <v>-512451</v>
      </c>
      <c r="M11" s="3">
        <f t="shared" si="1"/>
        <v>-893208</v>
      </c>
      <c r="N11" s="3">
        <f>SUM(B11:M11)</f>
        <v>-5259480</v>
      </c>
    </row>
    <row r="12" spans="1:14" x14ac:dyDescent="0.25">
      <c r="A12" s="11" t="s">
        <v>23</v>
      </c>
      <c r="B12" s="12">
        <f t="shared" ref="B12:M12" si="2">B11/B8</f>
        <v>-9.2283736335806968E-4</v>
      </c>
      <c r="C12" s="12">
        <f t="shared" si="2"/>
        <v>-2.2423038984171829E-5</v>
      </c>
      <c r="D12" s="12">
        <f t="shared" si="2"/>
        <v>-1.2086740378472083E-3</v>
      </c>
      <c r="E12" s="12">
        <f t="shared" si="2"/>
        <v>-2.7821544509042643E-4</v>
      </c>
      <c r="F12" s="12">
        <f t="shared" si="2"/>
        <v>-1.1871697093598296E-3</v>
      </c>
      <c r="G12" s="12">
        <f t="shared" si="2"/>
        <v>-1.8678474384470093E-3</v>
      </c>
      <c r="H12" s="12">
        <f t="shared" si="2"/>
        <v>-3.2199164450720298E-3</v>
      </c>
      <c r="I12" s="12">
        <f t="shared" si="2"/>
        <v>-2.2771666616400064E-3</v>
      </c>
      <c r="J12" s="12">
        <f t="shared" si="2"/>
        <v>-1.7655564393122196E-3</v>
      </c>
      <c r="K12" s="12">
        <f t="shared" si="2"/>
        <v>-2.6568176296682946E-3</v>
      </c>
      <c r="L12" s="12">
        <f t="shared" si="2"/>
        <v>-1.8903866154204494E-3</v>
      </c>
      <c r="M12" s="12">
        <f t="shared" si="2"/>
        <v>-2.8879391423426524E-3</v>
      </c>
      <c r="N12" s="12">
        <f>N11/N8</f>
        <v>-1.6651725236359212E-3</v>
      </c>
    </row>
    <row r="13" spans="1:14" x14ac:dyDescent="0.25">
      <c r="A13" s="9" t="s">
        <v>24</v>
      </c>
      <c r="B13" s="3">
        <f t="shared" ref="B13:J13" si="3">-B8+B10</f>
        <v>-277846</v>
      </c>
      <c r="C13" s="3">
        <f t="shared" si="3"/>
        <v>-6987</v>
      </c>
      <c r="D13" s="3">
        <f t="shared" si="3"/>
        <v>-374267</v>
      </c>
      <c r="E13" s="3">
        <f t="shared" si="3"/>
        <v>-65959</v>
      </c>
      <c r="F13" s="3">
        <f t="shared" si="3"/>
        <v>-256954</v>
      </c>
      <c r="G13" s="3">
        <f t="shared" si="3"/>
        <v>-397316</v>
      </c>
      <c r="H13" s="3">
        <f t="shared" si="3"/>
        <v>-777842</v>
      </c>
      <c r="I13" s="3">
        <f t="shared" si="3"/>
        <v>-533655</v>
      </c>
      <c r="J13" s="3">
        <f t="shared" si="3"/>
        <v>-399586</v>
      </c>
      <c r="K13" s="3">
        <f>-K8+K10</f>
        <v>-763409</v>
      </c>
      <c r="L13" s="3">
        <f>-L8+L10</f>
        <v>-512451</v>
      </c>
      <c r="M13" s="3">
        <f>-M8+M10</f>
        <v>-893208</v>
      </c>
      <c r="N13" s="3">
        <f>SUM(B13:M13)</f>
        <v>-5259480</v>
      </c>
    </row>
    <row r="14" spans="1:14" x14ac:dyDescent="0.25">
      <c r="A14" s="11" t="s">
        <v>23</v>
      </c>
      <c r="B14" s="12">
        <f t="shared" ref="B14:M14" si="4">B13/B8</f>
        <v>-9.2283736335806968E-4</v>
      </c>
      <c r="C14" s="12">
        <f t="shared" si="4"/>
        <v>-2.2423038984171829E-5</v>
      </c>
      <c r="D14" s="12">
        <f t="shared" si="4"/>
        <v>-1.2086740378472083E-3</v>
      </c>
      <c r="E14" s="12">
        <f t="shared" si="4"/>
        <v>-2.7821544509042643E-4</v>
      </c>
      <c r="F14" s="12">
        <f t="shared" si="4"/>
        <v>-1.1871697093598296E-3</v>
      </c>
      <c r="G14" s="12">
        <f t="shared" si="4"/>
        <v>-1.8678474384470093E-3</v>
      </c>
      <c r="H14" s="12">
        <f t="shared" si="4"/>
        <v>-3.2199164450720298E-3</v>
      </c>
      <c r="I14" s="12">
        <f t="shared" si="4"/>
        <v>-2.2771666616400064E-3</v>
      </c>
      <c r="J14" s="12">
        <f t="shared" si="4"/>
        <v>-1.7655564393122196E-3</v>
      </c>
      <c r="K14" s="12">
        <f t="shared" si="4"/>
        <v>-2.6568176296682946E-3</v>
      </c>
      <c r="L14" s="12">
        <f t="shared" si="4"/>
        <v>-1.8903866154204494E-3</v>
      </c>
      <c r="M14" s="12">
        <f t="shared" si="4"/>
        <v>-2.8879391423426524E-3</v>
      </c>
      <c r="N14" s="12">
        <f>N13/N8</f>
        <v>-1.6651725236359212E-3</v>
      </c>
    </row>
    <row r="15" spans="1:14" ht="13.8" x14ac:dyDescent="0.3">
      <c r="A15" s="9"/>
      <c r="B15" s="16"/>
      <c r="C15" s="16"/>
      <c r="D15" s="16"/>
      <c r="E15" s="8"/>
      <c r="F15" s="8"/>
      <c r="G15" s="8"/>
      <c r="H15" s="8"/>
      <c r="I15" s="8"/>
      <c r="J15" s="8"/>
      <c r="K15" s="8"/>
      <c r="L15" s="8"/>
      <c r="M15" s="8"/>
      <c r="N15" s="3" t="s">
        <v>1</v>
      </c>
    </row>
    <row r="16" spans="1:14" x14ac:dyDescent="0.25">
      <c r="A16" s="9" t="s">
        <v>25</v>
      </c>
      <c r="B16" s="3">
        <v>130852732</v>
      </c>
      <c r="C16" s="3">
        <v>121693805</v>
      </c>
      <c r="D16" s="3">
        <v>123738465</v>
      </c>
      <c r="E16" s="3">
        <v>97887777</v>
      </c>
      <c r="F16" s="3">
        <v>92157544</v>
      </c>
      <c r="G16" s="3">
        <v>93848102</v>
      </c>
      <c r="H16" s="3">
        <v>103227400</v>
      </c>
      <c r="I16" s="3">
        <v>103206147</v>
      </c>
      <c r="J16" s="3">
        <v>98788913</v>
      </c>
      <c r="K16" s="3">
        <v>109813680</v>
      </c>
      <c r="L16" s="3">
        <v>106741721</v>
      </c>
      <c r="M16" s="3">
        <v>124172161</v>
      </c>
      <c r="N16" s="3">
        <f t="shared" ref="N16:N23" si="5">SUM(B16:M16)</f>
        <v>1306128447</v>
      </c>
    </row>
    <row r="17" spans="1:14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5">
      <c r="A18" s="9" t="s">
        <v>26</v>
      </c>
      <c r="B18" s="3">
        <v>128638203</v>
      </c>
      <c r="C18" s="3">
        <v>119779519</v>
      </c>
      <c r="D18" s="3">
        <v>121200013</v>
      </c>
      <c r="E18" s="3">
        <v>97821818</v>
      </c>
      <c r="F18" s="3">
        <v>91900590</v>
      </c>
      <c r="G18" s="3">
        <v>93450786</v>
      </c>
      <c r="H18" s="3">
        <v>102449558</v>
      </c>
      <c r="I18" s="3">
        <v>102672492</v>
      </c>
      <c r="J18" s="3">
        <v>98389327</v>
      </c>
      <c r="K18" s="3">
        <v>109050271</v>
      </c>
      <c r="L18" s="3">
        <v>106229270</v>
      </c>
      <c r="M18" s="3">
        <v>123278953</v>
      </c>
      <c r="N18" s="3">
        <f t="shared" si="5"/>
        <v>1294860800</v>
      </c>
    </row>
    <row r="19" spans="1:14" x14ac:dyDescent="0.25">
      <c r="A19" s="9" t="s">
        <v>27</v>
      </c>
      <c r="B19" s="3">
        <v>1962158</v>
      </c>
      <c r="C19" s="3">
        <v>2044208</v>
      </c>
      <c r="D19" s="3">
        <v>2058977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5"/>
        <v>6065343</v>
      </c>
    </row>
    <row r="20" spans="1:14" x14ac:dyDescent="0.25">
      <c r="A20" s="9" t="s">
        <v>28</v>
      </c>
      <c r="B20" s="3">
        <v>-55736</v>
      </c>
      <c r="C20" s="3">
        <v>-161574</v>
      </c>
      <c r="D20" s="3">
        <v>82322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 t="shared" si="5"/>
        <v>-134988</v>
      </c>
    </row>
    <row r="21" spans="1:14" x14ac:dyDescent="0.25">
      <c r="A21" s="9" t="s">
        <v>29</v>
      </c>
      <c r="B21" s="3">
        <v>30261</v>
      </c>
      <c r="C21" s="3">
        <v>24665</v>
      </c>
      <c r="D21" s="3">
        <v>22886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5"/>
        <v>77812</v>
      </c>
    </row>
    <row r="22" spans="1:14" x14ac:dyDescent="0.25">
      <c r="A22" s="9" t="s">
        <v>21</v>
      </c>
      <c r="B22" s="3">
        <f t="shared" ref="B22:M22" si="6">SUM(B18:B21)</f>
        <v>130574886</v>
      </c>
      <c r="C22" s="3">
        <f t="shared" si="6"/>
        <v>121686818</v>
      </c>
      <c r="D22" s="3">
        <f t="shared" si="6"/>
        <v>123364198</v>
      </c>
      <c r="E22" s="3">
        <f t="shared" si="6"/>
        <v>97821818</v>
      </c>
      <c r="F22" s="3">
        <f t="shared" si="6"/>
        <v>91900590</v>
      </c>
      <c r="G22" s="3">
        <f t="shared" si="6"/>
        <v>93450786</v>
      </c>
      <c r="H22" s="3">
        <f t="shared" si="6"/>
        <v>102449558</v>
      </c>
      <c r="I22" s="3">
        <f t="shared" si="6"/>
        <v>102672492</v>
      </c>
      <c r="J22" s="3">
        <f t="shared" si="6"/>
        <v>98389327</v>
      </c>
      <c r="K22" s="3">
        <f t="shared" si="6"/>
        <v>109050271</v>
      </c>
      <c r="L22" s="3">
        <f t="shared" si="6"/>
        <v>106229270</v>
      </c>
      <c r="M22" s="3">
        <f t="shared" si="6"/>
        <v>123278953</v>
      </c>
      <c r="N22" s="3">
        <f t="shared" si="5"/>
        <v>1300868967</v>
      </c>
    </row>
    <row r="23" spans="1:14" x14ac:dyDescent="0.25">
      <c r="A23" s="9" t="s">
        <v>30</v>
      </c>
      <c r="B23" s="3">
        <f t="shared" ref="B23:M23" si="7">-B16+B22</f>
        <v>-277846</v>
      </c>
      <c r="C23" s="3">
        <f t="shared" si="7"/>
        <v>-6987</v>
      </c>
      <c r="D23" s="3">
        <f t="shared" si="7"/>
        <v>-374267</v>
      </c>
      <c r="E23" s="3">
        <f t="shared" si="7"/>
        <v>-65959</v>
      </c>
      <c r="F23" s="3">
        <f t="shared" si="7"/>
        <v>-256954</v>
      </c>
      <c r="G23" s="3">
        <f t="shared" si="7"/>
        <v>-397316</v>
      </c>
      <c r="H23" s="3">
        <f t="shared" si="7"/>
        <v>-777842</v>
      </c>
      <c r="I23" s="3">
        <f t="shared" si="7"/>
        <v>-533655</v>
      </c>
      <c r="J23" s="3">
        <f t="shared" si="7"/>
        <v>-399586</v>
      </c>
      <c r="K23" s="3">
        <f t="shared" si="7"/>
        <v>-763409</v>
      </c>
      <c r="L23" s="3">
        <f t="shared" si="7"/>
        <v>-512451</v>
      </c>
      <c r="M23" s="3">
        <f t="shared" si="7"/>
        <v>-893208</v>
      </c>
      <c r="N23" s="3">
        <f t="shared" si="5"/>
        <v>-5259480</v>
      </c>
    </row>
    <row r="24" spans="1:14" x14ac:dyDescent="0.25">
      <c r="A24" s="11" t="s">
        <v>23</v>
      </c>
      <c r="B24" s="12">
        <f t="shared" ref="B24:M24" si="8">B23/B16</f>
        <v>-2.1233488651960283E-3</v>
      </c>
      <c r="C24" s="12">
        <f t="shared" si="8"/>
        <v>-5.7414590660551702E-5</v>
      </c>
      <c r="D24" s="12">
        <f t="shared" si="8"/>
        <v>-3.024661733115891E-3</v>
      </c>
      <c r="E24" s="12">
        <f t="shared" si="8"/>
        <v>-6.7382263671183378E-4</v>
      </c>
      <c r="F24" s="12">
        <f t="shared" si="8"/>
        <v>-2.788203643968637E-3</v>
      </c>
      <c r="G24" s="12">
        <f t="shared" si="8"/>
        <v>-4.2336071964460186E-3</v>
      </c>
      <c r="H24" s="12">
        <f t="shared" si="8"/>
        <v>-7.5352280499169791E-3</v>
      </c>
      <c r="I24" s="12">
        <f t="shared" si="8"/>
        <v>-5.1707675900351168E-3</v>
      </c>
      <c r="J24" s="12">
        <f t="shared" si="8"/>
        <v>-4.044846611481594E-3</v>
      </c>
      <c r="K24" s="12">
        <f t="shared" si="8"/>
        <v>-6.9518569999657606E-3</v>
      </c>
      <c r="L24" s="12">
        <f t="shared" si="8"/>
        <v>-4.8008500818531863E-3</v>
      </c>
      <c r="M24" s="12">
        <f t="shared" si="8"/>
        <v>-7.1933031752584222E-3</v>
      </c>
      <c r="N24" s="12">
        <f>N23/N16</f>
        <v>-4.0267708831243304E-3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3.2" x14ac:dyDescent="0.25"/>
  <cols>
    <col min="14" max="14" width="9.5546875" customWidth="1"/>
  </cols>
  <sheetData>
    <row r="1" spans="1:14" x14ac:dyDescent="0.25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2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x14ac:dyDescent="0.25">
      <c r="A6" s="2"/>
      <c r="B6" s="6">
        <v>2001</v>
      </c>
      <c r="C6" s="6">
        <v>2001</v>
      </c>
      <c r="D6" s="6">
        <v>2001</v>
      </c>
      <c r="E6" s="6">
        <v>2001</v>
      </c>
      <c r="F6" s="6">
        <v>2001</v>
      </c>
      <c r="G6" s="6">
        <v>2001</v>
      </c>
      <c r="H6" s="6">
        <v>2001</v>
      </c>
      <c r="I6" s="6">
        <v>2001</v>
      </c>
      <c r="J6" s="6">
        <v>2001</v>
      </c>
      <c r="K6" s="6">
        <v>2001</v>
      </c>
      <c r="L6" s="6">
        <v>2001</v>
      </c>
      <c r="M6" s="6">
        <v>2001</v>
      </c>
      <c r="N6" s="7" t="s">
        <v>18</v>
      </c>
    </row>
    <row r="7" spans="1:14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x14ac:dyDescent="0.25">
      <c r="A8" s="9" t="s">
        <v>19</v>
      </c>
      <c r="B8" s="10">
        <v>309193408</v>
      </c>
      <c r="C8" s="10">
        <v>317537668</v>
      </c>
      <c r="D8" s="10">
        <v>315178975</v>
      </c>
      <c r="E8" s="3">
        <f>99717974+142409684</f>
        <v>242127658</v>
      </c>
      <c r="F8" s="3">
        <f>94010445+127465912</f>
        <v>221476357</v>
      </c>
      <c r="G8" s="3">
        <f>95714869+121832472</f>
        <v>217547341</v>
      </c>
      <c r="H8" s="3">
        <f>105210566+141925661</f>
        <v>247136227</v>
      </c>
      <c r="I8" s="3">
        <f>105057188+133818236</f>
        <v>238875424</v>
      </c>
      <c r="J8" s="3">
        <f>100624675+129935740</f>
        <v>230560415</v>
      </c>
      <c r="K8" s="3">
        <f>111774912+180360920</f>
        <v>292135832</v>
      </c>
      <c r="L8" s="3">
        <f>108387235+166754508</f>
        <v>275141743</v>
      </c>
      <c r="M8" s="3">
        <f>126175646+187281009</f>
        <v>313456655</v>
      </c>
      <c r="N8" s="3">
        <f>SUM(B8:M8)</f>
        <v>3220367703</v>
      </c>
    </row>
    <row r="9" spans="1:14" x14ac:dyDescent="0.25">
      <c r="A9" s="9" t="s">
        <v>20</v>
      </c>
      <c r="B9" s="10">
        <v>306688625</v>
      </c>
      <c r="C9" s="10">
        <v>315452446</v>
      </c>
      <c r="D9" s="10">
        <v>312469605</v>
      </c>
      <c r="E9" s="3">
        <f>99650536+142409684</f>
        <v>242060220</v>
      </c>
      <c r="F9" s="3">
        <f>93791278+127465912</f>
        <v>221257190</v>
      </c>
      <c r="G9" s="3">
        <f>95410648+121832472</f>
        <v>217243120</v>
      </c>
      <c r="H9" s="3">
        <f>104579979+141925661</f>
        <v>246505640</v>
      </c>
      <c r="I9" s="3">
        <f>104641658+133818236</f>
        <v>238459894</v>
      </c>
      <c r="J9" s="3">
        <f>100214541+129935740</f>
        <v>230150281</v>
      </c>
      <c r="K9" s="3">
        <f>111019414+180360920</f>
        <v>291380334</v>
      </c>
      <c r="L9" s="3">
        <f>107970587+166754508</f>
        <v>274725095</v>
      </c>
      <c r="M9" s="3">
        <f>125152569+187281009</f>
        <v>312433578</v>
      </c>
      <c r="N9" s="3">
        <f>SUM(B9:M9)</f>
        <v>3208826028</v>
      </c>
    </row>
    <row r="10" spans="1:14" x14ac:dyDescent="0.25">
      <c r="A10" s="9" t="s">
        <v>21</v>
      </c>
      <c r="B10" s="3">
        <f t="shared" ref="B10:M10" si="0">+B9+B19+B20+B21</f>
        <v>308780916</v>
      </c>
      <c r="C10" s="3">
        <f t="shared" si="0"/>
        <v>317473086</v>
      </c>
      <c r="D10" s="3">
        <f t="shared" si="0"/>
        <v>314742495</v>
      </c>
      <c r="E10" s="3">
        <f t="shared" si="0"/>
        <v>242060220</v>
      </c>
      <c r="F10" s="3">
        <f t="shared" si="0"/>
        <v>221257190</v>
      </c>
      <c r="G10" s="3">
        <f t="shared" si="0"/>
        <v>217243120</v>
      </c>
      <c r="H10" s="3">
        <f t="shared" si="0"/>
        <v>246505640</v>
      </c>
      <c r="I10" s="3">
        <f t="shared" si="0"/>
        <v>238459894</v>
      </c>
      <c r="J10" s="3">
        <f t="shared" si="0"/>
        <v>230150281</v>
      </c>
      <c r="K10" s="3">
        <f t="shared" si="0"/>
        <v>291380334</v>
      </c>
      <c r="L10" s="3">
        <f t="shared" si="0"/>
        <v>274725095</v>
      </c>
      <c r="M10" s="3">
        <f t="shared" si="0"/>
        <v>312433578</v>
      </c>
      <c r="N10" s="3">
        <f>SUM(B10:M10)</f>
        <v>3215211849</v>
      </c>
    </row>
    <row r="11" spans="1:14" x14ac:dyDescent="0.25">
      <c r="A11" s="9" t="s">
        <v>22</v>
      </c>
      <c r="B11" s="3">
        <f t="shared" ref="B11:M11" si="1">-B8+B10</f>
        <v>-412492</v>
      </c>
      <c r="C11" s="3">
        <f t="shared" si="1"/>
        <v>-64582</v>
      </c>
      <c r="D11" s="3">
        <f t="shared" si="1"/>
        <v>-436480</v>
      </c>
      <c r="E11" s="3">
        <f t="shared" si="1"/>
        <v>-67438</v>
      </c>
      <c r="F11" s="3">
        <f t="shared" si="1"/>
        <v>-219167</v>
      </c>
      <c r="G11" s="3">
        <f t="shared" si="1"/>
        <v>-304221</v>
      </c>
      <c r="H11" s="3">
        <f t="shared" si="1"/>
        <v>-630587</v>
      </c>
      <c r="I11" s="3">
        <f t="shared" si="1"/>
        <v>-415530</v>
      </c>
      <c r="J11" s="3">
        <f t="shared" si="1"/>
        <v>-410134</v>
      </c>
      <c r="K11" s="3">
        <f t="shared" si="1"/>
        <v>-755498</v>
      </c>
      <c r="L11" s="3">
        <f t="shared" si="1"/>
        <v>-416648</v>
      </c>
      <c r="M11" s="3">
        <f t="shared" si="1"/>
        <v>-1023077</v>
      </c>
      <c r="N11" s="3">
        <f>SUM(B11:M11)</f>
        <v>-5155854</v>
      </c>
    </row>
    <row r="12" spans="1:14" x14ac:dyDescent="0.25">
      <c r="A12" s="11" t="s">
        <v>23</v>
      </c>
      <c r="B12" s="12">
        <f t="shared" ref="B12:M12" si="2">B11/B8</f>
        <v>-1.3340905379198771E-3</v>
      </c>
      <c r="C12" s="12">
        <f t="shared" si="2"/>
        <v>-2.03383744696393E-4</v>
      </c>
      <c r="D12" s="12">
        <f t="shared" si="2"/>
        <v>-1.3848639491260482E-3</v>
      </c>
      <c r="E12" s="12">
        <f t="shared" si="2"/>
        <v>-2.7852249741745739E-4</v>
      </c>
      <c r="F12" s="12">
        <f t="shared" si="2"/>
        <v>-9.8957289603603159E-4</v>
      </c>
      <c r="G12" s="12">
        <f t="shared" si="2"/>
        <v>-1.3984128631569898E-3</v>
      </c>
      <c r="H12" s="12">
        <f t="shared" si="2"/>
        <v>-2.5515765440572175E-3</v>
      </c>
      <c r="I12" s="12">
        <f t="shared" si="2"/>
        <v>-1.7395259547503723E-3</v>
      </c>
      <c r="J12" s="12">
        <f t="shared" si="2"/>
        <v>-1.7788569646701928E-3</v>
      </c>
      <c r="K12" s="12">
        <f t="shared" si="2"/>
        <v>-2.5861189119724278E-3</v>
      </c>
      <c r="L12" s="12">
        <f t="shared" si="2"/>
        <v>-1.514303120482885E-3</v>
      </c>
      <c r="M12" s="12">
        <f t="shared" si="2"/>
        <v>-3.2638547744344429E-3</v>
      </c>
      <c r="N12" s="12">
        <f>N11/N8</f>
        <v>-1.6010140690446491E-3</v>
      </c>
    </row>
    <row r="13" spans="1:14" x14ac:dyDescent="0.25">
      <c r="A13" s="9" t="s">
        <v>24</v>
      </c>
      <c r="B13" s="3">
        <f t="shared" ref="B13:J13" si="3">-B8+B10</f>
        <v>-412492</v>
      </c>
      <c r="C13" s="3">
        <f t="shared" si="3"/>
        <v>-64582</v>
      </c>
      <c r="D13" s="3">
        <f t="shared" si="3"/>
        <v>-436480</v>
      </c>
      <c r="E13" s="3">
        <f t="shared" si="3"/>
        <v>-67438</v>
      </c>
      <c r="F13" s="3">
        <f t="shared" si="3"/>
        <v>-219167</v>
      </c>
      <c r="G13" s="3">
        <f t="shared" si="3"/>
        <v>-304221</v>
      </c>
      <c r="H13" s="3">
        <f t="shared" si="3"/>
        <v>-630587</v>
      </c>
      <c r="I13" s="3">
        <f t="shared" si="3"/>
        <v>-415530</v>
      </c>
      <c r="J13" s="3">
        <f t="shared" si="3"/>
        <v>-410134</v>
      </c>
      <c r="K13" s="3">
        <f>-K8+K10</f>
        <v>-755498</v>
      </c>
      <c r="L13" s="3">
        <f>-L8+L10</f>
        <v>-416648</v>
      </c>
      <c r="M13" s="3">
        <f>-M8+M10</f>
        <v>-1023077</v>
      </c>
      <c r="N13" s="3">
        <f>SUM(B13:M13)</f>
        <v>-5155854</v>
      </c>
    </row>
    <row r="14" spans="1:14" x14ac:dyDescent="0.25">
      <c r="A14" s="11" t="s">
        <v>23</v>
      </c>
      <c r="B14" s="12">
        <f>B13/B8</f>
        <v>-1.3340905379198771E-3</v>
      </c>
      <c r="C14" s="12">
        <f>C13/C8</f>
        <v>-2.03383744696393E-4</v>
      </c>
      <c r="D14" s="12">
        <f>D13/D8</f>
        <v>-1.3848639491260482E-3</v>
      </c>
      <c r="E14" s="12">
        <f t="shared" ref="E14:M14" si="4">E13/E10</f>
        <v>-2.7860009381136644E-4</v>
      </c>
      <c r="F14" s="12">
        <f t="shared" si="4"/>
        <v>-9.9055312055621792E-4</v>
      </c>
      <c r="G14" s="12">
        <f t="shared" si="4"/>
        <v>-1.4003711602006085E-3</v>
      </c>
      <c r="H14" s="12">
        <f t="shared" si="4"/>
        <v>-2.5581037415614506E-3</v>
      </c>
      <c r="I14" s="12">
        <f t="shared" si="4"/>
        <v>-1.7425571781894695E-3</v>
      </c>
      <c r="J14" s="12">
        <f t="shared" si="4"/>
        <v>-1.7820269356959855E-3</v>
      </c>
      <c r="K14" s="12">
        <f t="shared" si="4"/>
        <v>-2.5928242638365569E-3</v>
      </c>
      <c r="L14" s="12">
        <f t="shared" si="4"/>
        <v>-1.5165997121595316E-3</v>
      </c>
      <c r="M14" s="12">
        <f t="shared" si="4"/>
        <v>-3.274542405298063E-3</v>
      </c>
      <c r="N14" s="12">
        <f>N13/N8</f>
        <v>-1.6010140690446491E-3</v>
      </c>
    </row>
    <row r="15" spans="1:14" ht="13.8" x14ac:dyDescent="0.3">
      <c r="A15" s="9"/>
      <c r="B15" s="16"/>
      <c r="C15" s="16"/>
      <c r="D15" s="16"/>
      <c r="E15" s="3"/>
      <c r="F15" s="3"/>
      <c r="G15" s="3"/>
      <c r="H15" s="3"/>
      <c r="I15" s="8"/>
      <c r="J15" s="8"/>
      <c r="K15" s="8"/>
      <c r="L15" s="8"/>
      <c r="M15" s="8"/>
      <c r="N15" s="3" t="s">
        <v>1</v>
      </c>
    </row>
    <row r="16" spans="1:14" x14ac:dyDescent="0.25">
      <c r="A16" s="9" t="s">
        <v>25</v>
      </c>
      <c r="B16" s="3">
        <v>134189091</v>
      </c>
      <c r="C16" s="3">
        <v>123890929</v>
      </c>
      <c r="D16" s="3">
        <v>125822758</v>
      </c>
      <c r="E16" s="3">
        <v>99717974</v>
      </c>
      <c r="F16" s="3">
        <v>94010445</v>
      </c>
      <c r="G16" s="3">
        <v>95714869</v>
      </c>
      <c r="H16" s="3">
        <v>105210566</v>
      </c>
      <c r="I16" s="3">
        <v>105057188</v>
      </c>
      <c r="J16" s="3">
        <v>100624675</v>
      </c>
      <c r="K16" s="3">
        <v>111774912</v>
      </c>
      <c r="L16" s="3">
        <v>108387235</v>
      </c>
      <c r="M16" s="3">
        <v>126175646</v>
      </c>
      <c r="N16" s="3">
        <f>SUM(B16:M16)</f>
        <v>1330576288</v>
      </c>
    </row>
    <row r="17" spans="1:14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5">
      <c r="A18" s="9" t="s">
        <v>26</v>
      </c>
      <c r="B18" s="3">
        <v>131684308</v>
      </c>
      <c r="C18" s="3">
        <v>121805707</v>
      </c>
      <c r="D18" s="3">
        <v>123113388</v>
      </c>
      <c r="E18" s="3">
        <v>99650536</v>
      </c>
      <c r="F18" s="3">
        <v>93791278</v>
      </c>
      <c r="G18" s="3">
        <v>95410648</v>
      </c>
      <c r="H18" s="3">
        <v>104579979</v>
      </c>
      <c r="I18" s="3">
        <v>104641658</v>
      </c>
      <c r="J18" s="3">
        <v>100214541</v>
      </c>
      <c r="K18" s="3">
        <v>111019414</v>
      </c>
      <c r="L18" s="3">
        <v>107970587</v>
      </c>
      <c r="M18" s="3">
        <v>125152569</v>
      </c>
      <c r="N18" s="3">
        <f t="shared" ref="N18:N23" si="5">SUM(B18:M18)</f>
        <v>1319034613</v>
      </c>
    </row>
    <row r="19" spans="1:14" x14ac:dyDescent="0.25">
      <c r="A19" s="9" t="s">
        <v>27</v>
      </c>
      <c r="B19" s="3">
        <v>2006867</v>
      </c>
      <c r="C19" s="3">
        <v>2066188</v>
      </c>
      <c r="D19" s="3">
        <v>2079115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5"/>
        <v>6152170</v>
      </c>
    </row>
    <row r="20" spans="1:14" x14ac:dyDescent="0.25">
      <c r="A20" s="9" t="s">
        <v>28</v>
      </c>
      <c r="B20" s="3">
        <v>-55872</v>
      </c>
      <c r="C20" s="3">
        <v>-162298</v>
      </c>
      <c r="D20" s="3">
        <v>84655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 t="shared" si="5"/>
        <v>-133515</v>
      </c>
    </row>
    <row r="21" spans="1:14" x14ac:dyDescent="0.25">
      <c r="A21" s="9" t="s">
        <v>29</v>
      </c>
      <c r="B21" s="3">
        <v>141296</v>
      </c>
      <c r="C21" s="3">
        <v>116750</v>
      </c>
      <c r="D21" s="3">
        <v>109120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5"/>
        <v>367166</v>
      </c>
    </row>
    <row r="22" spans="1:14" x14ac:dyDescent="0.25">
      <c r="A22" s="9" t="s">
        <v>21</v>
      </c>
      <c r="B22" s="3">
        <f t="shared" ref="B22:M22" si="6">SUM(B18:B21)</f>
        <v>133776599</v>
      </c>
      <c r="C22" s="3">
        <f t="shared" si="6"/>
        <v>123826347</v>
      </c>
      <c r="D22" s="3">
        <f t="shared" si="6"/>
        <v>125386278</v>
      </c>
      <c r="E22" s="3">
        <f t="shared" si="6"/>
        <v>99650536</v>
      </c>
      <c r="F22" s="3">
        <f t="shared" si="6"/>
        <v>93791278</v>
      </c>
      <c r="G22" s="3">
        <f t="shared" si="6"/>
        <v>95410648</v>
      </c>
      <c r="H22" s="3">
        <f t="shared" si="6"/>
        <v>104579979</v>
      </c>
      <c r="I22" s="3">
        <f t="shared" si="6"/>
        <v>104641658</v>
      </c>
      <c r="J22" s="3">
        <f t="shared" si="6"/>
        <v>100214541</v>
      </c>
      <c r="K22" s="3">
        <f t="shared" si="6"/>
        <v>111019414</v>
      </c>
      <c r="L22" s="3">
        <f t="shared" si="6"/>
        <v>107970587</v>
      </c>
      <c r="M22" s="3">
        <f t="shared" si="6"/>
        <v>125152569</v>
      </c>
      <c r="N22" s="3">
        <f t="shared" si="5"/>
        <v>1325420434</v>
      </c>
    </row>
    <row r="23" spans="1:14" x14ac:dyDescent="0.25">
      <c r="A23" s="9" t="s">
        <v>32</v>
      </c>
      <c r="B23" s="3">
        <f t="shared" ref="B23:M23" si="7">-B16+B22</f>
        <v>-412492</v>
      </c>
      <c r="C23" s="3">
        <f t="shared" si="7"/>
        <v>-64582</v>
      </c>
      <c r="D23" s="3">
        <f t="shared" si="7"/>
        <v>-436480</v>
      </c>
      <c r="E23" s="3">
        <f t="shared" si="7"/>
        <v>-67438</v>
      </c>
      <c r="F23" s="3">
        <f t="shared" si="7"/>
        <v>-219167</v>
      </c>
      <c r="G23" s="3">
        <f t="shared" si="7"/>
        <v>-304221</v>
      </c>
      <c r="H23" s="3">
        <f t="shared" si="7"/>
        <v>-630587</v>
      </c>
      <c r="I23" s="3">
        <f t="shared" si="7"/>
        <v>-415530</v>
      </c>
      <c r="J23" s="3">
        <f t="shared" si="7"/>
        <v>-410134</v>
      </c>
      <c r="K23" s="3">
        <f t="shared" si="7"/>
        <v>-755498</v>
      </c>
      <c r="L23" s="3">
        <f t="shared" si="7"/>
        <v>-416648</v>
      </c>
      <c r="M23" s="3">
        <f t="shared" si="7"/>
        <v>-1023077</v>
      </c>
      <c r="N23" s="3">
        <f t="shared" si="5"/>
        <v>-5155854</v>
      </c>
    </row>
    <row r="24" spans="1:14" x14ac:dyDescent="0.25">
      <c r="A24" s="11" t="s">
        <v>23</v>
      </c>
      <c r="B24" s="12">
        <f t="shared" ref="B24:M24" si="8">B23/B16</f>
        <v>-3.0739607588518504E-3</v>
      </c>
      <c r="C24" s="12">
        <f t="shared" si="8"/>
        <v>-5.2128110202483027E-4</v>
      </c>
      <c r="D24" s="12">
        <f t="shared" si="8"/>
        <v>-3.4690067753879628E-3</v>
      </c>
      <c r="E24" s="12">
        <f t="shared" si="8"/>
        <v>-6.76287306037726E-4</v>
      </c>
      <c r="F24" s="12">
        <f t="shared" si="8"/>
        <v>-2.3313047821441543E-3</v>
      </c>
      <c r="G24" s="12">
        <f t="shared" si="8"/>
        <v>-3.178408988889699E-3</v>
      </c>
      <c r="H24" s="12">
        <f t="shared" si="8"/>
        <v>-5.9935710259366917E-3</v>
      </c>
      <c r="I24" s="12">
        <f t="shared" si="8"/>
        <v>-3.9552743406762424E-3</v>
      </c>
      <c r="J24" s="12">
        <f t="shared" si="8"/>
        <v>-4.0758790028390156E-3</v>
      </c>
      <c r="K24" s="12">
        <f t="shared" si="8"/>
        <v>-6.7591017204289994E-3</v>
      </c>
      <c r="L24" s="12">
        <f t="shared" si="8"/>
        <v>-3.8440689071918845E-3</v>
      </c>
      <c r="M24" s="12">
        <f t="shared" si="8"/>
        <v>-8.1083555538126583E-3</v>
      </c>
      <c r="N24" s="12">
        <f>N23/N16</f>
        <v>-3.8749029623470939E-3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zoomScale="75" workbookViewId="0">
      <selection activeCell="N6" sqref="N6"/>
    </sheetView>
  </sheetViews>
  <sheetFormatPr defaultColWidth="9.109375" defaultRowHeight="10.199999999999999" x14ac:dyDescent="0.2"/>
  <cols>
    <col min="1" max="1" width="9.33203125" style="33" customWidth="1"/>
    <col min="2" max="2" width="6" style="33" bestFit="1" customWidth="1"/>
    <col min="3" max="3" width="4.109375" style="33" bestFit="1" customWidth="1"/>
    <col min="4" max="4" width="28.5546875" style="32" bestFit="1" customWidth="1"/>
    <col min="5" max="5" width="10.44140625" style="33" bestFit="1" customWidth="1"/>
    <col min="6" max="6" width="10.88671875" style="33" bestFit="1" customWidth="1"/>
    <col min="7" max="7" width="11.6640625" style="33" customWidth="1"/>
    <col min="8" max="8" width="10.44140625" style="33" bestFit="1" customWidth="1"/>
    <col min="9" max="9" width="13.6640625" style="33" bestFit="1" customWidth="1"/>
    <col min="10" max="10" width="10.5546875" style="33" customWidth="1"/>
    <col min="11" max="11" width="4.5546875" style="33" bestFit="1" customWidth="1"/>
    <col min="12" max="12" width="8" style="33" bestFit="1" customWidth="1"/>
    <col min="13" max="13" width="11.33203125" style="33" customWidth="1"/>
    <col min="14" max="14" width="31" style="48" bestFit="1" customWidth="1"/>
    <col min="15" max="16384" width="9.109375" style="32"/>
  </cols>
  <sheetData>
    <row r="1" spans="1:14" x14ac:dyDescent="0.2">
      <c r="A1" s="37"/>
      <c r="B1" s="37"/>
      <c r="C1" s="37"/>
      <c r="D1" s="37"/>
      <c r="E1" s="38"/>
      <c r="F1" s="39" t="s">
        <v>33</v>
      </c>
      <c r="G1" s="40"/>
      <c r="H1" s="38"/>
      <c r="I1" s="39" t="s">
        <v>34</v>
      </c>
      <c r="J1" s="40"/>
      <c r="K1" s="37" t="s">
        <v>35</v>
      </c>
      <c r="L1" s="37" t="s">
        <v>35</v>
      </c>
      <c r="M1" s="37" t="s">
        <v>35</v>
      </c>
      <c r="N1" s="41" t="s">
        <v>36</v>
      </c>
    </row>
    <row r="2" spans="1:14" x14ac:dyDescent="0.2">
      <c r="A2" s="42" t="s">
        <v>37</v>
      </c>
      <c r="B2" s="42" t="s">
        <v>38</v>
      </c>
      <c r="C2" s="42" t="s">
        <v>39</v>
      </c>
      <c r="D2" s="42" t="s">
        <v>40</v>
      </c>
      <c r="E2" s="43" t="s">
        <v>41</v>
      </c>
      <c r="F2" s="44" t="s">
        <v>42</v>
      </c>
      <c r="G2" s="45" t="s">
        <v>43</v>
      </c>
      <c r="H2" s="43" t="s">
        <v>41</v>
      </c>
      <c r="I2" s="44" t="s">
        <v>44</v>
      </c>
      <c r="J2" s="45" t="s">
        <v>43</v>
      </c>
      <c r="K2" s="42" t="s">
        <v>45</v>
      </c>
      <c r="L2" s="42" t="s">
        <v>46</v>
      </c>
      <c r="M2" s="42" t="s">
        <v>47</v>
      </c>
      <c r="N2" s="46" t="s">
        <v>48</v>
      </c>
    </row>
    <row r="3" spans="1:14" ht="24.75" customHeight="1" x14ac:dyDescent="0.2">
      <c r="A3" s="33">
        <v>961044</v>
      </c>
      <c r="B3" s="33">
        <v>0</v>
      </c>
      <c r="C3" s="33" t="s">
        <v>58</v>
      </c>
      <c r="D3" s="32" t="s">
        <v>61</v>
      </c>
      <c r="E3" s="32">
        <v>33145</v>
      </c>
      <c r="F3" s="32">
        <v>8899</v>
      </c>
      <c r="G3" s="32">
        <f t="shared" ref="G3:G18" si="0">+F3-E3</f>
        <v>-24246</v>
      </c>
      <c r="H3" s="32">
        <v>34530</v>
      </c>
      <c r="I3" s="32">
        <v>9259</v>
      </c>
      <c r="J3" s="32">
        <f t="shared" ref="J3:J18" si="1">+I3-H3</f>
        <v>-25271</v>
      </c>
      <c r="K3" s="32"/>
      <c r="L3" s="47">
        <v>37226</v>
      </c>
      <c r="M3" s="33" t="s">
        <v>62</v>
      </c>
      <c r="N3" s="55" t="s">
        <v>63</v>
      </c>
    </row>
    <row r="4" spans="1:14" ht="25.5" customHeight="1" x14ac:dyDescent="0.2">
      <c r="A4" s="33">
        <v>820046</v>
      </c>
      <c r="B4" s="33">
        <v>62834</v>
      </c>
      <c r="C4" s="33" t="s">
        <v>58</v>
      </c>
      <c r="D4" s="32" t="s">
        <v>60</v>
      </c>
      <c r="E4" s="32">
        <v>0</v>
      </c>
      <c r="F4" s="32">
        <v>118881</v>
      </c>
      <c r="G4" s="32">
        <f t="shared" si="0"/>
        <v>118881</v>
      </c>
      <c r="H4" s="32">
        <v>0</v>
      </c>
      <c r="I4" s="32">
        <v>118881</v>
      </c>
      <c r="J4" s="32">
        <f t="shared" si="1"/>
        <v>118881</v>
      </c>
      <c r="K4" s="32"/>
      <c r="L4" s="47">
        <v>37226</v>
      </c>
      <c r="M4" s="33" t="s">
        <v>64</v>
      </c>
      <c r="N4" s="56" t="s">
        <v>65</v>
      </c>
    </row>
    <row r="5" spans="1:14" ht="25.5" customHeight="1" x14ac:dyDescent="0.2">
      <c r="A5" s="33">
        <v>961222</v>
      </c>
      <c r="B5" s="33">
        <v>0</v>
      </c>
      <c r="C5" s="33" t="s">
        <v>58</v>
      </c>
      <c r="D5" s="32" t="s">
        <v>66</v>
      </c>
      <c r="E5" s="32">
        <v>4827</v>
      </c>
      <c r="F5" s="32">
        <v>51672</v>
      </c>
      <c r="G5" s="32">
        <f t="shared" si="0"/>
        <v>46845</v>
      </c>
      <c r="H5" s="32">
        <v>4868</v>
      </c>
      <c r="I5" s="32">
        <v>52108</v>
      </c>
      <c r="J5" s="32">
        <f t="shared" si="1"/>
        <v>47240</v>
      </c>
      <c r="K5" s="32"/>
      <c r="L5" s="47">
        <v>37226</v>
      </c>
      <c r="M5" s="33" t="s">
        <v>67</v>
      </c>
      <c r="N5" s="56" t="s">
        <v>68</v>
      </c>
    </row>
    <row r="6" spans="1:14" ht="25.5" customHeight="1" x14ac:dyDescent="0.2">
      <c r="E6" s="32"/>
      <c r="F6" s="32"/>
      <c r="G6" s="32">
        <f t="shared" si="0"/>
        <v>0</v>
      </c>
      <c r="H6" s="32"/>
      <c r="I6" s="32"/>
      <c r="J6" s="32">
        <f t="shared" si="1"/>
        <v>0</v>
      </c>
      <c r="K6" s="32"/>
      <c r="L6" s="47"/>
      <c r="N6" s="56"/>
    </row>
    <row r="7" spans="1:14" ht="25.5" customHeight="1" x14ac:dyDescent="0.2">
      <c r="E7" s="32"/>
      <c r="F7" s="32"/>
      <c r="G7" s="32">
        <f t="shared" si="0"/>
        <v>0</v>
      </c>
      <c r="H7" s="32"/>
      <c r="I7" s="32"/>
      <c r="J7" s="32">
        <f t="shared" si="1"/>
        <v>0</v>
      </c>
      <c r="K7" s="32"/>
      <c r="L7" s="47"/>
      <c r="N7" s="56"/>
    </row>
    <row r="8" spans="1:14" ht="25.5" customHeight="1" x14ac:dyDescent="0.2">
      <c r="E8" s="32"/>
      <c r="F8" s="32"/>
      <c r="G8" s="32">
        <f t="shared" si="0"/>
        <v>0</v>
      </c>
      <c r="H8" s="32"/>
      <c r="I8" s="32"/>
      <c r="J8" s="32">
        <f t="shared" si="1"/>
        <v>0</v>
      </c>
      <c r="K8" s="32"/>
      <c r="L8" s="47"/>
      <c r="N8" s="56"/>
    </row>
    <row r="9" spans="1:14" ht="25.5" customHeight="1" x14ac:dyDescent="0.2">
      <c r="E9" s="32"/>
      <c r="F9" s="32"/>
      <c r="G9" s="32">
        <f t="shared" si="0"/>
        <v>0</v>
      </c>
      <c r="H9" s="32"/>
      <c r="I9" s="32"/>
      <c r="J9" s="32">
        <f t="shared" si="1"/>
        <v>0</v>
      </c>
      <c r="K9" s="32"/>
      <c r="L9" s="47"/>
      <c r="N9" s="56"/>
    </row>
    <row r="10" spans="1:14" ht="25.5" customHeight="1" x14ac:dyDescent="0.2">
      <c r="E10" s="32"/>
      <c r="F10" s="32"/>
      <c r="G10" s="32">
        <f t="shared" si="0"/>
        <v>0</v>
      </c>
      <c r="H10" s="32"/>
      <c r="I10" s="32"/>
      <c r="J10" s="32">
        <f t="shared" si="1"/>
        <v>0</v>
      </c>
      <c r="K10" s="32"/>
      <c r="L10" s="47"/>
      <c r="N10" s="56"/>
    </row>
    <row r="11" spans="1:14" ht="26.25" customHeight="1" x14ac:dyDescent="0.2">
      <c r="E11" s="32"/>
      <c r="F11" s="32"/>
      <c r="G11" s="32">
        <f t="shared" si="0"/>
        <v>0</v>
      </c>
      <c r="H11" s="32"/>
      <c r="I11" s="32"/>
      <c r="J11" s="32">
        <f t="shared" si="1"/>
        <v>0</v>
      </c>
      <c r="K11" s="32"/>
      <c r="L11" s="47"/>
      <c r="N11" s="56"/>
    </row>
    <row r="12" spans="1:14" ht="26.25" customHeight="1" x14ac:dyDescent="0.2">
      <c r="E12" s="32"/>
      <c r="F12" s="32"/>
      <c r="G12" s="32">
        <f t="shared" si="0"/>
        <v>0</v>
      </c>
      <c r="H12" s="32"/>
      <c r="I12" s="32"/>
      <c r="J12" s="32">
        <f t="shared" si="1"/>
        <v>0</v>
      </c>
      <c r="K12" s="32"/>
      <c r="L12" s="47"/>
      <c r="N12" s="56"/>
    </row>
    <row r="13" spans="1:14" ht="25.5" customHeight="1" x14ac:dyDescent="0.2">
      <c r="E13" s="32"/>
      <c r="F13" s="32"/>
      <c r="G13" s="32">
        <f t="shared" si="0"/>
        <v>0</v>
      </c>
      <c r="H13" s="32"/>
      <c r="I13" s="32"/>
      <c r="J13" s="32">
        <f t="shared" si="1"/>
        <v>0</v>
      </c>
      <c r="K13" s="32"/>
      <c r="L13" s="47"/>
      <c r="N13" s="56"/>
    </row>
    <row r="14" spans="1:14" ht="32.1" customHeight="1" x14ac:dyDescent="0.2">
      <c r="E14" s="32"/>
      <c r="F14" s="32"/>
      <c r="G14" s="32">
        <f t="shared" si="0"/>
        <v>0</v>
      </c>
      <c r="H14" s="32"/>
      <c r="I14" s="32"/>
      <c r="J14" s="32">
        <f t="shared" si="1"/>
        <v>0</v>
      </c>
      <c r="K14" s="32"/>
      <c r="L14" s="47"/>
      <c r="N14" s="55"/>
    </row>
    <row r="15" spans="1:14" ht="32.1" customHeight="1" x14ac:dyDescent="0.2">
      <c r="E15" s="32"/>
      <c r="F15" s="32"/>
      <c r="G15" s="32">
        <f t="shared" si="0"/>
        <v>0</v>
      </c>
      <c r="H15" s="32"/>
      <c r="I15" s="32"/>
      <c r="J15" s="32">
        <f t="shared" si="1"/>
        <v>0</v>
      </c>
      <c r="K15" s="32"/>
      <c r="L15" s="47"/>
      <c r="N15" s="55"/>
    </row>
    <row r="16" spans="1:14" ht="32.1" customHeight="1" x14ac:dyDescent="0.2">
      <c r="E16" s="32"/>
      <c r="F16" s="32"/>
      <c r="G16" s="32">
        <f t="shared" si="0"/>
        <v>0</v>
      </c>
      <c r="H16" s="32"/>
      <c r="I16" s="32"/>
      <c r="J16" s="32">
        <f t="shared" si="1"/>
        <v>0</v>
      </c>
      <c r="K16" s="32"/>
      <c r="L16" s="47"/>
    </row>
    <row r="17" spans="5:15" ht="32.1" customHeight="1" x14ac:dyDescent="0.2">
      <c r="E17" s="32"/>
      <c r="F17" s="32"/>
      <c r="G17" s="32">
        <f t="shared" si="0"/>
        <v>0</v>
      </c>
      <c r="H17" s="32"/>
      <c r="I17" s="32"/>
      <c r="J17" s="32">
        <f t="shared" si="1"/>
        <v>0</v>
      </c>
      <c r="K17" s="32"/>
      <c r="L17" s="47"/>
      <c r="N17" s="55"/>
    </row>
    <row r="18" spans="5:15" ht="32.1" customHeight="1" x14ac:dyDescent="0.2">
      <c r="E18" s="32"/>
      <c r="F18" s="32"/>
      <c r="G18" s="32">
        <f t="shared" si="0"/>
        <v>0</v>
      </c>
      <c r="H18" s="32"/>
      <c r="I18" s="32"/>
      <c r="J18" s="32">
        <f t="shared" si="1"/>
        <v>0</v>
      </c>
      <c r="K18" s="32"/>
      <c r="L18" s="47"/>
      <c r="N18" s="55"/>
    </row>
    <row r="19" spans="5:15" ht="32.1" customHeight="1" x14ac:dyDescent="0.2">
      <c r="E19" s="32"/>
      <c r="F19" s="32"/>
      <c r="G19" s="32"/>
      <c r="H19" s="32"/>
      <c r="I19" s="32"/>
      <c r="J19" s="32"/>
      <c r="K19" s="32"/>
      <c r="L19" s="47"/>
      <c r="N19" s="55"/>
      <c r="O19" s="32" t="s">
        <v>59</v>
      </c>
    </row>
    <row r="20" spans="5:15" x14ac:dyDescent="0.2">
      <c r="E20" s="32"/>
      <c r="F20" s="32"/>
      <c r="G20" s="32"/>
      <c r="H20" s="32"/>
      <c r="I20" s="32"/>
      <c r="J20" s="32"/>
      <c r="K20" s="32"/>
      <c r="L20" s="47"/>
      <c r="N20" s="55"/>
    </row>
    <row r="21" spans="5:15" x14ac:dyDescent="0.2">
      <c r="E21" s="32"/>
      <c r="F21" s="32"/>
      <c r="G21" s="32"/>
      <c r="H21" s="32"/>
      <c r="I21" s="32"/>
      <c r="J21" s="32"/>
      <c r="K21" s="32"/>
      <c r="L21" s="47"/>
      <c r="N21" s="55"/>
    </row>
    <row r="22" spans="5:15" x14ac:dyDescent="0.2">
      <c r="E22" s="32"/>
      <c r="F22" s="32"/>
      <c r="G22" s="32"/>
      <c r="H22" s="32"/>
      <c r="I22" s="32"/>
      <c r="J22" s="32"/>
      <c r="K22" s="32"/>
      <c r="L22" s="47"/>
      <c r="N22" s="55"/>
    </row>
    <row r="23" spans="5:15" x14ac:dyDescent="0.2">
      <c r="E23" s="32"/>
      <c r="F23" s="32"/>
      <c r="G23" s="32"/>
      <c r="H23" s="32"/>
      <c r="I23" s="32"/>
      <c r="J23" s="32"/>
      <c r="K23" s="32"/>
      <c r="L23" s="47"/>
      <c r="N23" s="55"/>
    </row>
    <row r="24" spans="5:15" x14ac:dyDescent="0.2">
      <c r="E24" s="32"/>
      <c r="F24" s="32"/>
      <c r="G24" s="32"/>
      <c r="H24" s="32"/>
      <c r="I24" s="32"/>
      <c r="J24" s="32"/>
      <c r="K24" s="32"/>
      <c r="L24" s="47"/>
      <c r="N24" s="55"/>
    </row>
    <row r="25" spans="5:15" x14ac:dyDescent="0.2">
      <c r="E25" s="32"/>
      <c r="F25" s="32"/>
      <c r="G25" s="32"/>
      <c r="H25" s="32"/>
      <c r="I25" s="32"/>
      <c r="J25" s="32"/>
      <c r="K25" s="32"/>
      <c r="L25" s="32"/>
      <c r="N25" s="55"/>
    </row>
    <row r="26" spans="5:15" x14ac:dyDescent="0.2">
      <c r="E26" s="32"/>
      <c r="F26" s="32"/>
      <c r="G26" s="32"/>
      <c r="H26" s="32"/>
      <c r="I26" s="32"/>
      <c r="J26" s="32"/>
      <c r="K26" s="32"/>
      <c r="L26" s="32"/>
      <c r="N26" s="55"/>
    </row>
    <row r="27" spans="5:15" x14ac:dyDescent="0.2">
      <c r="E27" s="32"/>
      <c r="F27" s="32"/>
      <c r="G27" s="32"/>
      <c r="H27" s="32"/>
      <c r="I27" s="32"/>
      <c r="J27" s="32"/>
      <c r="K27" s="32"/>
      <c r="L27" s="32"/>
      <c r="N27" s="55"/>
    </row>
    <row r="28" spans="5:15" x14ac:dyDescent="0.2">
      <c r="E28" s="32"/>
      <c r="F28" s="32"/>
      <c r="G28" s="32"/>
      <c r="H28" s="32"/>
      <c r="I28" s="32"/>
      <c r="J28" s="32"/>
      <c r="K28" s="32"/>
      <c r="L28" s="32"/>
      <c r="N28" s="55"/>
    </row>
    <row r="29" spans="5:15" x14ac:dyDescent="0.2">
      <c r="E29" s="32"/>
      <c r="F29" s="32"/>
      <c r="G29" s="32"/>
      <c r="H29" s="32"/>
      <c r="I29" s="32"/>
      <c r="J29" s="32"/>
      <c r="K29" s="32"/>
      <c r="L29" s="32"/>
      <c r="N29" s="55"/>
    </row>
    <row r="30" spans="5:15" x14ac:dyDescent="0.2">
      <c r="E30" s="32"/>
      <c r="F30" s="32"/>
      <c r="G30" s="32"/>
      <c r="H30" s="32"/>
      <c r="I30" s="32"/>
      <c r="J30" s="32"/>
      <c r="K30" s="32"/>
      <c r="L30" s="32"/>
      <c r="N30" s="55"/>
    </row>
    <row r="31" spans="5:15" x14ac:dyDescent="0.2">
      <c r="E31" s="32"/>
      <c r="F31" s="32"/>
      <c r="G31" s="32"/>
      <c r="H31" s="32"/>
      <c r="I31" s="32"/>
      <c r="J31" s="32"/>
      <c r="K31" s="32"/>
      <c r="L31" s="32"/>
      <c r="N31" s="55"/>
    </row>
    <row r="32" spans="5:15" x14ac:dyDescent="0.2">
      <c r="E32" s="32"/>
      <c r="F32" s="32"/>
      <c r="G32" s="32"/>
      <c r="H32" s="32"/>
      <c r="I32" s="32"/>
      <c r="J32" s="32"/>
      <c r="K32" s="32"/>
      <c r="L32" s="32"/>
      <c r="N32" s="55"/>
    </row>
    <row r="33" spans="5:14" x14ac:dyDescent="0.2">
      <c r="E33" s="32"/>
      <c r="F33" s="32"/>
      <c r="G33" s="32"/>
      <c r="H33" s="32"/>
      <c r="I33" s="32"/>
      <c r="J33" s="32"/>
      <c r="K33" s="32"/>
      <c r="L33" s="32"/>
      <c r="N33" s="55"/>
    </row>
    <row r="34" spans="5:14" x14ac:dyDescent="0.2">
      <c r="E34" s="32"/>
      <c r="F34" s="32"/>
      <c r="G34" s="32"/>
      <c r="H34" s="32"/>
      <c r="I34" s="32"/>
      <c r="J34" s="32"/>
      <c r="K34" s="32"/>
      <c r="L34" s="32"/>
      <c r="N34" s="55"/>
    </row>
    <row r="35" spans="5:14" x14ac:dyDescent="0.2">
      <c r="E35" s="32"/>
      <c r="F35" s="32"/>
      <c r="G35" s="32"/>
      <c r="H35" s="32"/>
      <c r="I35" s="32"/>
      <c r="J35" s="32"/>
      <c r="K35" s="32"/>
      <c r="L35" s="32"/>
      <c r="N35" s="55"/>
    </row>
    <row r="36" spans="5:14" x14ac:dyDescent="0.2">
      <c r="E36" s="32"/>
      <c r="F36" s="32"/>
      <c r="G36" s="52"/>
      <c r="H36" s="32"/>
      <c r="I36" s="32"/>
      <c r="J36" s="52"/>
      <c r="L36" s="54"/>
      <c r="N36" s="55"/>
    </row>
    <row r="37" spans="5:14" x14ac:dyDescent="0.2">
      <c r="E37" s="32"/>
      <c r="F37" s="32"/>
      <c r="G37" s="52"/>
      <c r="H37" s="32"/>
      <c r="I37" s="32"/>
      <c r="J37" s="52"/>
      <c r="L37" s="54"/>
      <c r="N37" s="55"/>
    </row>
    <row r="38" spans="5:14" x14ac:dyDescent="0.2">
      <c r="E38" s="32"/>
      <c r="F38" s="32"/>
      <c r="G38" s="52"/>
      <c r="H38" s="32"/>
      <c r="I38" s="32"/>
      <c r="J38" s="52"/>
      <c r="L38" s="54"/>
      <c r="N38" s="55"/>
    </row>
    <row r="39" spans="5:14" x14ac:dyDescent="0.2">
      <c r="E39" s="32"/>
      <c r="F39" s="32"/>
      <c r="G39" s="52"/>
      <c r="H39" s="32"/>
      <c r="I39" s="32"/>
      <c r="J39" s="52"/>
      <c r="L39" s="54"/>
      <c r="N39" s="55"/>
    </row>
    <row r="40" spans="5:14" x14ac:dyDescent="0.2">
      <c r="E40" s="32"/>
      <c r="F40" s="32"/>
      <c r="G40" s="52"/>
      <c r="H40" s="32"/>
      <c r="I40" s="32"/>
      <c r="J40" s="52"/>
      <c r="L40" s="54"/>
      <c r="N40" s="55"/>
    </row>
    <row r="41" spans="5:14" x14ac:dyDescent="0.2">
      <c r="E41" s="32"/>
      <c r="F41" s="32"/>
      <c r="G41" s="52"/>
      <c r="H41" s="32"/>
      <c r="I41" s="32"/>
      <c r="J41" s="52"/>
      <c r="L41" s="54"/>
      <c r="N41" s="55"/>
    </row>
    <row r="42" spans="5:14" x14ac:dyDescent="0.2">
      <c r="E42" s="52"/>
      <c r="F42" s="52"/>
      <c r="G42" s="52"/>
      <c r="H42" s="52"/>
      <c r="I42" s="52"/>
      <c r="J42" s="52"/>
      <c r="K42" s="32"/>
      <c r="L42" s="47"/>
      <c r="N42" s="56"/>
    </row>
    <row r="43" spans="5:14" x14ac:dyDescent="0.2">
      <c r="E43" s="53"/>
      <c r="F43" s="53"/>
      <c r="G43" s="52"/>
      <c r="H43" s="53"/>
      <c r="I43" s="53"/>
      <c r="J43" s="52"/>
      <c r="K43" s="32"/>
      <c r="L43" s="47"/>
      <c r="N43" s="56"/>
    </row>
    <row r="44" spans="5:14" x14ac:dyDescent="0.2">
      <c r="E44" s="53"/>
      <c r="F44" s="53"/>
      <c r="G44" s="52"/>
      <c r="H44" s="53"/>
      <c r="I44" s="53"/>
      <c r="J44" s="52"/>
      <c r="K44" s="32"/>
      <c r="L44" s="47"/>
      <c r="N44" s="56"/>
    </row>
    <row r="45" spans="5:14" x14ac:dyDescent="0.2">
      <c r="E45" s="53"/>
      <c r="F45" s="53"/>
      <c r="G45" s="52"/>
      <c r="H45" s="53"/>
      <c r="I45" s="53"/>
      <c r="J45" s="52"/>
      <c r="K45" s="32"/>
      <c r="L45" s="47"/>
      <c r="N45" s="56"/>
    </row>
    <row r="46" spans="5:14" x14ac:dyDescent="0.2">
      <c r="E46" s="53"/>
      <c r="F46" s="53"/>
      <c r="G46" s="52"/>
      <c r="H46" s="53"/>
      <c r="I46" s="53"/>
      <c r="J46" s="52"/>
      <c r="K46" s="32"/>
      <c r="L46" s="47"/>
      <c r="N46" s="56"/>
    </row>
    <row r="47" spans="5:14" x14ac:dyDescent="0.2">
      <c r="E47" s="53"/>
      <c r="F47" s="53"/>
      <c r="G47" s="52"/>
      <c r="H47" s="53"/>
      <c r="I47" s="53"/>
      <c r="J47" s="52"/>
      <c r="K47" s="32"/>
      <c r="L47" s="47"/>
      <c r="N47" s="56"/>
    </row>
    <row r="48" spans="5:14" x14ac:dyDescent="0.2">
      <c r="E48" s="53"/>
      <c r="F48" s="53"/>
      <c r="G48" s="52"/>
      <c r="H48" s="53"/>
      <c r="I48" s="53"/>
      <c r="J48" s="52"/>
      <c r="K48" s="32"/>
      <c r="L48" s="47"/>
      <c r="N48" s="56"/>
    </row>
    <row r="49" spans="4:14" x14ac:dyDescent="0.2">
      <c r="E49" s="53"/>
      <c r="F49" s="53"/>
      <c r="G49" s="52"/>
      <c r="H49" s="53"/>
      <c r="I49" s="53"/>
      <c r="J49" s="52"/>
      <c r="K49" s="32"/>
      <c r="L49" s="47"/>
      <c r="N49" s="56"/>
    </row>
    <row r="50" spans="4:14" x14ac:dyDescent="0.2">
      <c r="E50" s="53"/>
      <c r="F50" s="53"/>
      <c r="G50" s="52"/>
      <c r="H50" s="53"/>
      <c r="I50" s="53"/>
      <c r="J50" s="52"/>
      <c r="K50" s="32"/>
      <c r="L50" s="47"/>
      <c r="N50" s="56"/>
    </row>
    <row r="51" spans="4:14" x14ac:dyDescent="0.2">
      <c r="E51" s="32"/>
      <c r="F51" s="32"/>
      <c r="G51" s="52"/>
      <c r="H51" s="32"/>
      <c r="I51" s="32"/>
      <c r="J51" s="52"/>
      <c r="K51" s="32"/>
      <c r="L51" s="47"/>
      <c r="N51" s="56"/>
    </row>
    <row r="52" spans="4:14" x14ac:dyDescent="0.2">
      <c r="E52" s="32"/>
      <c r="F52" s="32"/>
      <c r="G52" s="52"/>
      <c r="H52" s="32"/>
      <c r="I52" s="32"/>
      <c r="J52" s="52"/>
      <c r="K52" s="32"/>
      <c r="L52" s="47"/>
      <c r="N52" s="56"/>
    </row>
    <row r="53" spans="4:14" x14ac:dyDescent="0.2">
      <c r="E53" s="32"/>
      <c r="F53" s="32"/>
      <c r="G53" s="52"/>
      <c r="H53" s="32"/>
      <c r="I53" s="32"/>
      <c r="J53" s="52"/>
      <c r="K53" s="32"/>
      <c r="L53" s="47"/>
      <c r="M53" s="54"/>
      <c r="N53" s="56"/>
    </row>
    <row r="54" spans="4:14" x14ac:dyDescent="0.2">
      <c r="D54" s="49"/>
      <c r="E54" s="32"/>
      <c r="F54" s="32"/>
      <c r="G54" s="52"/>
      <c r="H54" s="32"/>
      <c r="I54" s="32"/>
      <c r="J54" s="52"/>
      <c r="K54" s="32"/>
      <c r="L54" s="47"/>
      <c r="N54" s="55"/>
    </row>
    <row r="55" spans="4:14" x14ac:dyDescent="0.2">
      <c r="E55" s="32"/>
      <c r="F55" s="32"/>
      <c r="G55" s="32"/>
      <c r="H55" s="32"/>
      <c r="I55" s="32"/>
      <c r="J55" s="32"/>
      <c r="K55" s="32"/>
      <c r="L55" s="32"/>
      <c r="N55" s="55"/>
    </row>
    <row r="56" spans="4:14" x14ac:dyDescent="0.2">
      <c r="E56" s="32"/>
      <c r="F56" s="32"/>
      <c r="G56" s="32"/>
      <c r="H56" s="32"/>
      <c r="I56" s="32"/>
      <c r="J56" s="32"/>
      <c r="K56" s="32"/>
      <c r="L56" s="32"/>
      <c r="N56" s="55"/>
    </row>
    <row r="57" spans="4:14" x14ac:dyDescent="0.2">
      <c r="E57" s="32"/>
      <c r="F57" s="32"/>
      <c r="G57" s="32"/>
      <c r="H57" s="32"/>
      <c r="I57" s="32"/>
      <c r="J57" s="32"/>
      <c r="K57" s="32"/>
      <c r="L57" s="32"/>
      <c r="N57" s="55"/>
    </row>
    <row r="58" spans="4:14" x14ac:dyDescent="0.2">
      <c r="E58" s="32"/>
      <c r="F58" s="32"/>
      <c r="G58" s="32"/>
      <c r="H58" s="32"/>
      <c r="I58" s="32"/>
      <c r="J58" s="32"/>
      <c r="K58" s="32"/>
      <c r="L58" s="32"/>
      <c r="N58" s="55"/>
    </row>
    <row r="59" spans="4:14" x14ac:dyDescent="0.2">
      <c r="E59" s="32"/>
      <c r="F59" s="32"/>
      <c r="G59" s="32"/>
      <c r="H59" s="32"/>
      <c r="I59" s="32"/>
      <c r="J59" s="32"/>
      <c r="K59" s="32"/>
      <c r="L59" s="32"/>
      <c r="N59" s="55"/>
    </row>
    <row r="60" spans="4:14" x14ac:dyDescent="0.2">
      <c r="E60" s="32"/>
      <c r="F60" s="32"/>
      <c r="G60" s="32"/>
      <c r="H60" s="32"/>
      <c r="I60" s="32"/>
      <c r="J60" s="32"/>
      <c r="K60" s="32"/>
      <c r="L60" s="32"/>
      <c r="N60" s="55"/>
    </row>
    <row r="61" spans="4:14" x14ac:dyDescent="0.2">
      <c r="E61" s="32"/>
      <c r="F61" s="32"/>
      <c r="G61" s="32"/>
      <c r="H61" s="32"/>
      <c r="I61" s="32"/>
      <c r="J61" s="32"/>
      <c r="K61" s="32"/>
      <c r="L61" s="32"/>
      <c r="N61" s="55"/>
    </row>
    <row r="62" spans="4:14" x14ac:dyDescent="0.2">
      <c r="E62" s="32"/>
      <c r="F62" s="32"/>
      <c r="G62" s="32"/>
      <c r="H62" s="32"/>
      <c r="I62" s="32"/>
      <c r="J62" s="32"/>
      <c r="K62" s="32"/>
      <c r="L62" s="32"/>
      <c r="N62" s="55"/>
    </row>
    <row r="63" spans="4:14" x14ac:dyDescent="0.2">
      <c r="E63" s="32"/>
      <c r="F63" s="32"/>
      <c r="G63" s="32"/>
      <c r="H63" s="32"/>
      <c r="I63" s="32"/>
      <c r="J63" s="32"/>
      <c r="K63" s="32"/>
      <c r="L63" s="32"/>
      <c r="N63" s="55"/>
    </row>
    <row r="64" spans="4:14" x14ac:dyDescent="0.2">
      <c r="E64" s="32"/>
      <c r="F64" s="32"/>
      <c r="G64" s="32"/>
      <c r="H64" s="32"/>
      <c r="I64" s="32"/>
      <c r="J64" s="32"/>
      <c r="K64" s="32"/>
      <c r="L64" s="32"/>
      <c r="N64" s="55"/>
    </row>
    <row r="65" spans="5:14" x14ac:dyDescent="0.2">
      <c r="E65" s="32"/>
      <c r="F65" s="32"/>
      <c r="G65" s="32"/>
      <c r="H65" s="32"/>
      <c r="I65" s="32"/>
      <c r="J65" s="32"/>
      <c r="K65" s="32"/>
      <c r="L65" s="32"/>
      <c r="N65" s="55"/>
    </row>
    <row r="66" spans="5:14" x14ac:dyDescent="0.2">
      <c r="E66" s="32"/>
      <c r="F66" s="32"/>
      <c r="G66" s="32"/>
      <c r="H66" s="32"/>
      <c r="I66" s="32"/>
      <c r="J66" s="32"/>
      <c r="K66" s="32"/>
      <c r="L66" s="32"/>
      <c r="N66" s="55"/>
    </row>
    <row r="67" spans="5:14" x14ac:dyDescent="0.2">
      <c r="E67" s="32"/>
      <c r="F67" s="32"/>
      <c r="G67" s="32"/>
      <c r="H67" s="32"/>
      <c r="I67" s="32"/>
      <c r="J67" s="32"/>
      <c r="K67" s="32"/>
      <c r="L67" s="32"/>
      <c r="N67" s="55"/>
    </row>
    <row r="68" spans="5:14" x14ac:dyDescent="0.2">
      <c r="E68" s="32"/>
      <c r="F68" s="32"/>
      <c r="G68" s="32"/>
      <c r="H68" s="32"/>
      <c r="I68" s="32"/>
      <c r="J68" s="32"/>
      <c r="K68" s="32"/>
      <c r="L68" s="32"/>
      <c r="N68" s="55"/>
    </row>
    <row r="69" spans="5:14" x14ac:dyDescent="0.2">
      <c r="E69" s="32"/>
      <c r="F69" s="32"/>
      <c r="G69" s="32"/>
      <c r="H69" s="32"/>
      <c r="I69" s="32"/>
      <c r="J69" s="32"/>
      <c r="K69" s="32"/>
      <c r="L69" s="32"/>
      <c r="N69" s="55"/>
    </row>
    <row r="70" spans="5:14" x14ac:dyDescent="0.2">
      <c r="E70" s="32"/>
      <c r="F70" s="32"/>
      <c r="G70" s="32"/>
      <c r="H70" s="32"/>
      <c r="I70" s="32"/>
      <c r="J70" s="32"/>
      <c r="K70" s="32"/>
      <c r="L70" s="32"/>
      <c r="N70" s="55"/>
    </row>
    <row r="71" spans="5:14" x14ac:dyDescent="0.2">
      <c r="E71" s="32"/>
      <c r="F71" s="32"/>
      <c r="G71" s="32"/>
      <c r="H71" s="32"/>
      <c r="I71" s="32"/>
      <c r="J71" s="32"/>
      <c r="K71" s="32"/>
      <c r="L71" s="32"/>
      <c r="N71" s="55"/>
    </row>
    <row r="72" spans="5:14" x14ac:dyDescent="0.2">
      <c r="E72" s="32"/>
      <c r="F72" s="32"/>
      <c r="G72" s="32"/>
      <c r="H72" s="32"/>
      <c r="I72" s="32"/>
      <c r="J72" s="32"/>
      <c r="K72" s="32"/>
      <c r="L72" s="32"/>
      <c r="N72" s="55"/>
    </row>
    <row r="73" spans="5:14" x14ac:dyDescent="0.2">
      <c r="E73" s="32"/>
      <c r="F73" s="32"/>
      <c r="G73" s="32"/>
      <c r="H73" s="32"/>
      <c r="I73" s="32"/>
      <c r="J73" s="32"/>
      <c r="K73" s="32"/>
      <c r="L73" s="32"/>
      <c r="N73" s="55"/>
    </row>
    <row r="74" spans="5:14" x14ac:dyDescent="0.2">
      <c r="E74" s="32"/>
      <c r="F74" s="32"/>
      <c r="G74" s="32"/>
      <c r="H74" s="32"/>
      <c r="I74" s="32"/>
      <c r="J74" s="32"/>
      <c r="K74" s="32"/>
      <c r="L74" s="32"/>
      <c r="N74" s="55"/>
    </row>
    <row r="75" spans="5:14" x14ac:dyDescent="0.2">
      <c r="E75" s="32"/>
      <c r="F75" s="32"/>
      <c r="G75" s="32"/>
      <c r="H75" s="32"/>
      <c r="I75" s="32"/>
      <c r="J75" s="32"/>
      <c r="K75" s="32"/>
      <c r="L75" s="32"/>
      <c r="N75" s="55"/>
    </row>
    <row r="76" spans="5:14" x14ac:dyDescent="0.2">
      <c r="E76" s="32"/>
      <c r="F76" s="32"/>
      <c r="G76" s="32"/>
      <c r="H76" s="32"/>
      <c r="I76" s="32"/>
      <c r="J76" s="32"/>
      <c r="K76" s="32"/>
      <c r="L76" s="32"/>
      <c r="N76" s="55"/>
    </row>
    <row r="77" spans="5:14" x14ac:dyDescent="0.2">
      <c r="E77" s="32"/>
      <c r="F77" s="32"/>
      <c r="G77" s="32"/>
      <c r="H77" s="32"/>
      <c r="I77" s="32"/>
      <c r="J77" s="32"/>
      <c r="K77" s="32"/>
      <c r="L77" s="32"/>
      <c r="N77" s="55"/>
    </row>
  </sheetData>
  <phoneticPr fontId="7" type="noConversion"/>
  <printOptions horizontalCentered="1" verticalCentered="1" gridLines="1" gridLinesSet="0"/>
  <pageMargins left="0.25" right="0.24" top="1" bottom="1" header="0.5" footer="0.5"/>
  <pageSetup scale="76" orientation="landscape" horizontalDpi="300" verticalDpi="300" r:id="rId1"/>
  <headerFooter alignWithMargins="0">
    <oddHeader>&amp;C&amp;"Arial,Bold Italic"&amp;12NNG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NNG MCF PRA (99)12-month</vt:lpstr>
      <vt:lpstr>NNG DTH PRA (99)12-month</vt:lpstr>
      <vt:lpstr>NNG CYTD MCF 2000</vt:lpstr>
      <vt:lpstr>NNG CYTD DTH 2000</vt:lpstr>
      <vt:lpstr>NNG MCF PRA (01)12-month</vt:lpstr>
      <vt:lpstr>NNG DTH PRA (01)12-month</vt:lpstr>
      <vt:lpstr>NNG CYTD MCF2001</vt:lpstr>
      <vt:lpstr>NNG CYTD DTH 2001</vt:lpstr>
      <vt:lpstr>NNG Corrections</vt:lpstr>
      <vt:lpstr>TW MCF PRA (99)12-Month</vt:lpstr>
      <vt:lpstr>TW DTH PRA (99)12-Month</vt:lpstr>
      <vt:lpstr>TW CYTD MCF 2000</vt:lpstr>
      <vt:lpstr>TW CYTD DTH 2000</vt:lpstr>
      <vt:lpstr>TW MCF PRA (00)12-Month</vt:lpstr>
      <vt:lpstr>TW DTH PRA (00)12-Month</vt:lpstr>
      <vt:lpstr>TW CYTD MCF 2001</vt:lpstr>
      <vt:lpstr>TW CYTD DTH 2001</vt:lpstr>
      <vt:lpstr>TW Corrections</vt:lpstr>
      <vt:lpstr>Sheet11</vt:lpstr>
      <vt:lpstr>Sheet12</vt:lpstr>
      <vt:lpstr>Sheet13</vt:lpstr>
      <vt:lpstr>Sheet14</vt:lpstr>
      <vt:lpstr>Sheet15</vt:lpstr>
      <vt:lpstr>Sheet16</vt:lpstr>
      <vt:lpstr>'NNG CYTD MCF 2000'!Print_Area</vt:lpstr>
      <vt:lpstr>'NNG DTH PRA (01)12-month'!Print_Area</vt:lpstr>
      <vt:lpstr>'NNG DTH PRA (99)12-month'!Print_Area</vt:lpstr>
      <vt:lpstr>'NNG MCF PRA (01)12-month'!Print_Area</vt:lpstr>
      <vt:lpstr>'NNG MCF PRA (99)12-month'!Print_Area</vt:lpstr>
      <vt:lpstr>'TW DTH PRA (00)12-Month'!Print_Area</vt:lpstr>
      <vt:lpstr>'TW DTH PRA (99)12-Month'!Print_Area</vt:lpstr>
      <vt:lpstr>'TW MCF PRA (00)12-Month'!Print_Area</vt:lpstr>
      <vt:lpstr>'TW MCF PRA (99)12-Month'!Print_Area</vt:lpstr>
      <vt:lpstr>'NNG Corrections'!Print_Titles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Havlíček Jan</cp:lastModifiedBy>
  <cp:lastPrinted>2002-01-24T22:03:19Z</cp:lastPrinted>
  <dcterms:created xsi:type="dcterms:W3CDTF">1996-11-20T13:26:29Z</dcterms:created>
  <dcterms:modified xsi:type="dcterms:W3CDTF">2023-09-10T12:05:27Z</dcterms:modified>
</cp:coreProperties>
</file>