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40" windowHeight="6240" tabRatio="599"/>
  </bookViews>
  <sheets>
    <sheet name="Summary Page 1" sheetId="9" r:id="rId1"/>
    <sheet name="Summary Page 2" sheetId="12" r:id="rId2"/>
    <sheet name="Rate Case Assumptions" sheetId="5" r:id="rId3"/>
    <sheet name="New Load Forecasts" sheetId="1" r:id="rId4"/>
    <sheet name="1500 Sheet" sheetId="2" r:id="rId5"/>
    <sheet name="1900 Sheet" sheetId="14" r:id="rId6"/>
    <sheet name="125 CRAC" sheetId="10" r:id="rId7"/>
    <sheet name="400 CRAC" sheetId="11" r:id="rId8"/>
    <sheet name="Current Market" sheetId="13" r:id="rId9"/>
  </sheets>
  <calcPr calcId="0"/>
</workbook>
</file>

<file path=xl/calcChain.xml><?xml version="1.0" encoding="utf-8"?>
<calcChain xmlns="http://schemas.openxmlformats.org/spreadsheetml/2006/main">
  <c r="D4" i="10" l="1"/>
  <c r="F4" i="10"/>
  <c r="H4" i="10"/>
  <c r="K4" i="10"/>
  <c r="F5" i="10"/>
  <c r="H5" i="10"/>
  <c r="I5" i="10"/>
  <c r="J5" i="10"/>
  <c r="K5" i="10"/>
  <c r="L5" i="10"/>
  <c r="E6" i="10"/>
  <c r="F6" i="10"/>
  <c r="G6" i="10"/>
  <c r="H6" i="10"/>
  <c r="J6" i="10"/>
  <c r="K6" i="10"/>
  <c r="L6" i="10"/>
  <c r="M6" i="10"/>
  <c r="N6" i="10"/>
  <c r="F8" i="10"/>
  <c r="G8" i="10"/>
  <c r="H8" i="10"/>
  <c r="I8" i="10"/>
  <c r="J8" i="10"/>
  <c r="K8" i="10"/>
  <c r="L8" i="10"/>
  <c r="F9" i="10"/>
  <c r="G9" i="10"/>
  <c r="H9" i="10"/>
  <c r="I9" i="10"/>
  <c r="J9" i="10"/>
  <c r="K9" i="10"/>
  <c r="E10" i="10"/>
  <c r="F10" i="10"/>
  <c r="G10" i="10"/>
  <c r="H10" i="10"/>
  <c r="J10" i="10"/>
  <c r="K10" i="10"/>
  <c r="L10" i="10"/>
  <c r="M10" i="10"/>
  <c r="N10" i="10"/>
  <c r="G12" i="10"/>
  <c r="I12" i="10"/>
  <c r="J12" i="10"/>
  <c r="L12" i="10"/>
  <c r="E13" i="10"/>
  <c r="F13" i="10"/>
  <c r="G13" i="10"/>
  <c r="H13" i="10"/>
  <c r="J13" i="10"/>
  <c r="K13" i="10"/>
  <c r="M13" i="10"/>
  <c r="N13" i="10"/>
  <c r="H15" i="10"/>
  <c r="K15" i="10"/>
  <c r="M15" i="10"/>
  <c r="H16" i="10"/>
  <c r="D4" i="2"/>
  <c r="F4" i="2"/>
  <c r="H4" i="2"/>
  <c r="K4" i="2"/>
  <c r="F5" i="2"/>
  <c r="H5" i="2"/>
  <c r="I5" i="2"/>
  <c r="J5" i="2"/>
  <c r="K5" i="2"/>
  <c r="L5" i="2"/>
  <c r="E6" i="2"/>
  <c r="F6" i="2"/>
  <c r="G6" i="2"/>
  <c r="H6" i="2"/>
  <c r="J6" i="2"/>
  <c r="K6" i="2"/>
  <c r="L6" i="2"/>
  <c r="F8" i="2"/>
  <c r="G8" i="2"/>
  <c r="H8" i="2"/>
  <c r="I8" i="2"/>
  <c r="J8" i="2"/>
  <c r="K8" i="2"/>
  <c r="L8" i="2"/>
  <c r="F9" i="2"/>
  <c r="G9" i="2"/>
  <c r="H9" i="2"/>
  <c r="I9" i="2"/>
  <c r="J9" i="2"/>
  <c r="K9" i="2"/>
  <c r="E10" i="2"/>
  <c r="F10" i="2"/>
  <c r="G10" i="2"/>
  <c r="H10" i="2"/>
  <c r="J10" i="2"/>
  <c r="K10" i="2"/>
  <c r="L10" i="2"/>
  <c r="G12" i="2"/>
  <c r="I12" i="2"/>
  <c r="J12" i="2"/>
  <c r="L12" i="2"/>
  <c r="E13" i="2"/>
  <c r="F13" i="2"/>
  <c r="G13" i="2"/>
  <c r="H13" i="2"/>
  <c r="J13" i="2"/>
  <c r="K13" i="2"/>
  <c r="H15" i="2"/>
  <c r="K15" i="2"/>
  <c r="H16" i="2"/>
  <c r="D4" i="14"/>
  <c r="F4" i="14"/>
  <c r="H4" i="14"/>
  <c r="K4" i="14"/>
  <c r="F5" i="14"/>
  <c r="H5" i="14"/>
  <c r="I5" i="14"/>
  <c r="J5" i="14"/>
  <c r="K5" i="14"/>
  <c r="L5" i="14"/>
  <c r="E6" i="14"/>
  <c r="F6" i="14"/>
  <c r="G6" i="14"/>
  <c r="H6" i="14"/>
  <c r="J6" i="14"/>
  <c r="K6" i="14"/>
  <c r="L6" i="14"/>
  <c r="F8" i="14"/>
  <c r="G8" i="14"/>
  <c r="H8" i="14"/>
  <c r="I8" i="14"/>
  <c r="J8" i="14"/>
  <c r="K8" i="14"/>
  <c r="L8" i="14"/>
  <c r="F9" i="14"/>
  <c r="G9" i="14"/>
  <c r="H9" i="14"/>
  <c r="I9" i="14"/>
  <c r="J9" i="14"/>
  <c r="K9" i="14"/>
  <c r="E10" i="14"/>
  <c r="F10" i="14"/>
  <c r="G10" i="14"/>
  <c r="H10" i="14"/>
  <c r="J10" i="14"/>
  <c r="K10" i="14"/>
  <c r="L10" i="14"/>
  <c r="G12" i="14"/>
  <c r="I12" i="14"/>
  <c r="J12" i="14"/>
  <c r="L12" i="14"/>
  <c r="E13" i="14"/>
  <c r="F13" i="14"/>
  <c r="G13" i="14"/>
  <c r="H13" i="14"/>
  <c r="J13" i="14"/>
  <c r="K13" i="14"/>
  <c r="H15" i="14"/>
  <c r="K15" i="14"/>
  <c r="H16" i="14"/>
  <c r="D4" i="11"/>
  <c r="F4" i="11"/>
  <c r="H4" i="11"/>
  <c r="K4" i="11"/>
  <c r="F5" i="11"/>
  <c r="H5" i="11"/>
  <c r="I5" i="11"/>
  <c r="J5" i="11"/>
  <c r="K5" i="11"/>
  <c r="L5" i="11"/>
  <c r="E6" i="11"/>
  <c r="F6" i="11"/>
  <c r="G6" i="11"/>
  <c r="H6" i="11"/>
  <c r="J6" i="11"/>
  <c r="K6" i="11"/>
  <c r="L6" i="11"/>
  <c r="M6" i="11"/>
  <c r="N6" i="11"/>
  <c r="F8" i="11"/>
  <c r="G8" i="11"/>
  <c r="H8" i="11"/>
  <c r="I8" i="11"/>
  <c r="J8" i="11"/>
  <c r="K8" i="11"/>
  <c r="L8" i="11"/>
  <c r="F9" i="11"/>
  <c r="G9" i="11"/>
  <c r="H9" i="11"/>
  <c r="I9" i="11"/>
  <c r="J9" i="11"/>
  <c r="K9" i="11"/>
  <c r="E10" i="11"/>
  <c r="F10" i="11"/>
  <c r="G10" i="11"/>
  <c r="H10" i="11"/>
  <c r="J10" i="11"/>
  <c r="K10" i="11"/>
  <c r="L10" i="11"/>
  <c r="M10" i="11"/>
  <c r="N10" i="11"/>
  <c r="G12" i="11"/>
  <c r="I12" i="11"/>
  <c r="J12" i="11"/>
  <c r="L12" i="11"/>
  <c r="E13" i="11"/>
  <c r="F13" i="11"/>
  <c r="G13" i="11"/>
  <c r="H13" i="11"/>
  <c r="J13" i="11"/>
  <c r="K13" i="11"/>
  <c r="M13" i="11"/>
  <c r="N13" i="11"/>
  <c r="H15" i="11"/>
  <c r="K15" i="11"/>
  <c r="M15" i="11"/>
  <c r="H16" i="11"/>
  <c r="D4" i="13"/>
  <c r="F4" i="13"/>
  <c r="H4" i="13"/>
  <c r="K4" i="13"/>
  <c r="F5" i="13"/>
  <c r="H5" i="13"/>
  <c r="I5" i="13"/>
  <c r="J5" i="13"/>
  <c r="K5" i="13"/>
  <c r="L5" i="13"/>
  <c r="E6" i="13"/>
  <c r="F6" i="13"/>
  <c r="G6" i="13"/>
  <c r="H6" i="13"/>
  <c r="J6" i="13"/>
  <c r="K6" i="13"/>
  <c r="L6" i="13"/>
  <c r="M6" i="13"/>
  <c r="N6" i="13"/>
  <c r="F8" i="13"/>
  <c r="G8" i="13"/>
  <c r="H8" i="13"/>
  <c r="I8" i="13"/>
  <c r="J8" i="13"/>
  <c r="K8" i="13"/>
  <c r="L8" i="13"/>
  <c r="F9" i="13"/>
  <c r="G9" i="13"/>
  <c r="H9" i="13"/>
  <c r="I9" i="13"/>
  <c r="J9" i="13"/>
  <c r="K9" i="13"/>
  <c r="E10" i="13"/>
  <c r="F10" i="13"/>
  <c r="G10" i="13"/>
  <c r="H10" i="13"/>
  <c r="J10" i="13"/>
  <c r="K10" i="13"/>
  <c r="L10" i="13"/>
  <c r="M10" i="13"/>
  <c r="N10" i="13"/>
  <c r="G12" i="13"/>
  <c r="I12" i="13"/>
  <c r="J12" i="13"/>
  <c r="L12" i="13"/>
  <c r="E13" i="13"/>
  <c r="F13" i="13"/>
  <c r="G13" i="13"/>
  <c r="H13" i="13"/>
  <c r="J13" i="13"/>
  <c r="K13" i="13"/>
  <c r="M13" i="13"/>
  <c r="N13" i="13"/>
  <c r="H15" i="13"/>
  <c r="K15" i="13"/>
  <c r="M15" i="13"/>
  <c r="H16" i="13"/>
  <c r="D4" i="1"/>
  <c r="F4" i="1"/>
  <c r="H4" i="1"/>
  <c r="K4" i="1"/>
  <c r="F5" i="1"/>
  <c r="H5" i="1"/>
  <c r="I5" i="1"/>
  <c r="J5" i="1"/>
  <c r="K5" i="1"/>
  <c r="L5" i="1"/>
  <c r="E6" i="1"/>
  <c r="F6" i="1"/>
  <c r="G6" i="1"/>
  <c r="H6" i="1"/>
  <c r="J6" i="1"/>
  <c r="K6" i="1"/>
  <c r="L6" i="1"/>
  <c r="F8" i="1"/>
  <c r="G8" i="1"/>
  <c r="H8" i="1"/>
  <c r="I8" i="1"/>
  <c r="J8" i="1"/>
  <c r="K8" i="1"/>
  <c r="L8" i="1"/>
  <c r="F9" i="1"/>
  <c r="G9" i="1"/>
  <c r="H9" i="1"/>
  <c r="I9" i="1"/>
  <c r="J9" i="1"/>
  <c r="K9" i="1"/>
  <c r="E10" i="1"/>
  <c r="F10" i="1"/>
  <c r="G10" i="1"/>
  <c r="H10" i="1"/>
  <c r="J10" i="1"/>
  <c r="K10" i="1"/>
  <c r="L10" i="1"/>
  <c r="G12" i="1"/>
  <c r="I12" i="1"/>
  <c r="J12" i="1"/>
  <c r="L12" i="1"/>
  <c r="E13" i="1"/>
  <c r="F13" i="1"/>
  <c r="G13" i="1"/>
  <c r="H13" i="1"/>
  <c r="J13" i="1"/>
  <c r="K13" i="1"/>
  <c r="H15" i="1"/>
  <c r="K15" i="1"/>
  <c r="H16" i="1"/>
  <c r="D4" i="5"/>
  <c r="F4" i="5"/>
  <c r="F5" i="5"/>
  <c r="E6" i="5"/>
  <c r="F6" i="5"/>
  <c r="F8" i="5"/>
  <c r="F9" i="5"/>
  <c r="E10" i="5"/>
  <c r="F10" i="5"/>
  <c r="E13" i="5"/>
  <c r="F13" i="5"/>
  <c r="B6" i="9"/>
  <c r="C6" i="9"/>
  <c r="D6" i="9"/>
  <c r="E6" i="9"/>
  <c r="F6" i="9"/>
  <c r="G6" i="9"/>
  <c r="H6" i="9"/>
  <c r="B10" i="9"/>
  <c r="C10" i="9"/>
  <c r="D10" i="9"/>
  <c r="E10" i="9"/>
  <c r="F10" i="9"/>
  <c r="G10" i="9"/>
  <c r="H10" i="9"/>
  <c r="B14" i="9"/>
  <c r="C14" i="9"/>
  <c r="D14" i="9"/>
  <c r="E14" i="9"/>
  <c r="F14" i="9"/>
  <c r="G14" i="9"/>
  <c r="H14" i="9"/>
  <c r="B18" i="9"/>
  <c r="C18" i="9"/>
  <c r="D18" i="9"/>
  <c r="E18" i="9"/>
  <c r="F18" i="9"/>
  <c r="G18" i="9"/>
  <c r="H18" i="9"/>
  <c r="B22" i="9"/>
  <c r="C22" i="9"/>
  <c r="D22" i="9"/>
  <c r="E22" i="9"/>
  <c r="F22" i="9"/>
  <c r="G22" i="9"/>
  <c r="H22" i="9"/>
  <c r="B26" i="9"/>
  <c r="C26" i="9"/>
  <c r="D26" i="9"/>
  <c r="E26" i="9"/>
  <c r="F26" i="9"/>
  <c r="G26" i="9"/>
  <c r="H26" i="9"/>
  <c r="B30" i="9"/>
  <c r="C30" i="9"/>
  <c r="D30" i="9"/>
  <c r="E30" i="9"/>
  <c r="F30" i="9"/>
  <c r="G30" i="9"/>
  <c r="H30" i="9"/>
  <c r="B34" i="9"/>
  <c r="C34" i="9"/>
  <c r="D34" i="9"/>
  <c r="E34" i="9"/>
  <c r="F34" i="9"/>
  <c r="G34" i="9"/>
  <c r="H34" i="9"/>
  <c r="B5" i="12"/>
  <c r="C5" i="12"/>
  <c r="D5" i="12"/>
  <c r="F5" i="12"/>
  <c r="G5" i="12"/>
  <c r="H5" i="12"/>
  <c r="B7" i="12"/>
  <c r="C7" i="12"/>
  <c r="D7" i="12"/>
  <c r="F7" i="12"/>
  <c r="G7" i="12"/>
  <c r="H7" i="12"/>
  <c r="B9" i="12"/>
  <c r="C9" i="12"/>
  <c r="D9" i="12"/>
  <c r="F9" i="12"/>
  <c r="G9" i="12"/>
  <c r="H9" i="12"/>
  <c r="B20" i="12"/>
  <c r="C20" i="12"/>
  <c r="D20" i="12"/>
  <c r="E20" i="12"/>
  <c r="F20" i="12"/>
  <c r="G20" i="12"/>
  <c r="H20" i="12"/>
  <c r="I20" i="12"/>
  <c r="B22" i="12"/>
  <c r="C22" i="12"/>
  <c r="D22" i="12"/>
  <c r="E22" i="12"/>
  <c r="F22" i="12"/>
  <c r="G22" i="12"/>
  <c r="H22" i="12"/>
  <c r="I22" i="12"/>
  <c r="B24" i="12"/>
  <c r="C24" i="12"/>
  <c r="D24" i="12"/>
  <c r="E24" i="12"/>
  <c r="F24" i="12"/>
  <c r="G24" i="12"/>
  <c r="H24" i="12"/>
  <c r="I24" i="12"/>
  <c r="F34" i="12"/>
</calcChain>
</file>

<file path=xl/sharedStrings.xml><?xml version="1.0" encoding="utf-8"?>
<sst xmlns="http://schemas.openxmlformats.org/spreadsheetml/2006/main" count="313" uniqueCount="104">
  <si>
    <t>IOU</t>
  </si>
  <si>
    <t>Load</t>
  </si>
  <si>
    <t>Exchange</t>
  </si>
  <si>
    <t>RL</t>
  </si>
  <si>
    <t>Public</t>
  </si>
  <si>
    <t>PF</t>
  </si>
  <si>
    <t>DSI</t>
  </si>
  <si>
    <t>IPTAC</t>
  </si>
  <si>
    <t>Price</t>
  </si>
  <si>
    <t>Market</t>
  </si>
  <si>
    <t>m/kwh Incr</t>
  </si>
  <si>
    <t>CRAC $</t>
  </si>
  <si>
    <t>Using Rate Case Market Estimate</t>
  </si>
  <si>
    <t>Using 42$/MWh</t>
  </si>
  <si>
    <t>Using $42 and 400 million CRAC</t>
  </si>
  <si>
    <t>Price w/CRAC</t>
  </si>
  <si>
    <t>Benefit in Millions</t>
  </si>
  <si>
    <t>Rate multiplier</t>
  </si>
  <si>
    <t>million</t>
  </si>
  <si>
    <t>Revenue Subject to CRAC:</t>
  </si>
  <si>
    <t>Benefits</t>
  </si>
  <si>
    <t>FPS I&amp;S</t>
  </si>
  <si>
    <t>How the rate case assumed loads and market forcast distributed the benefits.</t>
  </si>
  <si>
    <t>IOU Benefits</t>
  </si>
  <si>
    <t>Public Benefits</t>
  </si>
  <si>
    <t>DSI Benefits</t>
  </si>
  <si>
    <t>Total Benefits</t>
  </si>
  <si>
    <t>%</t>
  </si>
  <si>
    <t>Benefits distribution (in millions) among customer's</t>
  </si>
  <si>
    <t>Using rate case base assumptions  (See note 1.)</t>
  </si>
  <si>
    <t>Irrigation and Seasonal (I &amp; S) rate mitigation is valued at $5/MWh rather than $4/MWh</t>
  </si>
  <si>
    <t xml:space="preserve">DSI loads are 1490 instead of 1440. </t>
  </si>
  <si>
    <t xml:space="preserve">Note 1  </t>
  </si>
  <si>
    <t>I &amp; S is an FPS sale not subject to CRAC.</t>
  </si>
  <si>
    <t>The following three items apply to all scenarios above.</t>
  </si>
  <si>
    <t>Note 2</t>
  </si>
  <si>
    <t>The CRAC was not applied to the financial portion of the IOU settlement.</t>
  </si>
  <si>
    <t xml:space="preserve">Using rate case market forecast and new load forecasts </t>
  </si>
  <si>
    <t xml:space="preserve">Using $42 market forecast and new load forecasts </t>
  </si>
  <si>
    <t>Using $42 market forecast and new load forecasts with a $400 million CRAC (Note 2)</t>
  </si>
  <si>
    <t>Using $42 market forecast and new load forecasts with 1500 aMW power for IOUs &amp; no CRAC</t>
  </si>
  <si>
    <t>Note 3</t>
  </si>
  <si>
    <t>Increase CRAC by $61 million to capture net cost of change of 500 aMW from ResX to Purchase.</t>
  </si>
  <si>
    <t>Conclusions:</t>
  </si>
  <si>
    <t>The actual $ value of the benefits of the IOUs is increasing.</t>
  </si>
  <si>
    <t>total benefits is eroding from rate case assumptions.</t>
  </si>
  <si>
    <t xml:space="preserve">The share of the benefits of the IOUs as a percentage of the </t>
  </si>
  <si>
    <t>Benefit $s are the savings the customer gets assuming that the alternative cost is the market price.</t>
  </si>
  <si>
    <t>CRAC share in $</t>
  </si>
  <si>
    <t>% share of CRAC</t>
  </si>
  <si>
    <t>Using $42 and 461 million CRAC</t>
  </si>
  <si>
    <t>$125 million CRAC *1</t>
  </si>
  <si>
    <t>$400 million CRAC *2</t>
  </si>
  <si>
    <t>$/MWh</t>
  </si>
  <si>
    <t>Value - $ millions</t>
  </si>
  <si>
    <t>Increase in Value</t>
  </si>
  <si>
    <t>Exchange Value</t>
  </si>
  <si>
    <t>Settlement Value</t>
  </si>
  <si>
    <t>$ in millions</t>
  </si>
  <si>
    <t>Note 4</t>
  </si>
  <si>
    <t>900aMW of pre-subscription load is not included in the analysis.  If this load were included, the</t>
  </si>
  <si>
    <t>results would be more dramatic.</t>
  </si>
  <si>
    <t>Assumes CRAC does not trigger.</t>
  </si>
  <si>
    <t>*1  All 1900 aMW of IOU load is subject to the CRAC.</t>
  </si>
  <si>
    <t>*2  Only 1000 aMW of IOU load is subject to the CRAC.</t>
  </si>
  <si>
    <t>% of CRAC $</t>
  </si>
  <si>
    <t>Using 46 $/MWh</t>
  </si>
  <si>
    <t>Using $46 and $400 million CRAC</t>
  </si>
  <si>
    <t>Using 42 $/MWh</t>
  </si>
  <si>
    <t>Using $42 and $400 million CRAC</t>
  </si>
  <si>
    <t>Using $42 and 125 million CRAC</t>
  </si>
  <si>
    <t>*3 Uses a $42 /MWh market</t>
  </si>
  <si>
    <t>*4 Uses a $46 /MWh market</t>
  </si>
  <si>
    <t>Using $42 market forecast new load forecasts 1500 aMW IOU and a $461 million CRAC (Note 2 &amp; 3)</t>
  </si>
  <si>
    <t xml:space="preserve">Using $42 market forecast new load forecasts 1900 aMW IOU and no CRAC </t>
  </si>
  <si>
    <t xml:space="preserve">Using $42 market forecast new load forecasts 1900 aMW IOU and a $511 million CRAC </t>
  </si>
  <si>
    <t>#1</t>
  </si>
  <si>
    <t>#2</t>
  </si>
  <si>
    <t>#3</t>
  </si>
  <si>
    <t>#4</t>
  </si>
  <si>
    <t>#5</t>
  </si>
  <si>
    <t>#6</t>
  </si>
  <si>
    <t>#7</t>
  </si>
  <si>
    <t>in $</t>
  </si>
  <si>
    <t>as a %</t>
  </si>
  <si>
    <t xml:space="preserve">Public </t>
  </si>
  <si>
    <t>NOTE:</t>
  </si>
  <si>
    <t>IOU rate testimony would suggest much higher exchange benefits.</t>
  </si>
  <si>
    <t>Alternative # 1 1000 aMW real power to IOUs</t>
  </si>
  <si>
    <t>Alternative # 2 1900 aMW real power to the IOUs</t>
  </si>
  <si>
    <t>$28.1 column contains rate case load assumptions</t>
  </si>
  <si>
    <t>$42 column contains New Load Forecasts</t>
  </si>
  <si>
    <t>$28.1 contains New Load Forecasts</t>
  </si>
  <si>
    <t>Lens 1:  Impact of a higher CRAC by customer class.</t>
  </si>
  <si>
    <t>Lens 2:  With the change in market how much more value is each customer group getting?</t>
  </si>
  <si>
    <t xml:space="preserve">NOTE:  The value of shaped public load service is understated to the extent that the market value of </t>
  </si>
  <si>
    <t>shaping exceeds the PF rate charge for shaping</t>
  </si>
  <si>
    <t>42-mill market no CRAC *3</t>
  </si>
  <si>
    <t>42-mill market, $125 million CRAC *1 *3</t>
  </si>
  <si>
    <t>46-mill market no CRAC *4</t>
  </si>
  <si>
    <t>46-mill Market, $400 million CRAC *2 *4</t>
  </si>
  <si>
    <t>Public Utility rate testimony would suggest that exchange benefits should be at or near zero.</t>
  </si>
  <si>
    <t>Lens 3: Settlement Value versus Residential Exchange Benefits</t>
  </si>
  <si>
    <t xml:space="preserve">$42 column contains New Load Forecasts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</si>
</sst>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"/>
    <numFmt numFmtId="165" formatCode="0.000"/>
    <numFmt numFmtId="167" formatCode="_(&quot;$&quot;* #,##0.0_);_(&quot;$&quot;* \(#,##0.0\);_(&quot;$&quot;* &quot;-&quot;??_);_(@_)"/>
    <numFmt numFmtId="168" formatCode="_(&quot;$&quot;* #,##0_);_(&quot;$&quot;* \(#,##0\);_(&quot;$&quot;* &quot;-&quot;??_);_(@_)"/>
    <numFmt numFmtId="170" formatCode="0.0%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wrapText="1"/>
    </xf>
    <xf numFmtId="168" fontId="0" fillId="0" borderId="0" xfId="1" applyNumberFormat="1" applyFont="1"/>
    <xf numFmtId="170" fontId="0" fillId="0" borderId="0" xfId="2" applyNumberFormat="1" applyFont="1"/>
    <xf numFmtId="0" fontId="0" fillId="0" borderId="0" xfId="0" applyBorder="1"/>
    <xf numFmtId="0" fontId="0" fillId="0" borderId="0" xfId="0" applyBorder="1" applyAlignment="1">
      <alignment wrapText="1"/>
    </xf>
    <xf numFmtId="170" fontId="0" fillId="0" borderId="0" xfId="2" applyNumberFormat="1" applyFont="1" applyBorder="1"/>
    <xf numFmtId="165" fontId="0" fillId="0" borderId="0" xfId="0" applyNumberFormat="1" applyBorder="1"/>
    <xf numFmtId="2" fontId="0" fillId="0" borderId="0" xfId="0" applyNumberFormat="1" applyBorder="1"/>
    <xf numFmtId="0" fontId="0" fillId="0" borderId="0" xfId="0" applyAlignment="1">
      <alignment horizontal="center"/>
    </xf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1" fontId="0" fillId="0" borderId="0" xfId="0" applyNumberFormat="1"/>
    <xf numFmtId="9" fontId="0" fillId="0" borderId="0" xfId="2" applyFont="1"/>
    <xf numFmtId="167" fontId="0" fillId="0" borderId="0" xfId="1" applyNumberFormat="1" applyFont="1"/>
    <xf numFmtId="1" fontId="0" fillId="0" borderId="0" xfId="0" applyNumberFormat="1" applyFill="1"/>
    <xf numFmtId="1" fontId="0" fillId="0" borderId="0" xfId="2" applyNumberFormat="1" applyFont="1" applyFill="1"/>
    <xf numFmtId="9" fontId="0" fillId="0" borderId="0" xfId="2" applyNumberFormat="1" applyFont="1"/>
    <xf numFmtId="9" fontId="0" fillId="0" borderId="0" xfId="2" applyNumberFormat="1" applyFont="1" applyFill="1"/>
    <xf numFmtId="9" fontId="0" fillId="0" borderId="0" xfId="0" applyNumberFormat="1"/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tabSelected="1" topLeftCell="A36" workbookViewId="0">
      <selection activeCell="H55" sqref="H55"/>
    </sheetView>
  </sheetViews>
  <sheetFormatPr defaultRowHeight="13.2" x14ac:dyDescent="0.25"/>
  <cols>
    <col min="1" max="1" width="6.109375" customWidth="1"/>
    <col min="2" max="2" width="11" customWidth="1"/>
    <col min="3" max="3" width="7.5546875" customWidth="1"/>
    <col min="4" max="4" width="13" customWidth="1"/>
    <col min="5" max="5" width="6.44140625" customWidth="1"/>
    <col min="6" max="6" width="11.44140625" customWidth="1"/>
    <col min="7" max="7" width="6.6640625" customWidth="1"/>
  </cols>
  <sheetData>
    <row r="1" spans="1:8" ht="15.6" x14ac:dyDescent="0.3">
      <c r="A1" s="18" t="s">
        <v>28</v>
      </c>
    </row>
    <row r="2" spans="1:8" x14ac:dyDescent="0.25">
      <c r="B2" t="s">
        <v>47</v>
      </c>
    </row>
    <row r="4" spans="1:8" x14ac:dyDescent="0.25">
      <c r="B4" t="s">
        <v>29</v>
      </c>
    </row>
    <row r="5" spans="1:8" x14ac:dyDescent="0.25">
      <c r="B5" t="s">
        <v>23</v>
      </c>
      <c r="C5" s="17" t="s">
        <v>27</v>
      </c>
      <c r="D5" t="s">
        <v>24</v>
      </c>
      <c r="E5" s="17" t="s">
        <v>27</v>
      </c>
      <c r="F5" t="s">
        <v>25</v>
      </c>
      <c r="G5" s="17" t="s">
        <v>27</v>
      </c>
      <c r="H5" t="s">
        <v>26</v>
      </c>
    </row>
    <row r="6" spans="1:8" x14ac:dyDescent="0.25">
      <c r="B6" s="23">
        <f>'Rate Case Assumptions'!F6</f>
        <v>147.29899999999998</v>
      </c>
      <c r="C6" s="28">
        <f>'Rate Case Assumptions'!E6</f>
        <v>0.26465049888484898</v>
      </c>
      <c r="D6" s="23">
        <f>'Rate Case Assumptions'!F10</f>
        <v>342.71310000000005</v>
      </c>
      <c r="E6" s="28">
        <f>'Rate Case Assumptions'!E10</f>
        <v>0.61574887059228622</v>
      </c>
      <c r="F6" s="23">
        <f>'Rate Case Assumptions'!F13</f>
        <v>66.567240000000012</v>
      </c>
      <c r="G6" s="28">
        <f>'Rate Case Assumptions'!E13</f>
        <v>0.11960063052286492</v>
      </c>
      <c r="H6" s="23">
        <f>SUM(B6,D6,F6)</f>
        <v>556.57934</v>
      </c>
    </row>
    <row r="8" spans="1:8" x14ac:dyDescent="0.25">
      <c r="A8" t="s">
        <v>76</v>
      </c>
      <c r="B8" t="s">
        <v>37</v>
      </c>
    </row>
    <row r="9" spans="1:8" x14ac:dyDescent="0.25">
      <c r="B9" t="s">
        <v>23</v>
      </c>
      <c r="C9" s="17" t="s">
        <v>27</v>
      </c>
      <c r="D9" t="s">
        <v>24</v>
      </c>
      <c r="E9" s="17" t="s">
        <v>27</v>
      </c>
      <c r="F9" t="s">
        <v>25</v>
      </c>
      <c r="G9" s="17" t="s">
        <v>27</v>
      </c>
      <c r="H9" t="s">
        <v>26</v>
      </c>
    </row>
    <row r="10" spans="1:8" x14ac:dyDescent="0.25">
      <c r="B10" s="26">
        <f>'New Load Forecasts'!F6</f>
        <v>147.29899999999998</v>
      </c>
      <c r="C10" s="29">
        <f>'New Load Forecasts'!E6</f>
        <v>0.22276196955220939</v>
      </c>
      <c r="D10" s="26">
        <f>'New Load Forecasts'!F10</f>
        <v>447.37320000000005</v>
      </c>
      <c r="E10" s="29">
        <f>'New Load Forecasts'!E10</f>
        <v>0.67656762881536536</v>
      </c>
      <c r="F10" s="27">
        <f>'New Load Forecasts'!F13</f>
        <v>66.567240000000012</v>
      </c>
      <c r="G10" s="29">
        <f>'New Load Forecasts'!E13</f>
        <v>0.10067040163242534</v>
      </c>
      <c r="H10" s="26">
        <f>SUM(B10,D10,F10)</f>
        <v>661.23943999999995</v>
      </c>
    </row>
    <row r="12" spans="1:8" x14ac:dyDescent="0.25">
      <c r="A12" t="s">
        <v>77</v>
      </c>
      <c r="B12" t="s">
        <v>38</v>
      </c>
    </row>
    <row r="13" spans="1:8" x14ac:dyDescent="0.25">
      <c r="A13" s="21"/>
      <c r="B13" t="s">
        <v>23</v>
      </c>
      <c r="C13" s="17" t="s">
        <v>27</v>
      </c>
      <c r="D13" t="s">
        <v>24</v>
      </c>
      <c r="E13" s="17" t="s">
        <v>27</v>
      </c>
      <c r="F13" t="s">
        <v>25</v>
      </c>
      <c r="G13" s="17" t="s">
        <v>27</v>
      </c>
      <c r="H13" t="s">
        <v>26</v>
      </c>
    </row>
    <row r="14" spans="1:8" x14ac:dyDescent="0.25">
      <c r="B14" s="23">
        <f>'New Load Forecasts'!H6</f>
        <v>269.06299999999999</v>
      </c>
      <c r="C14" s="28">
        <f>'New Load Forecasts'!G6</f>
        <v>0.16223405121271406</v>
      </c>
      <c r="D14" s="23">
        <f>'New Load Forecasts'!H10</f>
        <v>1141.4280000000001</v>
      </c>
      <c r="E14" s="28">
        <f>'New Load Forecasts'!G10</f>
        <v>0.68823468335529525</v>
      </c>
      <c r="F14" s="23">
        <f>'New Load Forecasts'!H13</f>
        <v>247.9956</v>
      </c>
      <c r="G14" s="28">
        <f>'New Load Forecasts'!G13</f>
        <v>0.14953126543199083</v>
      </c>
      <c r="H14" s="23">
        <f>SUM(B14,D14,F14)</f>
        <v>1658.4866</v>
      </c>
    </row>
    <row r="16" spans="1:8" x14ac:dyDescent="0.25">
      <c r="A16" t="s">
        <v>78</v>
      </c>
      <c r="B16" t="s">
        <v>39</v>
      </c>
    </row>
    <row r="17" spans="1:8" x14ac:dyDescent="0.25">
      <c r="B17" t="s">
        <v>23</v>
      </c>
      <c r="C17" s="17" t="s">
        <v>27</v>
      </c>
      <c r="D17" t="s">
        <v>24</v>
      </c>
      <c r="E17" s="17" t="s">
        <v>27</v>
      </c>
      <c r="F17" t="s">
        <v>25</v>
      </c>
      <c r="G17" s="17" t="s">
        <v>27</v>
      </c>
      <c r="H17" t="s">
        <v>26</v>
      </c>
    </row>
    <row r="18" spans="1:8" x14ac:dyDescent="0.25">
      <c r="B18" s="23">
        <f>'New Load Forecasts'!K6</f>
        <v>222.37219999999999</v>
      </c>
      <c r="C18" s="28">
        <f>'New Load Forecasts'!J6</f>
        <v>0.17532389276637994</v>
      </c>
      <c r="D18" s="23">
        <f>'New Load Forecasts'!K10</f>
        <v>881.12679000000014</v>
      </c>
      <c r="E18" s="28">
        <f>'New Load Forecasts'!J10</f>
        <v>0.69470274991003644</v>
      </c>
      <c r="F18" s="23">
        <f>'New Load Forecasts'!K13</f>
        <v>164.85181199999997</v>
      </c>
      <c r="G18" s="28">
        <f>'New Load Forecasts'!J13</f>
        <v>0.1299733573235837</v>
      </c>
      <c r="H18" s="23">
        <f>SUM(B18,D18,F18)</f>
        <v>1268.3508019999999</v>
      </c>
    </row>
    <row r="20" spans="1:8" x14ac:dyDescent="0.25">
      <c r="A20" t="s">
        <v>79</v>
      </c>
      <c r="B20" t="s">
        <v>40</v>
      </c>
    </row>
    <row r="21" spans="1:8" x14ac:dyDescent="0.25">
      <c r="B21" t="s">
        <v>23</v>
      </c>
      <c r="C21" s="17" t="s">
        <v>27</v>
      </c>
      <c r="D21" t="s">
        <v>24</v>
      </c>
      <c r="E21" s="17" t="s">
        <v>27</v>
      </c>
      <c r="F21" t="s">
        <v>25</v>
      </c>
      <c r="G21" s="17" t="s">
        <v>27</v>
      </c>
      <c r="H21" t="s">
        <v>26</v>
      </c>
    </row>
    <row r="22" spans="1:8" x14ac:dyDescent="0.25">
      <c r="B22" s="23">
        <f>'1500 Sheet'!H6</f>
        <v>329.94499999999999</v>
      </c>
      <c r="C22" s="28">
        <f>'1500 Sheet'!G6</f>
        <v>0.19189893313161588</v>
      </c>
      <c r="D22" s="23">
        <f>'1500 Sheet'!H10</f>
        <v>1141.4280000000001</v>
      </c>
      <c r="E22" s="28">
        <f>'1500 Sheet'!G10</f>
        <v>0.66386463030673015</v>
      </c>
      <c r="F22" s="23">
        <f>'1500 Sheet'!H13</f>
        <v>247.9956</v>
      </c>
      <c r="G22" s="28">
        <f>'1500 Sheet'!G13</f>
        <v>0.14423643656165408</v>
      </c>
      <c r="H22" s="23">
        <f>SUM(B22,D22,F22)</f>
        <v>1719.3686</v>
      </c>
    </row>
    <row r="24" spans="1:8" x14ac:dyDescent="0.25">
      <c r="A24" t="s">
        <v>80</v>
      </c>
      <c r="B24" t="s">
        <v>73</v>
      </c>
    </row>
    <row r="25" spans="1:8" x14ac:dyDescent="0.25">
      <c r="B25" t="s">
        <v>23</v>
      </c>
      <c r="C25" s="17" t="s">
        <v>27</v>
      </c>
      <c r="D25" t="s">
        <v>24</v>
      </c>
      <c r="E25" s="17" t="s">
        <v>27</v>
      </c>
      <c r="F25" t="s">
        <v>25</v>
      </c>
      <c r="G25" s="17" t="s">
        <v>27</v>
      </c>
      <c r="H25" t="s">
        <v>26</v>
      </c>
    </row>
    <row r="26" spans="1:8" x14ac:dyDescent="0.25">
      <c r="A26" s="21"/>
      <c r="B26" s="26">
        <f>'1500 Sheet'!K6</f>
        <v>253.733</v>
      </c>
      <c r="C26" s="29">
        <f>'1500 Sheet'!J6</f>
        <v>0.19987650262728027</v>
      </c>
      <c r="D26" s="26">
        <f>'1500 Sheet'!K10</f>
        <v>858.17340000000002</v>
      </c>
      <c r="E26" s="29">
        <f>'1500 Sheet'!J10</f>
        <v>0.67602045394080412</v>
      </c>
      <c r="F26" s="26">
        <f>'1500 Sheet'!K13</f>
        <v>157.54246800000001</v>
      </c>
      <c r="G26" s="29">
        <f>'1500 Sheet'!J13</f>
        <v>0.12410304343191551</v>
      </c>
      <c r="H26" s="26">
        <f>SUM(B26,D26,F26)</f>
        <v>1269.4488680000002</v>
      </c>
    </row>
    <row r="27" spans="1:8" x14ac:dyDescent="0.25">
      <c r="A27" s="21"/>
      <c r="B27" s="26"/>
      <c r="C27" s="29"/>
      <c r="D27" s="26"/>
      <c r="E27" s="29"/>
      <c r="F27" s="26"/>
      <c r="G27" s="29"/>
      <c r="H27" s="26"/>
    </row>
    <row r="28" spans="1:8" x14ac:dyDescent="0.25">
      <c r="A28" t="s">
        <v>81</v>
      </c>
      <c r="B28" t="s">
        <v>74</v>
      </c>
    </row>
    <row r="29" spans="1:8" x14ac:dyDescent="0.25">
      <c r="B29" t="s">
        <v>23</v>
      </c>
      <c r="C29" s="17" t="s">
        <v>27</v>
      </c>
      <c r="D29" t="s">
        <v>24</v>
      </c>
      <c r="E29" s="17" t="s">
        <v>27</v>
      </c>
      <c r="F29" t="s">
        <v>25</v>
      </c>
      <c r="G29" s="17" t="s">
        <v>27</v>
      </c>
      <c r="H29" t="s">
        <v>26</v>
      </c>
    </row>
    <row r="30" spans="1:8" x14ac:dyDescent="0.25">
      <c r="A30" s="21"/>
      <c r="B30" s="26">
        <f>'1900 Sheet'!H6</f>
        <v>378.65100000000001</v>
      </c>
      <c r="C30" s="29">
        <f>'1900 Sheet'!G6</f>
        <v>0.21416008125449004</v>
      </c>
      <c r="D30" s="26">
        <f>'1900 Sheet'!H10</f>
        <v>1141.4280000000001</v>
      </c>
      <c r="E30" s="29">
        <f>'1900 Sheet'!G10</f>
        <v>0.64557683256125054</v>
      </c>
      <c r="F30" s="26">
        <f>'1900 Sheet'!H13</f>
        <v>247.9956</v>
      </c>
      <c r="G30" s="29">
        <f>'1900 Sheet'!G13</f>
        <v>0.14026308618425939</v>
      </c>
      <c r="H30" s="26">
        <f>SUM(B30,D30,F30)</f>
        <v>1768.0746000000001</v>
      </c>
    </row>
    <row r="31" spans="1:8" x14ac:dyDescent="0.25">
      <c r="G31" s="30"/>
    </row>
    <row r="32" spans="1:8" x14ac:dyDescent="0.25">
      <c r="A32" t="s">
        <v>82</v>
      </c>
      <c r="B32" t="s">
        <v>75</v>
      </c>
    </row>
    <row r="33" spans="1:8" x14ac:dyDescent="0.25">
      <c r="B33" t="s">
        <v>23</v>
      </c>
      <c r="C33" s="17" t="s">
        <v>27</v>
      </c>
      <c r="D33" t="s">
        <v>24</v>
      </c>
      <c r="E33" s="17" t="s">
        <v>27</v>
      </c>
      <c r="F33" t="s">
        <v>25</v>
      </c>
      <c r="G33" s="17" t="s">
        <v>27</v>
      </c>
      <c r="H33" t="s">
        <v>26</v>
      </c>
    </row>
    <row r="34" spans="1:8" x14ac:dyDescent="0.25">
      <c r="A34" s="21"/>
      <c r="B34" s="26">
        <f>'1900 Sheet'!K6</f>
        <v>276.29040000000003</v>
      </c>
      <c r="C34" s="29">
        <f>'1900 Sheet'!J6</f>
        <v>0.21764895652368935</v>
      </c>
      <c r="D34" s="26">
        <f>'1900 Sheet'!K10</f>
        <v>841.08045000000016</v>
      </c>
      <c r="E34" s="29">
        <f>'1900 Sheet'!J10</f>
        <v>0.66256475901795742</v>
      </c>
      <c r="F34" s="26">
        <f>'1900 Sheet'!K13</f>
        <v>152.06045999999998</v>
      </c>
      <c r="G34" s="29">
        <f>'1900 Sheet'!J13</f>
        <v>0.11978628445835321</v>
      </c>
      <c r="H34" s="26">
        <f>SUM(B34,D34,F34)</f>
        <v>1269.4313100000002</v>
      </c>
    </row>
    <row r="35" spans="1:8" x14ac:dyDescent="0.25">
      <c r="G35" s="30"/>
    </row>
    <row r="36" spans="1:8" x14ac:dyDescent="0.25">
      <c r="A36" t="s">
        <v>32</v>
      </c>
      <c r="B36" t="s">
        <v>34</v>
      </c>
    </row>
    <row r="37" spans="1:8" x14ac:dyDescent="0.25">
      <c r="B37" t="s">
        <v>31</v>
      </c>
    </row>
    <row r="38" spans="1:8" x14ac:dyDescent="0.25">
      <c r="B38" t="s">
        <v>30</v>
      </c>
    </row>
    <row r="39" spans="1:8" x14ac:dyDescent="0.25">
      <c r="B39" t="s">
        <v>33</v>
      </c>
    </row>
    <row r="41" spans="1:8" x14ac:dyDescent="0.25">
      <c r="A41" t="s">
        <v>35</v>
      </c>
      <c r="B41" t="s">
        <v>36</v>
      </c>
    </row>
    <row r="43" spans="1:8" x14ac:dyDescent="0.25">
      <c r="A43" t="s">
        <v>41</v>
      </c>
      <c r="B43" t="s">
        <v>42</v>
      </c>
    </row>
    <row r="45" spans="1:8" x14ac:dyDescent="0.25">
      <c r="A45" t="s">
        <v>59</v>
      </c>
      <c r="B45" t="s">
        <v>60</v>
      </c>
    </row>
    <row r="46" spans="1:8" x14ac:dyDescent="0.25">
      <c r="B46" t="s">
        <v>61</v>
      </c>
    </row>
    <row r="48" spans="1:8" s="21" customFormat="1" x14ac:dyDescent="0.25">
      <c r="A48" s="20" t="s">
        <v>43</v>
      </c>
      <c r="B48" s="20"/>
      <c r="C48" s="20"/>
      <c r="D48" s="20"/>
      <c r="E48" s="20"/>
      <c r="F48" s="20"/>
      <c r="G48" s="20"/>
      <c r="H48" s="20"/>
    </row>
    <row r="49" spans="1:8" s="21" customFormat="1" x14ac:dyDescent="0.25">
      <c r="A49" s="22">
        <v>1</v>
      </c>
      <c r="B49" s="20" t="s">
        <v>46</v>
      </c>
      <c r="C49" s="20"/>
      <c r="D49" s="20"/>
      <c r="E49" s="20"/>
      <c r="F49" s="20"/>
      <c r="G49" s="20"/>
      <c r="H49" s="20"/>
    </row>
    <row r="50" spans="1:8" s="21" customFormat="1" x14ac:dyDescent="0.25">
      <c r="A50" s="22"/>
      <c r="B50" s="20" t="s">
        <v>45</v>
      </c>
      <c r="C50" s="20"/>
      <c r="D50" s="20"/>
      <c r="E50" s="20"/>
      <c r="F50" s="20"/>
      <c r="G50" s="20"/>
      <c r="H50" s="20"/>
    </row>
    <row r="51" spans="1:8" s="21" customFormat="1" x14ac:dyDescent="0.25">
      <c r="A51" s="22">
        <v>2</v>
      </c>
      <c r="B51" s="20" t="s">
        <v>44</v>
      </c>
    </row>
    <row r="52" spans="1:8" s="21" customFormat="1" x14ac:dyDescent="0.25"/>
  </sheetData>
  <pageMargins left="0.75" right="0.75" top="1" bottom="1" header="0.5" footer="0.5"/>
  <pageSetup scale="96" orientation="portrait" horizontalDpi="0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topLeftCell="A20" workbookViewId="0">
      <selection activeCell="D10" sqref="D10"/>
    </sheetView>
  </sheetViews>
  <sheetFormatPr defaultRowHeight="13.2" x14ac:dyDescent="0.25"/>
  <cols>
    <col min="2" max="2" width="6.88671875" customWidth="1"/>
    <col min="3" max="3" width="13.109375" customWidth="1"/>
    <col min="4" max="4" width="12.5546875" customWidth="1"/>
    <col min="5" max="5" width="12.109375" customWidth="1"/>
    <col min="8" max="8" width="13.44140625" customWidth="1"/>
    <col min="9" max="9" width="10.44140625" customWidth="1"/>
  </cols>
  <sheetData>
    <row r="1" spans="1:8" x14ac:dyDescent="0.25">
      <c r="A1" s="20" t="s">
        <v>93</v>
      </c>
    </row>
    <row r="3" spans="1:8" x14ac:dyDescent="0.25">
      <c r="C3" t="s">
        <v>51</v>
      </c>
      <c r="F3" t="s">
        <v>52</v>
      </c>
    </row>
    <row r="4" spans="1:8" x14ac:dyDescent="0.25">
      <c r="B4" t="s">
        <v>53</v>
      </c>
      <c r="C4" t="s">
        <v>11</v>
      </c>
      <c r="D4" t="s">
        <v>65</v>
      </c>
      <c r="F4" t="s">
        <v>53</v>
      </c>
      <c r="G4" t="s">
        <v>11</v>
      </c>
      <c r="H4" t="s">
        <v>65</v>
      </c>
    </row>
    <row r="5" spans="1:8" x14ac:dyDescent="0.25">
      <c r="A5" t="s">
        <v>0</v>
      </c>
      <c r="B5" s="25">
        <f>'125 CRAC'!L6</f>
        <v>1.5</v>
      </c>
      <c r="C5" s="23">
        <f>'125 CRAC'!M6</f>
        <v>-24.96599999999998</v>
      </c>
      <c r="D5" s="24">
        <f>'125 CRAC'!N6</f>
        <v>0.20511713267839785</v>
      </c>
      <c r="E5" s="19"/>
      <c r="F5" s="25">
        <f>'400 CRAC'!L6</f>
        <v>2.805263157894736</v>
      </c>
      <c r="G5" s="23">
        <f>'400 CRAC'!M6</f>
        <v>-46.690799999999996</v>
      </c>
      <c r="H5" s="24">
        <f>'400 CRAC'!N6</f>
        <v>0.11967832800618823</v>
      </c>
    </row>
    <row r="6" spans="1:8" x14ac:dyDescent="0.25">
      <c r="B6" s="25"/>
      <c r="C6" s="23"/>
      <c r="D6" s="24"/>
      <c r="F6" s="25"/>
      <c r="G6" s="23"/>
      <c r="H6" s="24"/>
    </row>
    <row r="7" spans="1:8" x14ac:dyDescent="0.25">
      <c r="A7" t="s">
        <v>4</v>
      </c>
      <c r="B7" s="25">
        <f>'125 CRAC'!L10</f>
        <v>1.47</v>
      </c>
      <c r="C7" s="23">
        <f>'125 CRAC'!M10</f>
        <v>-73.255499999999984</v>
      </c>
      <c r="D7" s="24">
        <f>'125 CRAC'!N10</f>
        <v>0.60185684983266774</v>
      </c>
      <c r="E7" s="19"/>
      <c r="F7" s="25">
        <f>'400 CRAC'!L10</f>
        <v>5.21</v>
      </c>
      <c r="G7" s="23">
        <f>'400 CRAC'!M10</f>
        <v>-260.30120999999997</v>
      </c>
      <c r="H7" s="24">
        <f>'400 CRAC'!N10</f>
        <v>0.66720667863449934</v>
      </c>
    </row>
    <row r="8" spans="1:8" x14ac:dyDescent="0.25">
      <c r="B8" s="25"/>
      <c r="C8" s="23"/>
      <c r="D8" s="24"/>
      <c r="F8" s="25"/>
      <c r="G8" s="23"/>
      <c r="H8" s="24"/>
    </row>
    <row r="9" spans="1:8" x14ac:dyDescent="0.25">
      <c r="A9" t="s">
        <v>6</v>
      </c>
      <c r="B9" s="25">
        <f>'125 CRAC'!L12</f>
        <v>1.8000000000000007</v>
      </c>
      <c r="C9" s="23">
        <f>'125 CRAC'!M13</f>
        <v>-23.494319999999988</v>
      </c>
      <c r="D9" s="24">
        <f>'125 CRAC'!N13</f>
        <v>0.19302601748893444</v>
      </c>
      <c r="E9" s="19"/>
      <c r="F9" s="25">
        <f>'400 CRAC'!L12</f>
        <v>6.370000000000001</v>
      </c>
      <c r="G9" s="23">
        <f>'400 CRAC'!M13</f>
        <v>-83.143788000000029</v>
      </c>
      <c r="H9" s="24">
        <f>'400 CRAC'!N13</f>
        <v>0.21311499335931236</v>
      </c>
    </row>
    <row r="14" spans="1:8" x14ac:dyDescent="0.25">
      <c r="A14" s="20" t="s">
        <v>94</v>
      </c>
    </row>
    <row r="15" spans="1:8" x14ac:dyDescent="0.25">
      <c r="B15" t="s">
        <v>88</v>
      </c>
      <c r="F15" t="s">
        <v>89</v>
      </c>
    </row>
    <row r="16" spans="1:8" x14ac:dyDescent="0.25">
      <c r="B16" t="s">
        <v>90</v>
      </c>
      <c r="F16" t="s">
        <v>92</v>
      </c>
    </row>
    <row r="17" spans="1:9" x14ac:dyDescent="0.25">
      <c r="B17" t="s">
        <v>91</v>
      </c>
      <c r="F17" t="s">
        <v>103</v>
      </c>
    </row>
    <row r="18" spans="1:9" x14ac:dyDescent="0.25">
      <c r="B18" t="s">
        <v>54</v>
      </c>
      <c r="D18" t="s">
        <v>55</v>
      </c>
      <c r="F18" t="s">
        <v>54</v>
      </c>
      <c r="H18" t="s">
        <v>55</v>
      </c>
    </row>
    <row r="19" spans="1:9" x14ac:dyDescent="0.25">
      <c r="B19" s="33">
        <v>28.1</v>
      </c>
      <c r="C19" s="34">
        <v>42</v>
      </c>
      <c r="D19" s="17" t="s">
        <v>83</v>
      </c>
      <c r="E19" s="17" t="s">
        <v>84</v>
      </c>
      <c r="F19" s="33">
        <v>28.1</v>
      </c>
      <c r="G19" s="34">
        <v>42</v>
      </c>
      <c r="H19" s="17" t="s">
        <v>83</v>
      </c>
      <c r="I19" s="17" t="s">
        <v>84</v>
      </c>
    </row>
    <row r="20" spans="1:9" x14ac:dyDescent="0.25">
      <c r="A20" t="s">
        <v>0</v>
      </c>
      <c r="B20" s="31">
        <f>'Rate Case Assumptions'!F6</f>
        <v>147.29899999999998</v>
      </c>
      <c r="C20" s="31">
        <f>'New Load Forecasts'!H6</f>
        <v>269.06299999999999</v>
      </c>
      <c r="D20" s="31">
        <f>C20-B20</f>
        <v>121.76400000000001</v>
      </c>
      <c r="E20" s="32">
        <f>D20/B20</f>
        <v>0.82664512318481476</v>
      </c>
      <c r="F20" s="31">
        <f>'New Load Forecasts'!F6</f>
        <v>147.29899999999998</v>
      </c>
      <c r="G20" s="31">
        <f>'1900 Sheet'!H6</f>
        <v>378.65100000000001</v>
      </c>
      <c r="H20" s="31">
        <f>G20-F20</f>
        <v>231.35200000000003</v>
      </c>
      <c r="I20" s="32">
        <f>H20/F20</f>
        <v>1.5706284496160874</v>
      </c>
    </row>
    <row r="21" spans="1:9" x14ac:dyDescent="0.25">
      <c r="B21" s="31"/>
      <c r="C21" s="31"/>
      <c r="D21" s="31"/>
      <c r="E21" s="17"/>
      <c r="F21" s="31"/>
      <c r="G21" s="31"/>
      <c r="H21" s="17"/>
      <c r="I21" s="17"/>
    </row>
    <row r="22" spans="1:9" x14ac:dyDescent="0.25">
      <c r="A22" t="s">
        <v>85</v>
      </c>
      <c r="B22" s="31">
        <f>'Rate Case Assumptions'!F10</f>
        <v>342.71310000000005</v>
      </c>
      <c r="C22" s="31">
        <f>'New Load Forecasts'!H10</f>
        <v>1141.4280000000001</v>
      </c>
      <c r="D22" s="31">
        <f>C22-B22</f>
        <v>798.71490000000006</v>
      </c>
      <c r="E22" s="32">
        <f>D22/B22</f>
        <v>2.3305642533069202</v>
      </c>
      <c r="F22" s="31">
        <f>'New Load Forecasts'!F10</f>
        <v>447.37320000000005</v>
      </c>
      <c r="G22" s="31">
        <f>'1900 Sheet'!H10</f>
        <v>1141.4280000000001</v>
      </c>
      <c r="H22" s="31">
        <f>G22-F22</f>
        <v>694.05480000000011</v>
      </c>
      <c r="I22" s="32">
        <f>H22/F22</f>
        <v>1.5514000391619347</v>
      </c>
    </row>
    <row r="23" spans="1:9" x14ac:dyDescent="0.25">
      <c r="B23" s="31"/>
      <c r="C23" s="31"/>
      <c r="D23" s="31"/>
      <c r="E23" s="17"/>
      <c r="F23" s="31"/>
      <c r="G23" s="31"/>
      <c r="H23" s="17"/>
      <c r="I23" s="17"/>
    </row>
    <row r="24" spans="1:9" x14ac:dyDescent="0.25">
      <c r="A24" t="s">
        <v>6</v>
      </c>
      <c r="B24" s="31">
        <f>'Rate Case Assumptions'!F13</f>
        <v>66.567240000000012</v>
      </c>
      <c r="C24" s="31">
        <f>'New Load Forecasts'!H13</f>
        <v>247.9956</v>
      </c>
      <c r="D24" s="31">
        <f>C24-B24</f>
        <v>181.42836</v>
      </c>
      <c r="E24" s="32">
        <f>D24/B24</f>
        <v>2.725490196078431</v>
      </c>
      <c r="F24" s="31">
        <f>'New Load Forecasts'!F13</f>
        <v>66.567240000000012</v>
      </c>
      <c r="G24" s="31">
        <f>'1900 Sheet'!H13</f>
        <v>247.9956</v>
      </c>
      <c r="H24" s="31">
        <f>G24-F24</f>
        <v>181.42836</v>
      </c>
      <c r="I24" s="32">
        <f>H24/F24</f>
        <v>2.725490196078431</v>
      </c>
    </row>
    <row r="25" spans="1:9" x14ac:dyDescent="0.25">
      <c r="A25" t="s">
        <v>95</v>
      </c>
      <c r="B25" s="31"/>
      <c r="C25" s="31"/>
      <c r="D25" s="31"/>
      <c r="E25" s="32"/>
      <c r="F25" s="31"/>
      <c r="G25" s="31"/>
      <c r="H25" s="31"/>
      <c r="I25" s="32"/>
    </row>
    <row r="26" spans="1:9" x14ac:dyDescent="0.25">
      <c r="A26" t="s">
        <v>96</v>
      </c>
    </row>
    <row r="27" spans="1:9" x14ac:dyDescent="0.25">
      <c r="A27" t="s">
        <v>62</v>
      </c>
    </row>
    <row r="30" spans="1:9" x14ac:dyDescent="0.25">
      <c r="A30" s="20" t="s">
        <v>102</v>
      </c>
    </row>
    <row r="32" spans="1:9" x14ac:dyDescent="0.25">
      <c r="D32" t="s">
        <v>56</v>
      </c>
      <c r="F32" t="s">
        <v>57</v>
      </c>
    </row>
    <row r="33" spans="1:6" x14ac:dyDescent="0.25">
      <c r="D33" t="s">
        <v>58</v>
      </c>
      <c r="F33" t="s">
        <v>58</v>
      </c>
    </row>
    <row r="34" spans="1:6" x14ac:dyDescent="0.25">
      <c r="A34" t="s">
        <v>97</v>
      </c>
      <c r="D34">
        <v>169</v>
      </c>
      <c r="F34" s="23">
        <f>'New Load Forecasts'!H6</f>
        <v>269.06299999999999</v>
      </c>
    </row>
    <row r="36" spans="1:6" x14ac:dyDescent="0.25">
      <c r="A36" t="s">
        <v>98</v>
      </c>
      <c r="D36">
        <v>102</v>
      </c>
      <c r="F36">
        <v>246</v>
      </c>
    </row>
    <row r="38" spans="1:6" x14ac:dyDescent="0.25">
      <c r="A38" t="s">
        <v>99</v>
      </c>
      <c r="D38">
        <v>172</v>
      </c>
      <c r="F38">
        <v>304</v>
      </c>
    </row>
    <row r="40" spans="1:6" x14ac:dyDescent="0.25">
      <c r="A40" t="s">
        <v>100</v>
      </c>
      <c r="D40">
        <v>40</v>
      </c>
      <c r="F40">
        <v>261</v>
      </c>
    </row>
    <row r="42" spans="1:6" x14ac:dyDescent="0.25">
      <c r="A42" t="s">
        <v>86</v>
      </c>
      <c r="B42" t="s">
        <v>101</v>
      </c>
    </row>
    <row r="43" spans="1:6" x14ac:dyDescent="0.25">
      <c r="B43" t="s">
        <v>87</v>
      </c>
    </row>
    <row r="44" spans="1:6" x14ac:dyDescent="0.25">
      <c r="A44" t="s">
        <v>63</v>
      </c>
    </row>
    <row r="45" spans="1:6" x14ac:dyDescent="0.25">
      <c r="A45" t="s">
        <v>64</v>
      </c>
    </row>
    <row r="46" spans="1:6" x14ac:dyDescent="0.25">
      <c r="A46" t="s">
        <v>71</v>
      </c>
    </row>
    <row r="47" spans="1:6" x14ac:dyDescent="0.25">
      <c r="A47" t="s">
        <v>72</v>
      </c>
    </row>
  </sheetData>
  <pageMargins left="0.75" right="0.75" top="1" bottom="1" header="0.5" footer="0.5"/>
  <pageSetup scale="94" orientation="portrait" horizontalDpi="0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D10" sqref="D10"/>
    </sheetView>
  </sheetViews>
  <sheetFormatPr defaultRowHeight="13.2" x14ac:dyDescent="0.25"/>
  <cols>
    <col min="3" max="3" width="6.33203125" customWidth="1"/>
    <col min="4" max="4" width="10.5546875" customWidth="1"/>
    <col min="7" max="7" width="7.6640625" customWidth="1"/>
    <col min="8" max="8" width="10.33203125" customWidth="1"/>
    <col min="9" max="9" width="12.6640625" customWidth="1"/>
  </cols>
  <sheetData>
    <row r="1" spans="1:12" x14ac:dyDescent="0.25">
      <c r="A1" t="s">
        <v>22</v>
      </c>
    </row>
    <row r="2" spans="1:12" s="9" customFormat="1" ht="26.4" x14ac:dyDescent="0.25">
      <c r="C2" s="9" t="s">
        <v>1</v>
      </c>
      <c r="D2" s="9" t="s">
        <v>8</v>
      </c>
      <c r="E2" s="9" t="s">
        <v>9</v>
      </c>
      <c r="F2" s="9" t="s">
        <v>16</v>
      </c>
      <c r="G2" s="13"/>
      <c r="H2" s="13"/>
      <c r="I2" s="13"/>
      <c r="J2" s="13"/>
      <c r="K2" s="13"/>
      <c r="L2" s="13"/>
    </row>
    <row r="3" spans="1:12" x14ac:dyDescent="0.25">
      <c r="A3" t="s">
        <v>0</v>
      </c>
      <c r="G3" s="12"/>
      <c r="H3" s="12"/>
      <c r="I3" s="12"/>
      <c r="J3" s="12"/>
      <c r="K3" s="12"/>
      <c r="L3" s="12"/>
    </row>
    <row r="4" spans="1:12" x14ac:dyDescent="0.25">
      <c r="B4" t="s">
        <v>2</v>
      </c>
      <c r="C4">
        <v>900</v>
      </c>
      <c r="D4">
        <f>(28.1-19.25)</f>
        <v>8.8500000000000014</v>
      </c>
      <c r="F4" s="2">
        <f>ROUND(C4*D4*8760/1000000,3)</f>
        <v>69.772999999999996</v>
      </c>
      <c r="G4" s="12"/>
      <c r="H4" s="12"/>
      <c r="I4" s="12"/>
      <c r="J4" s="12"/>
      <c r="K4" s="12"/>
      <c r="L4" s="12"/>
    </row>
    <row r="5" spans="1:12" x14ac:dyDescent="0.25">
      <c r="B5" t="s">
        <v>3</v>
      </c>
      <c r="C5">
        <v>1000</v>
      </c>
      <c r="D5">
        <v>19.25</v>
      </c>
      <c r="E5">
        <v>28.1</v>
      </c>
      <c r="F5" s="2">
        <f>ROUND((E5-D5)*C5*8760/1000000,3)</f>
        <v>77.525999999999996</v>
      </c>
      <c r="G5" s="12"/>
      <c r="H5" s="12"/>
      <c r="I5" s="12"/>
      <c r="J5" s="12"/>
      <c r="K5" s="12"/>
      <c r="L5" s="12"/>
    </row>
    <row r="6" spans="1:12" ht="13.8" thickBot="1" x14ac:dyDescent="0.3">
      <c r="E6" s="11">
        <f>F6/(F$6+F$10+F$13)</f>
        <v>0.26465049888484898</v>
      </c>
      <c r="F6" s="4">
        <f>SUM(F4:F5)</f>
        <v>147.29899999999998</v>
      </c>
      <c r="G6" s="14"/>
      <c r="H6" s="15"/>
      <c r="I6" s="12"/>
      <c r="J6" s="14"/>
      <c r="K6" s="15"/>
      <c r="L6" s="16"/>
    </row>
    <row r="7" spans="1:12" ht="13.8" thickTop="1" x14ac:dyDescent="0.25">
      <c r="A7" t="s">
        <v>4</v>
      </c>
      <c r="G7" s="12"/>
      <c r="H7" s="12"/>
      <c r="I7" s="12"/>
      <c r="J7" s="12"/>
      <c r="K7" s="12"/>
      <c r="L7" s="12"/>
    </row>
    <row r="8" spans="1:12" x14ac:dyDescent="0.25">
      <c r="B8" t="s">
        <v>5</v>
      </c>
      <c r="C8">
        <v>4225</v>
      </c>
      <c r="D8">
        <v>19.25</v>
      </c>
      <c r="E8">
        <v>28.1</v>
      </c>
      <c r="F8" s="2">
        <f>(E8-D8)*C8*8760/1000000</f>
        <v>327.54735000000005</v>
      </c>
      <c r="G8" s="12"/>
      <c r="H8" s="15"/>
      <c r="I8" s="12"/>
      <c r="J8" s="12"/>
      <c r="K8" s="15"/>
      <c r="L8" s="12"/>
    </row>
    <row r="9" spans="1:12" x14ac:dyDescent="0.25">
      <c r="B9" t="s">
        <v>21</v>
      </c>
      <c r="C9">
        <v>125</v>
      </c>
      <c r="D9">
        <v>14.25</v>
      </c>
      <c r="E9">
        <v>28.1</v>
      </c>
      <c r="F9" s="2">
        <f>(E9-D9)*C9*8760/1000000</f>
        <v>15.165750000000003</v>
      </c>
      <c r="G9" s="12"/>
      <c r="H9" s="15"/>
      <c r="I9" s="12"/>
      <c r="J9" s="12"/>
      <c r="K9" s="15"/>
      <c r="L9" s="12"/>
    </row>
    <row r="10" spans="1:12" ht="13.8" thickBot="1" x14ac:dyDescent="0.3">
      <c r="E10" s="11">
        <f>F10/(F$6+F$10+F$13)</f>
        <v>0.61574887059228622</v>
      </c>
      <c r="F10" s="4">
        <f>SUM(F8:F9)</f>
        <v>342.71310000000005</v>
      </c>
      <c r="G10" s="14"/>
      <c r="H10" s="15"/>
      <c r="I10" s="12"/>
      <c r="J10" s="14"/>
      <c r="K10" s="15"/>
      <c r="L10" s="12"/>
    </row>
    <row r="11" spans="1:12" ht="13.8" thickTop="1" x14ac:dyDescent="0.25">
      <c r="A11" t="s">
        <v>6</v>
      </c>
      <c r="G11" s="12"/>
      <c r="H11" s="12"/>
      <c r="I11" s="12"/>
      <c r="J11" s="12"/>
      <c r="K11" s="12"/>
      <c r="L11" s="12"/>
    </row>
    <row r="12" spans="1:12" x14ac:dyDescent="0.25">
      <c r="B12" t="s">
        <v>7</v>
      </c>
      <c r="C12">
        <v>1490</v>
      </c>
      <c r="D12">
        <v>23</v>
      </c>
      <c r="E12">
        <v>28.1</v>
      </c>
      <c r="G12" s="12"/>
      <c r="H12" s="12"/>
      <c r="I12" s="12"/>
      <c r="J12" s="12"/>
      <c r="K12" s="12"/>
      <c r="L12" s="12"/>
    </row>
    <row r="13" spans="1:12" ht="13.8" thickBot="1" x14ac:dyDescent="0.3">
      <c r="E13" s="11">
        <f>F13/(F$6+F$10+F$13)</f>
        <v>0.11960063052286492</v>
      </c>
      <c r="F13" s="4">
        <f>(E12-D12)*C12*8760/1000000</f>
        <v>66.567240000000012</v>
      </c>
      <c r="G13" s="14"/>
      <c r="H13" s="12"/>
      <c r="I13" s="12"/>
      <c r="J13" s="14"/>
      <c r="K13" s="15"/>
      <c r="L13" s="12"/>
    </row>
    <row r="14" spans="1:12" ht="13.8" thickTop="1" x14ac:dyDescent="0.25"/>
    <row r="15" spans="1:12" x14ac:dyDescent="0.25">
      <c r="H15" s="10"/>
      <c r="K15" s="2"/>
    </row>
    <row r="16" spans="1:12" x14ac:dyDescent="0.25">
      <c r="H16" s="1"/>
    </row>
    <row r="19" spans="6:6" x14ac:dyDescent="0.25">
      <c r="F19" s="2"/>
    </row>
  </sheetData>
  <pageMargins left="0.75" right="0.75" top="1" bottom="1" header="0.5" footer="0.5"/>
  <pageSetup orientation="portrait" horizontalDpi="0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topLeftCell="B1" workbookViewId="0">
      <selection activeCell="D10" sqref="D10"/>
    </sheetView>
  </sheetViews>
  <sheetFormatPr defaultRowHeight="13.2" x14ac:dyDescent="0.25"/>
  <cols>
    <col min="3" max="3" width="6.33203125" customWidth="1"/>
    <col min="4" max="4" width="10.5546875" customWidth="1"/>
    <col min="7" max="7" width="7.6640625" customWidth="1"/>
    <col min="8" max="8" width="10.33203125" bestFit="1" customWidth="1"/>
    <col min="9" max="9" width="12.6640625" customWidth="1"/>
  </cols>
  <sheetData>
    <row r="1" spans="1:12" ht="13.8" thickBot="1" x14ac:dyDescent="0.3">
      <c r="D1" s="6" t="s">
        <v>12</v>
      </c>
      <c r="E1" s="7"/>
      <c r="F1" s="8"/>
      <c r="G1" s="6" t="s">
        <v>13</v>
      </c>
      <c r="H1" s="8"/>
      <c r="I1" s="6" t="s">
        <v>14</v>
      </c>
      <c r="J1" s="7"/>
      <c r="K1" s="8"/>
    </row>
    <row r="2" spans="1:12" s="9" customFormat="1" ht="26.4" x14ac:dyDescent="0.25">
      <c r="C2" s="9" t="s">
        <v>1</v>
      </c>
      <c r="D2" s="9" t="s">
        <v>8</v>
      </c>
      <c r="E2" s="9" t="s">
        <v>9</v>
      </c>
      <c r="F2" s="9" t="s">
        <v>16</v>
      </c>
      <c r="G2" s="9" t="s">
        <v>9</v>
      </c>
      <c r="H2" s="9" t="s">
        <v>16</v>
      </c>
      <c r="I2" s="9" t="s">
        <v>15</v>
      </c>
      <c r="J2" s="9" t="s">
        <v>9</v>
      </c>
      <c r="K2" s="9" t="s">
        <v>16</v>
      </c>
      <c r="L2" s="9" t="s">
        <v>10</v>
      </c>
    </row>
    <row r="3" spans="1:12" x14ac:dyDescent="0.25">
      <c r="A3" t="s">
        <v>0</v>
      </c>
    </row>
    <row r="4" spans="1:12" x14ac:dyDescent="0.25">
      <c r="B4" t="s">
        <v>2</v>
      </c>
      <c r="C4">
        <v>900</v>
      </c>
      <c r="D4">
        <f>(28.1-19.25)</f>
        <v>8.8500000000000014</v>
      </c>
      <c r="F4" s="2">
        <f>ROUND(C4*D4*8760/1000000,3)</f>
        <v>69.772999999999996</v>
      </c>
      <c r="H4">
        <f>F4</f>
        <v>69.772999999999996</v>
      </c>
      <c r="K4">
        <f>H4</f>
        <v>69.772999999999996</v>
      </c>
    </row>
    <row r="5" spans="1:12" x14ac:dyDescent="0.25">
      <c r="B5" t="s">
        <v>3</v>
      </c>
      <c r="C5">
        <v>1000</v>
      </c>
      <c r="D5">
        <v>19.25</v>
      </c>
      <c r="E5">
        <v>28.1</v>
      </c>
      <c r="F5" s="2">
        <f>ROUND((E5-D5)*C5*8760/1000000,3)</f>
        <v>77.525999999999996</v>
      </c>
      <c r="G5">
        <v>42</v>
      </c>
      <c r="H5">
        <f>(G5-D5)*C5*8760/1000000</f>
        <v>199.29</v>
      </c>
      <c r="I5">
        <f>ROUND(D5*$H$16,2)</f>
        <v>24.58</v>
      </c>
      <c r="J5">
        <f>G5</f>
        <v>42</v>
      </c>
      <c r="K5">
        <f>(J5-I5)*C5*8760/1000000</f>
        <v>152.5992</v>
      </c>
      <c r="L5">
        <f>I5-D5</f>
        <v>5.3299999999999983</v>
      </c>
    </row>
    <row r="6" spans="1:12" ht="13.8" thickBot="1" x14ac:dyDescent="0.3">
      <c r="E6" s="11">
        <f>F6/(F$6+F$10+F$13)</f>
        <v>0.22276196955220939</v>
      </c>
      <c r="F6" s="4">
        <f>SUM(F4:F5)</f>
        <v>147.29899999999998</v>
      </c>
      <c r="G6" s="11">
        <f>H6/(H$6+H$10+H$13)</f>
        <v>0.16223405121271406</v>
      </c>
      <c r="H6" s="4">
        <f>SUM(H4:H5)</f>
        <v>269.06299999999999</v>
      </c>
      <c r="J6" s="11">
        <f>K6/(K$6+K$10+K$13)</f>
        <v>0.17532389276637994</v>
      </c>
      <c r="K6" s="4">
        <f>SUM(K4:K5)</f>
        <v>222.37219999999999</v>
      </c>
      <c r="L6" s="3">
        <f>(I5-D5)*C5/(C5+C4)</f>
        <v>2.805263157894736</v>
      </c>
    </row>
    <row r="7" spans="1:12" ht="13.8" thickTop="1" x14ac:dyDescent="0.25">
      <c r="A7" t="s">
        <v>4</v>
      </c>
    </row>
    <row r="8" spans="1:12" x14ac:dyDescent="0.25">
      <c r="B8" t="s">
        <v>5</v>
      </c>
      <c r="C8">
        <v>5575</v>
      </c>
      <c r="D8">
        <v>19.25</v>
      </c>
      <c r="E8">
        <v>28.1</v>
      </c>
      <c r="F8" s="2">
        <f>(E8-D8)*C8*8760/1000000</f>
        <v>432.20745000000005</v>
      </c>
      <c r="G8">
        <f>G5</f>
        <v>42</v>
      </c>
      <c r="H8" s="2">
        <f>(G8-D8)*C8*8760/1000000</f>
        <v>1111.0417500000001</v>
      </c>
      <c r="I8">
        <f>ROUND(D8*$H$16,2)</f>
        <v>24.58</v>
      </c>
      <c r="J8">
        <f>G5</f>
        <v>42</v>
      </c>
      <c r="K8" s="2">
        <f>(J8-I8)*C8*8760/1000000</f>
        <v>850.74054000000012</v>
      </c>
      <c r="L8">
        <f>I8-D8</f>
        <v>5.3299999999999983</v>
      </c>
    </row>
    <row r="9" spans="1:12" x14ac:dyDescent="0.25">
      <c r="B9" t="s">
        <v>21</v>
      </c>
      <c r="C9">
        <v>125</v>
      </c>
      <c r="D9">
        <v>14.25</v>
      </c>
      <c r="E9">
        <v>28.1</v>
      </c>
      <c r="F9" s="2">
        <f>(E9-D9)*C9*8760/1000000</f>
        <v>15.165750000000003</v>
      </c>
      <c r="G9">
        <f>G5</f>
        <v>42</v>
      </c>
      <c r="H9" s="2">
        <f>(G9-D9)*C9*8760/1000000</f>
        <v>30.38625</v>
      </c>
      <c r="I9">
        <f>D9</f>
        <v>14.25</v>
      </c>
      <c r="J9">
        <f>G5</f>
        <v>42</v>
      </c>
      <c r="K9" s="2">
        <f>(J9-I9)*C9*8760/1000000</f>
        <v>30.38625</v>
      </c>
    </row>
    <row r="10" spans="1:12" ht="13.8" thickBot="1" x14ac:dyDescent="0.3">
      <c r="E10" s="11">
        <f>F10/(F$6+F$10+F$13)</f>
        <v>0.67656762881536536</v>
      </c>
      <c r="F10" s="4">
        <f>SUM(F8:F9)</f>
        <v>447.37320000000005</v>
      </c>
      <c r="G10" s="11">
        <f>H10/(H$6+H$10+H$13)</f>
        <v>0.68823468335529525</v>
      </c>
      <c r="H10" s="4">
        <f>SUM(H8:H9)</f>
        <v>1141.4280000000001</v>
      </c>
      <c r="J10" s="11">
        <f>K10/(K$6+K$10+K$13)</f>
        <v>0.69470274991003644</v>
      </c>
      <c r="K10" s="4">
        <f>SUM(K8:K9)</f>
        <v>881.12679000000014</v>
      </c>
      <c r="L10">
        <f>(I8-D8)*C8/(C8+C9)</f>
        <v>5.2131140350877176</v>
      </c>
    </row>
    <row r="11" spans="1:12" ht="13.8" thickTop="1" x14ac:dyDescent="0.25">
      <c r="A11" t="s">
        <v>6</v>
      </c>
    </row>
    <row r="12" spans="1:12" x14ac:dyDescent="0.25">
      <c r="B12" t="s">
        <v>7</v>
      </c>
      <c r="C12">
        <v>1490</v>
      </c>
      <c r="D12">
        <v>23</v>
      </c>
      <c r="E12">
        <v>28.1</v>
      </c>
      <c r="G12">
        <f>G5</f>
        <v>42</v>
      </c>
      <c r="I12">
        <f>ROUND(D12*$H$16,2)</f>
        <v>29.37</v>
      </c>
      <c r="J12">
        <f>G5</f>
        <v>42</v>
      </c>
      <c r="L12">
        <f>I12-D12</f>
        <v>6.370000000000001</v>
      </c>
    </row>
    <row r="13" spans="1:12" ht="13.8" thickBot="1" x14ac:dyDescent="0.3">
      <c r="E13" s="11">
        <f>F13/(F$6+F$10+F$13)</f>
        <v>0.10067040163242534</v>
      </c>
      <c r="F13" s="4">
        <f>(E12-D12)*C12*8760/1000000</f>
        <v>66.567240000000012</v>
      </c>
      <c r="G13" s="11">
        <f>H13/(H$6+H$10+H$13)</f>
        <v>0.14953126543199083</v>
      </c>
      <c r="H13" s="5">
        <f>(G12-D12)*C12*8760/1000000</f>
        <v>247.9956</v>
      </c>
      <c r="J13" s="11">
        <f>K13/(K$6+K$10+K$13)</f>
        <v>0.1299733573235837</v>
      </c>
      <c r="K13" s="4">
        <f>(J12-I12)*C12*8760/1000000</f>
        <v>164.85181199999997</v>
      </c>
    </row>
    <row r="14" spans="1:12" ht="13.8" thickTop="1" x14ac:dyDescent="0.25"/>
    <row r="15" spans="1:12" x14ac:dyDescent="0.25">
      <c r="E15" t="s">
        <v>19</v>
      </c>
      <c r="H15" s="10">
        <f>SUM(C5*(D5+0.5)*8760/1000000,C8*(D8+0.5)*8760/1000000,C12*(D12+0.5)*8760/1000000)</f>
        <v>1444.2721500000002</v>
      </c>
      <c r="I15" t="s">
        <v>18</v>
      </c>
      <c r="J15" t="s">
        <v>20</v>
      </c>
      <c r="K15" s="2">
        <f>SUM(K13,K10,K6)</f>
        <v>1268.3508020000002</v>
      </c>
    </row>
    <row r="16" spans="1:12" x14ac:dyDescent="0.25">
      <c r="F16" t="s">
        <v>17</v>
      </c>
      <c r="H16" s="1">
        <f>1+H17/H15</f>
        <v>1.2769561124612143</v>
      </c>
    </row>
    <row r="17" spans="6:8" x14ac:dyDescent="0.25">
      <c r="G17" t="s">
        <v>11</v>
      </c>
      <c r="H17">
        <v>400</v>
      </c>
    </row>
    <row r="19" spans="6:8" x14ac:dyDescent="0.25">
      <c r="F19" s="2"/>
    </row>
  </sheetData>
  <pageMargins left="0.75" right="0.75" top="1" bottom="1" header="0.5" footer="0.5"/>
  <pageSetup orientation="landscape" horizontalDpi="0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topLeftCell="B1" workbookViewId="0">
      <selection activeCell="D10" sqref="D10"/>
    </sheetView>
  </sheetViews>
  <sheetFormatPr defaultRowHeight="13.2" x14ac:dyDescent="0.25"/>
  <cols>
    <col min="3" max="3" width="6.33203125" customWidth="1"/>
    <col min="4" max="4" width="10.5546875" customWidth="1"/>
    <col min="7" max="7" width="7.6640625" customWidth="1"/>
    <col min="8" max="8" width="10.33203125" customWidth="1"/>
    <col min="9" max="9" width="12.6640625" customWidth="1"/>
    <col min="12" max="12" width="8.33203125" customWidth="1"/>
  </cols>
  <sheetData>
    <row r="1" spans="1:12" ht="13.8" thickBot="1" x14ac:dyDescent="0.3">
      <c r="D1" s="6" t="s">
        <v>12</v>
      </c>
      <c r="E1" s="7"/>
      <c r="F1" s="8"/>
      <c r="G1" s="6" t="s">
        <v>13</v>
      </c>
      <c r="H1" s="8"/>
      <c r="I1" s="6" t="s">
        <v>50</v>
      </c>
      <c r="J1" s="7"/>
      <c r="K1" s="8"/>
    </row>
    <row r="2" spans="1:12" s="9" customFormat="1" ht="26.4" x14ac:dyDescent="0.25">
      <c r="C2" s="9" t="s">
        <v>1</v>
      </c>
      <c r="D2" s="9" t="s">
        <v>8</v>
      </c>
      <c r="E2" s="9" t="s">
        <v>9</v>
      </c>
      <c r="F2" s="9" t="s">
        <v>16</v>
      </c>
      <c r="G2" s="9" t="s">
        <v>9</v>
      </c>
      <c r="H2" s="9" t="s">
        <v>16</v>
      </c>
      <c r="I2" s="9" t="s">
        <v>15</v>
      </c>
      <c r="J2" s="9" t="s">
        <v>9</v>
      </c>
      <c r="K2" s="9" t="s">
        <v>16</v>
      </c>
      <c r="L2" s="9" t="s">
        <v>10</v>
      </c>
    </row>
    <row r="3" spans="1:12" x14ac:dyDescent="0.25">
      <c r="A3" t="s">
        <v>0</v>
      </c>
    </row>
    <row r="4" spans="1:12" x14ac:dyDescent="0.25">
      <c r="B4" t="s">
        <v>2</v>
      </c>
      <c r="C4">
        <v>400</v>
      </c>
      <c r="D4">
        <f>(28.1-19.25)</f>
        <v>8.8500000000000014</v>
      </c>
      <c r="F4" s="2">
        <f>ROUND(C4*D4*8760/1000000,3)</f>
        <v>31.01</v>
      </c>
      <c r="H4">
        <f>F4</f>
        <v>31.01</v>
      </c>
      <c r="K4">
        <f>H4</f>
        <v>31.01</v>
      </c>
    </row>
    <row r="5" spans="1:12" x14ac:dyDescent="0.25">
      <c r="B5" t="s">
        <v>3</v>
      </c>
      <c r="C5">
        <v>1500</v>
      </c>
      <c r="D5">
        <v>19.25</v>
      </c>
      <c r="E5">
        <v>28.1</v>
      </c>
      <c r="F5" s="2">
        <f>ROUND((E5-D5)*C5*8760/1000000,3)</f>
        <v>116.289</v>
      </c>
      <c r="G5">
        <v>42</v>
      </c>
      <c r="H5">
        <f>(G5-D5)*C5*8760/1000000</f>
        <v>298.935</v>
      </c>
      <c r="I5">
        <f>ROUND(D5*$H$16,2)</f>
        <v>25.05</v>
      </c>
      <c r="J5">
        <f>G5</f>
        <v>42</v>
      </c>
      <c r="K5">
        <f>(J5-I5)*C5*8760/1000000</f>
        <v>222.72300000000001</v>
      </c>
      <c r="L5">
        <f>I5-D5</f>
        <v>5.8000000000000007</v>
      </c>
    </row>
    <row r="6" spans="1:12" ht="13.8" thickBot="1" x14ac:dyDescent="0.3">
      <c r="E6" s="11">
        <f>F6/(F$6+F$10+F$13)</f>
        <v>0.22276196955220939</v>
      </c>
      <c r="F6" s="4">
        <f>SUM(F4:F5)</f>
        <v>147.29900000000001</v>
      </c>
      <c r="G6" s="11">
        <f>H6/(H$6+H$10+H$13)</f>
        <v>0.19189893313161588</v>
      </c>
      <c r="H6" s="4">
        <f>SUM(H4:H5)</f>
        <v>329.94499999999999</v>
      </c>
      <c r="J6" s="11">
        <f>K6/(K$6+K$10+K$13)</f>
        <v>0.19987650262728027</v>
      </c>
      <c r="K6" s="4">
        <f>SUM(K4:K5)</f>
        <v>253.733</v>
      </c>
      <c r="L6" s="3">
        <f>(I5-D5)*C5/(C5+C4)</f>
        <v>4.578947368421054</v>
      </c>
    </row>
    <row r="7" spans="1:12" ht="13.8" thickTop="1" x14ac:dyDescent="0.25">
      <c r="A7" t="s">
        <v>4</v>
      </c>
    </row>
    <row r="8" spans="1:12" x14ac:dyDescent="0.25">
      <c r="B8" t="s">
        <v>5</v>
      </c>
      <c r="C8">
        <v>5575</v>
      </c>
      <c r="D8">
        <v>19.25</v>
      </c>
      <c r="E8">
        <v>28.1</v>
      </c>
      <c r="F8" s="2">
        <f>(E8-D8)*C8*8760/1000000</f>
        <v>432.20745000000005</v>
      </c>
      <c r="G8">
        <f>G5</f>
        <v>42</v>
      </c>
      <c r="H8" s="2">
        <f>(G8-D8)*C8*8760/1000000</f>
        <v>1111.0417500000001</v>
      </c>
      <c r="I8">
        <f>ROUND(D8*$H$16,2)</f>
        <v>25.05</v>
      </c>
      <c r="J8">
        <f>G5</f>
        <v>42</v>
      </c>
      <c r="K8" s="2">
        <f>(J8-I8)*C8*8760/1000000</f>
        <v>827.78715</v>
      </c>
      <c r="L8">
        <f>I8-D8</f>
        <v>5.8000000000000007</v>
      </c>
    </row>
    <row r="9" spans="1:12" x14ac:dyDescent="0.25">
      <c r="B9" t="s">
        <v>21</v>
      </c>
      <c r="C9">
        <v>125</v>
      </c>
      <c r="D9">
        <v>14.25</v>
      </c>
      <c r="E9">
        <v>28.1</v>
      </c>
      <c r="F9" s="2">
        <f>(E9-D9)*C9*8760/1000000</f>
        <v>15.165750000000003</v>
      </c>
      <c r="G9">
        <f>G5</f>
        <v>42</v>
      </c>
      <c r="H9" s="2">
        <f>(G9-D9)*C9*8760/1000000</f>
        <v>30.38625</v>
      </c>
      <c r="I9">
        <f>D9</f>
        <v>14.25</v>
      </c>
      <c r="J9">
        <f>G5</f>
        <v>42</v>
      </c>
      <c r="K9" s="2">
        <f>(J9-I9)*C9*8760/1000000</f>
        <v>30.38625</v>
      </c>
    </row>
    <row r="10" spans="1:12" ht="13.8" thickBot="1" x14ac:dyDescent="0.3">
      <c r="E10" s="11">
        <f>F10/(F$6+F$10+F$13)</f>
        <v>0.67656762881536525</v>
      </c>
      <c r="F10" s="4">
        <f>SUM(F8:F9)</f>
        <v>447.37320000000005</v>
      </c>
      <c r="G10" s="11">
        <f>H10/(H$6+H$10+H$13)</f>
        <v>0.66386463030673015</v>
      </c>
      <c r="H10" s="4">
        <f>SUM(H8:H9)</f>
        <v>1141.4280000000001</v>
      </c>
      <c r="J10" s="11">
        <f>K10/(K$6+K$10+K$13)</f>
        <v>0.67602045394080412</v>
      </c>
      <c r="K10" s="4">
        <f>SUM(K8:K9)</f>
        <v>858.17340000000002</v>
      </c>
      <c r="L10">
        <f>ROUND((I8-D8)*C8/(C8+C9),2)</f>
        <v>5.67</v>
      </c>
    </row>
    <row r="11" spans="1:12" ht="13.8" thickTop="1" x14ac:dyDescent="0.25">
      <c r="A11" t="s">
        <v>6</v>
      </c>
    </row>
    <row r="12" spans="1:12" x14ac:dyDescent="0.25">
      <c r="B12" t="s">
        <v>7</v>
      </c>
      <c r="C12">
        <v>1490</v>
      </c>
      <c r="D12">
        <v>23</v>
      </c>
      <c r="E12">
        <v>28.1</v>
      </c>
      <c r="G12">
        <f>G5</f>
        <v>42</v>
      </c>
      <c r="I12">
        <f>ROUND(D12*$H$16,2)</f>
        <v>29.93</v>
      </c>
      <c r="J12">
        <f>G5</f>
        <v>42</v>
      </c>
      <c r="L12">
        <f>I12-D12</f>
        <v>6.93</v>
      </c>
    </row>
    <row r="13" spans="1:12" ht="13.8" thickBot="1" x14ac:dyDescent="0.3">
      <c r="E13" s="11">
        <f>F13/(F$6+F$10+F$13)</f>
        <v>0.10067040163242533</v>
      </c>
      <c r="F13" s="4">
        <f>(E12-D12)*C12*8760/1000000</f>
        <v>66.567240000000012</v>
      </c>
      <c r="G13" s="11">
        <f>H13/(H$6+H$10+H$13)</f>
        <v>0.14423643656165408</v>
      </c>
      <c r="H13" s="5">
        <f>(G12-D12)*C12*8760/1000000</f>
        <v>247.9956</v>
      </c>
      <c r="J13" s="11">
        <f>K13/(K$6+K$10+K$13)</f>
        <v>0.12410304343191551</v>
      </c>
      <c r="K13" s="4">
        <f>(J12-I12)*C12*8760/1000000</f>
        <v>157.54246800000001</v>
      </c>
    </row>
    <row r="14" spans="1:12" ht="13.8" thickTop="1" x14ac:dyDescent="0.25"/>
    <row r="15" spans="1:12" x14ac:dyDescent="0.25">
      <c r="E15" t="s">
        <v>19</v>
      </c>
      <c r="H15" s="10">
        <f>SUM(C5*(D5+0.5)*8760/1000000,C8*(D8+0.5)*8760/1000000,C12*(D12+0.5)*8760/1000000)</f>
        <v>1530.7771499999999</v>
      </c>
      <c r="I15" t="s">
        <v>18</v>
      </c>
      <c r="J15" t="s">
        <v>20</v>
      </c>
      <c r="K15" s="2">
        <f>SUM(K13,K10,K6)</f>
        <v>1269.4488679999999</v>
      </c>
    </row>
    <row r="16" spans="1:12" x14ac:dyDescent="0.25">
      <c r="F16" t="s">
        <v>17</v>
      </c>
      <c r="H16" s="1">
        <f>1+H17/H15</f>
        <v>1.3011542209132139</v>
      </c>
    </row>
    <row r="17" spans="6:8" x14ac:dyDescent="0.25">
      <c r="G17" t="s">
        <v>11</v>
      </c>
      <c r="H17">
        <v>461</v>
      </c>
    </row>
    <row r="19" spans="6:8" x14ac:dyDescent="0.25">
      <c r="F19" s="2"/>
    </row>
  </sheetData>
  <pageMargins left="0.75" right="0.75" top="1" bottom="1" header="0.5" footer="0.5"/>
  <pageSetup orientation="landscape" horizontalDpi="0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topLeftCell="C1" workbookViewId="0">
      <selection activeCell="H5" sqref="H5"/>
    </sheetView>
  </sheetViews>
  <sheetFormatPr defaultRowHeight="13.2" x14ac:dyDescent="0.25"/>
  <cols>
    <col min="3" max="3" width="6.33203125" customWidth="1"/>
    <col min="4" max="4" width="10.5546875" customWidth="1"/>
    <col min="7" max="7" width="7.6640625" customWidth="1"/>
    <col min="8" max="8" width="10.33203125" customWidth="1"/>
    <col min="9" max="9" width="12.6640625" customWidth="1"/>
    <col min="12" max="12" width="8.33203125" customWidth="1"/>
  </cols>
  <sheetData>
    <row r="1" spans="1:12" ht="13.8" thickBot="1" x14ac:dyDescent="0.3">
      <c r="D1" s="6" t="s">
        <v>12</v>
      </c>
      <c r="E1" s="7"/>
      <c r="F1" s="8"/>
      <c r="G1" s="6" t="s">
        <v>13</v>
      </c>
      <c r="H1" s="8"/>
      <c r="I1" s="6" t="s">
        <v>50</v>
      </c>
      <c r="J1" s="7"/>
      <c r="K1" s="8"/>
    </row>
    <row r="2" spans="1:12" s="9" customFormat="1" ht="26.4" x14ac:dyDescent="0.25">
      <c r="C2" s="9" t="s">
        <v>1</v>
      </c>
      <c r="D2" s="9" t="s">
        <v>8</v>
      </c>
      <c r="E2" s="9" t="s">
        <v>9</v>
      </c>
      <c r="F2" s="9" t="s">
        <v>16</v>
      </c>
      <c r="G2" s="9" t="s">
        <v>9</v>
      </c>
      <c r="H2" s="9" t="s">
        <v>16</v>
      </c>
      <c r="I2" s="9" t="s">
        <v>15</v>
      </c>
      <c r="J2" s="9" t="s">
        <v>9</v>
      </c>
      <c r="K2" s="9" t="s">
        <v>16</v>
      </c>
      <c r="L2" s="9" t="s">
        <v>10</v>
      </c>
    </row>
    <row r="3" spans="1:12" x14ac:dyDescent="0.25">
      <c r="A3" t="s">
        <v>0</v>
      </c>
    </row>
    <row r="4" spans="1:12" x14ac:dyDescent="0.25">
      <c r="B4" t="s">
        <v>2</v>
      </c>
      <c r="C4">
        <v>0</v>
      </c>
      <c r="D4">
        <f>(28.1-19.25)</f>
        <v>8.8500000000000014</v>
      </c>
      <c r="F4" s="2">
        <f>ROUND(C4*D4*8760/1000000,3)</f>
        <v>0</v>
      </c>
      <c r="H4">
        <f>F4</f>
        <v>0</v>
      </c>
      <c r="K4">
        <f>H4</f>
        <v>0</v>
      </c>
    </row>
    <row r="5" spans="1:12" x14ac:dyDescent="0.25">
      <c r="B5" t="s">
        <v>3</v>
      </c>
      <c r="C5">
        <v>1900</v>
      </c>
      <c r="D5">
        <v>19.25</v>
      </c>
      <c r="E5">
        <v>28.1</v>
      </c>
      <c r="F5" s="2">
        <f>ROUND((E5-D5)*C5*8760/1000000,3)</f>
        <v>147.29900000000001</v>
      </c>
      <c r="G5">
        <v>42</v>
      </c>
      <c r="H5">
        <f>(G5-D5)*C5*8760/1000000</f>
        <v>378.65100000000001</v>
      </c>
      <c r="I5">
        <f>ROUND(D5*$H$16,2)</f>
        <v>25.4</v>
      </c>
      <c r="J5">
        <f>G5</f>
        <v>42</v>
      </c>
      <c r="K5">
        <f>(J5-I5)*C5*8760/1000000</f>
        <v>276.29040000000003</v>
      </c>
      <c r="L5">
        <f>I5-D5</f>
        <v>6.1499999999999986</v>
      </c>
    </row>
    <row r="6" spans="1:12" ht="13.8" thickBot="1" x14ac:dyDescent="0.3">
      <c r="E6" s="11">
        <f>F6/(F$6+F$10+F$13)</f>
        <v>0.22276196955220939</v>
      </c>
      <c r="F6" s="4">
        <f>SUM(F4:F5)</f>
        <v>147.29900000000001</v>
      </c>
      <c r="G6" s="11">
        <f>H6/(H$6+H$10+H$13)</f>
        <v>0.21416008125449004</v>
      </c>
      <c r="H6" s="4">
        <f>SUM(H4:H5)</f>
        <v>378.65100000000001</v>
      </c>
      <c r="J6" s="11">
        <f>K6/(K$6+K$10+K$13)</f>
        <v>0.21764895652368935</v>
      </c>
      <c r="K6" s="4">
        <f>SUM(K4:K5)</f>
        <v>276.29040000000003</v>
      </c>
      <c r="L6" s="3">
        <f>(I5-D5)*C5/(C5+C4)</f>
        <v>6.1499999999999995</v>
      </c>
    </row>
    <row r="7" spans="1:12" ht="13.8" thickTop="1" x14ac:dyDescent="0.25">
      <c r="A7" t="s">
        <v>4</v>
      </c>
    </row>
    <row r="8" spans="1:12" x14ac:dyDescent="0.25">
      <c r="B8" t="s">
        <v>5</v>
      </c>
      <c r="C8">
        <v>5575</v>
      </c>
      <c r="D8">
        <v>19.25</v>
      </c>
      <c r="E8">
        <v>28.1</v>
      </c>
      <c r="F8" s="2">
        <f>(E8-D8)*C8*8760/1000000</f>
        <v>432.20745000000005</v>
      </c>
      <c r="G8">
        <f>G5</f>
        <v>42</v>
      </c>
      <c r="H8" s="2">
        <f>(G8-D8)*C8*8760/1000000</f>
        <v>1111.0417500000001</v>
      </c>
      <c r="I8">
        <f>ROUND(D8*$H$16,2)</f>
        <v>25.4</v>
      </c>
      <c r="J8">
        <f>G5</f>
        <v>42</v>
      </c>
      <c r="K8" s="2">
        <f>(J8-I8)*C8*8760/1000000</f>
        <v>810.69420000000014</v>
      </c>
      <c r="L8">
        <f>I8-D8</f>
        <v>6.1499999999999986</v>
      </c>
    </row>
    <row r="9" spans="1:12" x14ac:dyDescent="0.25">
      <c r="B9" t="s">
        <v>21</v>
      </c>
      <c r="C9">
        <v>125</v>
      </c>
      <c r="D9">
        <v>14.25</v>
      </c>
      <c r="E9">
        <v>28.1</v>
      </c>
      <c r="F9" s="2">
        <f>(E9-D9)*C9*8760/1000000</f>
        <v>15.165750000000003</v>
      </c>
      <c r="G9">
        <f>G5</f>
        <v>42</v>
      </c>
      <c r="H9" s="2">
        <f>(G9-D9)*C9*8760/1000000</f>
        <v>30.38625</v>
      </c>
      <c r="I9">
        <f>D9</f>
        <v>14.25</v>
      </c>
      <c r="J9">
        <f>G5</f>
        <v>42</v>
      </c>
      <c r="K9" s="2">
        <f>(J9-I9)*C9*8760/1000000</f>
        <v>30.38625</v>
      </c>
    </row>
    <row r="10" spans="1:12" ht="13.8" thickBot="1" x14ac:dyDescent="0.3">
      <c r="E10" s="11">
        <f>F10/(F$6+F$10+F$13)</f>
        <v>0.67656762881536525</v>
      </c>
      <c r="F10" s="4">
        <f>SUM(F8:F9)</f>
        <v>447.37320000000005</v>
      </c>
      <c r="G10" s="11">
        <f>H10/(H$6+H$10+H$13)</f>
        <v>0.64557683256125054</v>
      </c>
      <c r="H10" s="4">
        <f>SUM(H8:H9)</f>
        <v>1141.4280000000001</v>
      </c>
      <c r="J10" s="11">
        <f>K10/(K$6+K$10+K$13)</f>
        <v>0.66256475901795742</v>
      </c>
      <c r="K10" s="4">
        <f>SUM(K8:K9)</f>
        <v>841.08045000000016</v>
      </c>
      <c r="L10">
        <f>ROUND((I8-D8)*C8/(C8+C9),2)</f>
        <v>6.02</v>
      </c>
    </row>
    <row r="11" spans="1:12" ht="13.8" thickTop="1" x14ac:dyDescent="0.25">
      <c r="A11" t="s">
        <v>6</v>
      </c>
    </row>
    <row r="12" spans="1:12" x14ac:dyDescent="0.25">
      <c r="B12" t="s">
        <v>7</v>
      </c>
      <c r="C12">
        <v>1490</v>
      </c>
      <c r="D12">
        <v>23</v>
      </c>
      <c r="E12">
        <v>28.1</v>
      </c>
      <c r="G12">
        <f>G5</f>
        <v>42</v>
      </c>
      <c r="I12">
        <f>ROUND(D12*$H$16,2)</f>
        <v>30.35</v>
      </c>
      <c r="J12">
        <f>G5</f>
        <v>42</v>
      </c>
      <c r="L12">
        <f>I12-D12</f>
        <v>7.3500000000000014</v>
      </c>
    </row>
    <row r="13" spans="1:12" ht="13.8" thickBot="1" x14ac:dyDescent="0.3">
      <c r="E13" s="11">
        <f>F13/(F$6+F$10+F$13)</f>
        <v>0.10067040163242533</v>
      </c>
      <c r="F13" s="4">
        <f>(E12-D12)*C12*8760/1000000</f>
        <v>66.567240000000012</v>
      </c>
      <c r="G13" s="11">
        <f>H13/(H$6+H$10+H$13)</f>
        <v>0.14026308618425939</v>
      </c>
      <c r="H13" s="5">
        <f>(G12-D12)*C12*8760/1000000</f>
        <v>247.9956</v>
      </c>
      <c r="J13" s="11">
        <f>K13/(K$6+K$10+K$13)</f>
        <v>0.11978628445835321</v>
      </c>
      <c r="K13" s="4">
        <f>(J12-I12)*C12*8760/1000000</f>
        <v>152.06045999999998</v>
      </c>
    </row>
    <row r="14" spans="1:12" ht="13.8" thickTop="1" x14ac:dyDescent="0.25"/>
    <row r="15" spans="1:12" x14ac:dyDescent="0.25">
      <c r="E15" t="s">
        <v>19</v>
      </c>
      <c r="H15" s="10">
        <f>SUM(C5*(D5+0.5)*8760/1000000,C8*(D8+0.5)*8760/1000000,C12*(D12+0.5)*8760/1000000)</f>
        <v>1599.9811500000001</v>
      </c>
      <c r="I15" t="s">
        <v>18</v>
      </c>
      <c r="J15" t="s">
        <v>20</v>
      </c>
      <c r="K15" s="2">
        <f>SUM(K13,K10,K6)</f>
        <v>1269.4313100000002</v>
      </c>
    </row>
    <row r="16" spans="1:12" x14ac:dyDescent="0.25">
      <c r="F16" t="s">
        <v>17</v>
      </c>
      <c r="H16" s="1">
        <f>1+H17/H15</f>
        <v>1.3193787626810478</v>
      </c>
    </row>
    <row r="17" spans="6:8" x14ac:dyDescent="0.25">
      <c r="G17" t="s">
        <v>11</v>
      </c>
      <c r="H17">
        <v>511</v>
      </c>
    </row>
    <row r="19" spans="6:8" x14ac:dyDescent="0.25">
      <c r="F19" s="2"/>
    </row>
  </sheetData>
  <pageMargins left="0.75" right="0.75" top="1" bottom="1" header="0.5" footer="0.5"/>
  <pageSetup orientation="landscape" horizontalDpi="0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topLeftCell="B1" workbookViewId="0">
      <selection activeCell="D10" sqref="D10"/>
    </sheetView>
  </sheetViews>
  <sheetFormatPr defaultRowHeight="13.2" x14ac:dyDescent="0.25"/>
  <cols>
    <col min="3" max="3" width="6.33203125" customWidth="1"/>
    <col min="4" max="4" width="10.5546875" customWidth="1"/>
    <col min="7" max="7" width="7.6640625" customWidth="1"/>
    <col min="8" max="8" width="10.33203125" customWidth="1"/>
    <col min="9" max="9" width="12.6640625" customWidth="1"/>
    <col min="12" max="12" width="8.33203125" customWidth="1"/>
  </cols>
  <sheetData>
    <row r="1" spans="1:14" ht="13.8" thickBot="1" x14ac:dyDescent="0.3">
      <c r="D1" s="6" t="s">
        <v>12</v>
      </c>
      <c r="E1" s="7"/>
      <c r="F1" s="8"/>
      <c r="G1" s="6" t="s">
        <v>68</v>
      </c>
      <c r="H1" s="8"/>
      <c r="I1" s="6" t="s">
        <v>70</v>
      </c>
      <c r="J1" s="7"/>
      <c r="K1" s="8"/>
    </row>
    <row r="2" spans="1:14" s="9" customFormat="1" ht="39.6" x14ac:dyDescent="0.25">
      <c r="C2" s="9" t="s">
        <v>1</v>
      </c>
      <c r="D2" s="9" t="s">
        <v>8</v>
      </c>
      <c r="E2" s="9" t="s">
        <v>9</v>
      </c>
      <c r="F2" s="9" t="s">
        <v>16</v>
      </c>
      <c r="G2" s="9" t="s">
        <v>9</v>
      </c>
      <c r="H2" s="9" t="s">
        <v>16</v>
      </c>
      <c r="I2" s="9" t="s">
        <v>15</v>
      </c>
      <c r="J2" s="9" t="s">
        <v>9</v>
      </c>
      <c r="K2" s="9" t="s">
        <v>16</v>
      </c>
      <c r="L2" s="9" t="s">
        <v>10</v>
      </c>
      <c r="M2" s="9" t="s">
        <v>48</v>
      </c>
      <c r="N2" s="9" t="s">
        <v>49</v>
      </c>
    </row>
    <row r="3" spans="1:14" x14ac:dyDescent="0.25">
      <c r="A3" t="s">
        <v>0</v>
      </c>
    </row>
    <row r="4" spans="1:14" x14ac:dyDescent="0.25">
      <c r="B4" t="s">
        <v>2</v>
      </c>
      <c r="C4">
        <v>900</v>
      </c>
      <c r="D4">
        <f>(28.1-19.25)</f>
        <v>8.8500000000000014</v>
      </c>
      <c r="F4" s="2">
        <f>ROUND(C4*D4*8760/1000000,3)</f>
        <v>69.772999999999996</v>
      </c>
      <c r="H4">
        <f>F4</f>
        <v>69.772999999999996</v>
      </c>
      <c r="K4">
        <f>ROUND(C4*(D4-L5)*8760/1000000,3)</f>
        <v>57.947000000000003</v>
      </c>
    </row>
    <row r="5" spans="1:14" x14ac:dyDescent="0.25">
      <c r="B5" t="s">
        <v>3</v>
      </c>
      <c r="C5">
        <v>1000</v>
      </c>
      <c r="D5">
        <v>19.25</v>
      </c>
      <c r="E5">
        <v>28.1</v>
      </c>
      <c r="F5" s="2">
        <f>ROUND((E5-D5)*C5*8760/1000000,3)</f>
        <v>77.525999999999996</v>
      </c>
      <c r="G5">
        <v>42</v>
      </c>
      <c r="H5">
        <f>(G5-D5)*C5*8760/1000000</f>
        <v>199.29</v>
      </c>
      <c r="I5">
        <f>ROUND(D5*$H$16,2)</f>
        <v>20.75</v>
      </c>
      <c r="J5">
        <f>G5</f>
        <v>42</v>
      </c>
      <c r="K5">
        <f>(J5-I5)*C5*8760/1000000</f>
        <v>186.15</v>
      </c>
      <c r="L5">
        <f>I5-D5</f>
        <v>1.5</v>
      </c>
    </row>
    <row r="6" spans="1:14" ht="13.8" thickBot="1" x14ac:dyDescent="0.3">
      <c r="E6" s="11">
        <f>F6/(F$6+F$10+F$13)</f>
        <v>0.22276196955220939</v>
      </c>
      <c r="F6" s="4">
        <f>SUM(F4:F5)</f>
        <v>147.29899999999998</v>
      </c>
      <c r="G6" s="11">
        <f>H6/(H$6+H$10+H$13)</f>
        <v>0.16223405121271406</v>
      </c>
      <c r="H6" s="4">
        <f>SUM(H4:H5)</f>
        <v>269.06299999999999</v>
      </c>
      <c r="J6" s="11">
        <f>K6/(K$6+K$10+K$13)</f>
        <v>0.15883761142309069</v>
      </c>
      <c r="K6" s="4">
        <f>SUM(K4:K5)</f>
        <v>244.09700000000001</v>
      </c>
      <c r="L6" s="3">
        <f>(I5-D5)</f>
        <v>1.5</v>
      </c>
      <c r="M6" s="2">
        <f>K6-H6</f>
        <v>-24.96599999999998</v>
      </c>
      <c r="N6" s="11">
        <f>M6/$M$15</f>
        <v>0.20511713267839785</v>
      </c>
    </row>
    <row r="7" spans="1:14" ht="13.8" thickTop="1" x14ac:dyDescent="0.25">
      <c r="A7" t="s">
        <v>4</v>
      </c>
    </row>
    <row r="8" spans="1:14" x14ac:dyDescent="0.25">
      <c r="B8" t="s">
        <v>5</v>
      </c>
      <c r="C8">
        <v>5575</v>
      </c>
      <c r="D8">
        <v>19.25</v>
      </c>
      <c r="E8">
        <v>28.1</v>
      </c>
      <c r="F8" s="2">
        <f>(E8-D8)*C8*8760/1000000</f>
        <v>432.20745000000005</v>
      </c>
      <c r="G8">
        <f>G5</f>
        <v>42</v>
      </c>
      <c r="H8" s="2">
        <f>(G8-D8)*C8*8760/1000000</f>
        <v>1111.0417500000001</v>
      </c>
      <c r="I8">
        <f>ROUND(D8*$H$16,2)</f>
        <v>20.75</v>
      </c>
      <c r="J8">
        <f>G5</f>
        <v>42</v>
      </c>
      <c r="K8" s="2">
        <f>(J8-I8)*C8*8760/1000000</f>
        <v>1037.7862500000001</v>
      </c>
      <c r="L8">
        <f>I8-D8</f>
        <v>1.5</v>
      </c>
    </row>
    <row r="9" spans="1:14" x14ac:dyDescent="0.25">
      <c r="B9" t="s">
        <v>21</v>
      </c>
      <c r="C9">
        <v>125</v>
      </c>
      <c r="D9">
        <v>14.25</v>
      </c>
      <c r="E9">
        <v>28.1</v>
      </c>
      <c r="F9" s="2">
        <f>(E9-D9)*C9*8760/1000000</f>
        <v>15.165750000000003</v>
      </c>
      <c r="G9">
        <f>G5</f>
        <v>42</v>
      </c>
      <c r="H9" s="2">
        <f>(G9-D9)*C9*8760/1000000</f>
        <v>30.38625</v>
      </c>
      <c r="I9">
        <f>D9</f>
        <v>14.25</v>
      </c>
      <c r="J9">
        <f>G5</f>
        <v>42</v>
      </c>
      <c r="K9" s="2">
        <f>(J9-I9)*C9*8760/1000000</f>
        <v>30.38625</v>
      </c>
    </row>
    <row r="10" spans="1:14" ht="13.8" thickBot="1" x14ac:dyDescent="0.3">
      <c r="E10" s="11">
        <f>F10/(F$6+F$10+F$13)</f>
        <v>0.67656762881536536</v>
      </c>
      <c r="F10" s="4">
        <f>SUM(F8:F9)</f>
        <v>447.37320000000005</v>
      </c>
      <c r="G10" s="11">
        <f>H10/(H$6+H$10+H$13)</f>
        <v>0.68823468335529525</v>
      </c>
      <c r="H10" s="4">
        <f>SUM(H8:H9)</f>
        <v>1141.4280000000001</v>
      </c>
      <c r="J10" s="11">
        <f>K10/(K$6+K$10+K$13)</f>
        <v>0.69507600866799413</v>
      </c>
      <c r="K10" s="4">
        <f>SUM(K8:K9)</f>
        <v>1068.1725000000001</v>
      </c>
      <c r="L10">
        <f>ROUND((I8-D8)*C8/(C8+C9),2)</f>
        <v>1.47</v>
      </c>
      <c r="M10" s="2">
        <f>K10-H10</f>
        <v>-73.255499999999984</v>
      </c>
      <c r="N10" s="11">
        <f>M10/$M$15</f>
        <v>0.60185684983266774</v>
      </c>
    </row>
    <row r="11" spans="1:14" ht="13.8" thickTop="1" x14ac:dyDescent="0.25">
      <c r="A11" t="s">
        <v>6</v>
      </c>
    </row>
    <row r="12" spans="1:14" x14ac:dyDescent="0.25">
      <c r="B12" t="s">
        <v>7</v>
      </c>
      <c r="C12">
        <v>1490</v>
      </c>
      <c r="D12">
        <v>23</v>
      </c>
      <c r="E12">
        <v>28.1</v>
      </c>
      <c r="G12">
        <f>G5</f>
        <v>42</v>
      </c>
      <c r="I12">
        <f>ROUND(D12*$H$16,2)</f>
        <v>24.8</v>
      </c>
      <c r="J12">
        <f>G5</f>
        <v>42</v>
      </c>
      <c r="L12">
        <f>I12-D12</f>
        <v>1.8000000000000007</v>
      </c>
    </row>
    <row r="13" spans="1:14" ht="13.8" thickBot="1" x14ac:dyDescent="0.3">
      <c r="E13" s="11">
        <f>F13/(F$6+F$10+F$13)</f>
        <v>0.10067040163242534</v>
      </c>
      <c r="F13" s="4">
        <f>(E12-D12)*C12*8760/1000000</f>
        <v>66.567240000000012</v>
      </c>
      <c r="G13" s="11">
        <f>H13/(H$6+H$10+H$13)</f>
        <v>0.14953126543199083</v>
      </c>
      <c r="H13" s="5">
        <f>(G12-D12)*C12*8760/1000000</f>
        <v>247.9956</v>
      </c>
      <c r="J13" s="11">
        <f>K13/(K$6+K$10+K$13)</f>
        <v>0.14608637990891524</v>
      </c>
      <c r="K13" s="4">
        <f>(J12-I12)*C12*8760/1000000</f>
        <v>224.50128000000001</v>
      </c>
      <c r="M13" s="2">
        <f>K13-H13</f>
        <v>-23.494319999999988</v>
      </c>
      <c r="N13" s="11">
        <f>M13/$M$15</f>
        <v>0.19302601748893444</v>
      </c>
    </row>
    <row r="14" spans="1:14" ht="13.8" thickTop="1" x14ac:dyDescent="0.25"/>
    <row r="15" spans="1:14" x14ac:dyDescent="0.25">
      <c r="E15" t="s">
        <v>19</v>
      </c>
      <c r="H15" s="10">
        <f>SUM((C4+C5)*(D5+0.5)*8760/1000000,C8*(D8+0.5)*8760/1000000,C12*(D12+0.5)*8760/1000000)</f>
        <v>1599.9811500000001</v>
      </c>
      <c r="I15" t="s">
        <v>18</v>
      </c>
      <c r="J15" t="s">
        <v>20</v>
      </c>
      <c r="K15" s="2">
        <f>SUM(K13,K10,K6)</f>
        <v>1536.7707800000001</v>
      </c>
      <c r="M15" s="2">
        <f>SUM(M13,M10,M6)</f>
        <v>-121.71581999999995</v>
      </c>
    </row>
    <row r="16" spans="1:14" x14ac:dyDescent="0.25">
      <c r="F16" t="s">
        <v>17</v>
      </c>
      <c r="H16" s="1">
        <f>1+H17/H15</f>
        <v>1.0781259204209999</v>
      </c>
    </row>
    <row r="17" spans="6:8" x14ac:dyDescent="0.25">
      <c r="G17" t="s">
        <v>11</v>
      </c>
      <c r="H17">
        <v>125</v>
      </c>
    </row>
    <row r="19" spans="6:8" x14ac:dyDescent="0.25">
      <c r="F19" s="2"/>
    </row>
  </sheetData>
  <pageMargins left="0.75" right="0.75" top="1" bottom="1" header="0.5" footer="0.5"/>
  <pageSetup scale="95" orientation="landscape" horizontalDpi="0" r:id="rId1"/>
  <headerFooter alignWithMargins="0">
    <oddFooter>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workbookViewId="0">
      <selection activeCell="D10" sqref="D10"/>
    </sheetView>
  </sheetViews>
  <sheetFormatPr defaultRowHeight="13.2" x14ac:dyDescent="0.25"/>
  <cols>
    <col min="3" max="3" width="6.33203125" customWidth="1"/>
    <col min="4" max="4" width="10.5546875" customWidth="1"/>
    <col min="7" max="7" width="7.6640625" customWidth="1"/>
    <col min="8" max="8" width="10.33203125" customWidth="1"/>
    <col min="9" max="9" width="12.6640625" customWidth="1"/>
    <col min="12" max="12" width="8.33203125" customWidth="1"/>
  </cols>
  <sheetData>
    <row r="1" spans="1:14" ht="13.8" thickBot="1" x14ac:dyDescent="0.3">
      <c r="D1" s="6" t="s">
        <v>12</v>
      </c>
      <c r="E1" s="7"/>
      <c r="F1" s="8"/>
      <c r="G1" s="6" t="s">
        <v>68</v>
      </c>
      <c r="H1" s="8"/>
      <c r="I1" s="6" t="s">
        <v>69</v>
      </c>
      <c r="J1" s="7"/>
      <c r="K1" s="8"/>
    </row>
    <row r="2" spans="1:14" s="9" customFormat="1" ht="39.6" x14ac:dyDescent="0.25">
      <c r="C2" s="9" t="s">
        <v>1</v>
      </c>
      <c r="D2" s="9" t="s">
        <v>8</v>
      </c>
      <c r="E2" s="9" t="s">
        <v>9</v>
      </c>
      <c r="F2" s="9" t="s">
        <v>16</v>
      </c>
      <c r="G2" s="9" t="s">
        <v>9</v>
      </c>
      <c r="H2" s="9" t="s">
        <v>16</v>
      </c>
      <c r="I2" s="9" t="s">
        <v>15</v>
      </c>
      <c r="J2" s="9" t="s">
        <v>9</v>
      </c>
      <c r="K2" s="9" t="s">
        <v>16</v>
      </c>
      <c r="L2" s="9" t="s">
        <v>10</v>
      </c>
      <c r="M2" s="9" t="s">
        <v>48</v>
      </c>
      <c r="N2" s="9" t="s">
        <v>49</v>
      </c>
    </row>
    <row r="3" spans="1:14" x14ac:dyDescent="0.25">
      <c r="A3" t="s">
        <v>0</v>
      </c>
    </row>
    <row r="4" spans="1:14" x14ac:dyDescent="0.25">
      <c r="B4" t="s">
        <v>2</v>
      </c>
      <c r="C4">
        <v>900</v>
      </c>
      <c r="D4">
        <f>(28.1-19.25)</f>
        <v>8.8500000000000014</v>
      </c>
      <c r="F4" s="2">
        <f>ROUND(C4*D4*8760/1000000,3)</f>
        <v>69.772999999999996</v>
      </c>
      <c r="H4">
        <f>F4</f>
        <v>69.772999999999996</v>
      </c>
      <c r="K4">
        <f>H4</f>
        <v>69.772999999999996</v>
      </c>
    </row>
    <row r="5" spans="1:14" x14ac:dyDescent="0.25">
      <c r="B5" t="s">
        <v>3</v>
      </c>
      <c r="C5">
        <v>1000</v>
      </c>
      <c r="D5">
        <v>19.25</v>
      </c>
      <c r="E5">
        <v>28.1</v>
      </c>
      <c r="F5" s="2">
        <f>ROUND((E5-D5)*C5*8760/1000000,3)</f>
        <v>77.525999999999996</v>
      </c>
      <c r="G5">
        <v>42</v>
      </c>
      <c r="H5">
        <f>(G5-D5)*C5*8760/1000000</f>
        <v>199.29</v>
      </c>
      <c r="I5">
        <f>ROUND(D5*$H$16,2)</f>
        <v>24.58</v>
      </c>
      <c r="J5">
        <f>G5</f>
        <v>42</v>
      </c>
      <c r="K5">
        <f>(J5-I5)*C5*8760/1000000</f>
        <v>152.5992</v>
      </c>
      <c r="L5">
        <f>I5-D5</f>
        <v>5.3299999999999983</v>
      </c>
    </row>
    <row r="6" spans="1:14" ht="13.8" thickBot="1" x14ac:dyDescent="0.3">
      <c r="E6" s="11">
        <f>F6/(F$6+F$10+F$13)</f>
        <v>0.22276196955220939</v>
      </c>
      <c r="F6" s="4">
        <f>SUM(F4:F5)</f>
        <v>147.29899999999998</v>
      </c>
      <c r="G6" s="11">
        <f>H6/(H$6+H$10+H$13)</f>
        <v>0.16223405121271406</v>
      </c>
      <c r="H6" s="4">
        <f>SUM(H4:H5)</f>
        <v>269.06299999999999</v>
      </c>
      <c r="J6" s="11">
        <f>K6/(K$6+K$10+K$13)</f>
        <v>0.17532389276637994</v>
      </c>
      <c r="K6" s="4">
        <f>SUM(K4:K5)</f>
        <v>222.37219999999999</v>
      </c>
      <c r="L6" s="3">
        <f>(I5-D5)*C5/(C5+C4)</f>
        <v>2.805263157894736</v>
      </c>
      <c r="M6" s="2">
        <f>K6-H6</f>
        <v>-46.690799999999996</v>
      </c>
      <c r="N6" s="11">
        <f>M6/$M$15</f>
        <v>0.11967832800618823</v>
      </c>
    </row>
    <row r="7" spans="1:14" ht="13.8" thickTop="1" x14ac:dyDescent="0.25">
      <c r="A7" t="s">
        <v>4</v>
      </c>
    </row>
    <row r="8" spans="1:14" x14ac:dyDescent="0.25">
      <c r="B8" t="s">
        <v>5</v>
      </c>
      <c r="C8">
        <v>5575</v>
      </c>
      <c r="D8">
        <v>19.25</v>
      </c>
      <c r="E8">
        <v>28.1</v>
      </c>
      <c r="F8" s="2">
        <f>(E8-D8)*C8*8760/1000000</f>
        <v>432.20745000000005</v>
      </c>
      <c r="G8">
        <f>G5</f>
        <v>42</v>
      </c>
      <c r="H8" s="2">
        <f>(G8-D8)*C8*8760/1000000</f>
        <v>1111.0417500000001</v>
      </c>
      <c r="I8">
        <f>ROUND(D8*$H$16,2)</f>
        <v>24.58</v>
      </c>
      <c r="J8">
        <f>G5</f>
        <v>42</v>
      </c>
      <c r="K8" s="2">
        <f>(J8-I8)*C8*8760/1000000</f>
        <v>850.74054000000012</v>
      </c>
      <c r="L8">
        <f>I8-D8</f>
        <v>5.3299999999999983</v>
      </c>
    </row>
    <row r="9" spans="1:14" x14ac:dyDescent="0.25">
      <c r="B9" t="s">
        <v>21</v>
      </c>
      <c r="C9">
        <v>125</v>
      </c>
      <c r="D9">
        <v>14.25</v>
      </c>
      <c r="E9">
        <v>28.1</v>
      </c>
      <c r="F9" s="2">
        <f>(E9-D9)*C9*8760/1000000</f>
        <v>15.165750000000003</v>
      </c>
      <c r="G9">
        <f>G5</f>
        <v>42</v>
      </c>
      <c r="H9" s="2">
        <f>(G9-D9)*C9*8760/1000000</f>
        <v>30.38625</v>
      </c>
      <c r="I9">
        <f>D9</f>
        <v>14.25</v>
      </c>
      <c r="J9">
        <f>G5</f>
        <v>42</v>
      </c>
      <c r="K9" s="2">
        <f>(J9-I9)*C9*8760/1000000</f>
        <v>30.38625</v>
      </c>
    </row>
    <row r="10" spans="1:14" ht="13.8" thickBot="1" x14ac:dyDescent="0.3">
      <c r="E10" s="11">
        <f>F10/(F$6+F$10+F$13)</f>
        <v>0.67656762881536536</v>
      </c>
      <c r="F10" s="4">
        <f>SUM(F8:F9)</f>
        <v>447.37320000000005</v>
      </c>
      <c r="G10" s="11">
        <f>H10/(H$6+H$10+H$13)</f>
        <v>0.68823468335529525</v>
      </c>
      <c r="H10" s="4">
        <f>SUM(H8:H9)</f>
        <v>1141.4280000000001</v>
      </c>
      <c r="J10" s="11">
        <f>K10/(K$6+K$10+K$13)</f>
        <v>0.69470274991003644</v>
      </c>
      <c r="K10" s="4">
        <f>SUM(K8:K9)</f>
        <v>881.12679000000014</v>
      </c>
      <c r="L10">
        <f>ROUND((I8-D8)*C8/(C8+C9),2)</f>
        <v>5.21</v>
      </c>
      <c r="M10" s="2">
        <f>K10-H10</f>
        <v>-260.30120999999997</v>
      </c>
      <c r="N10" s="11">
        <f>M10/$M$15</f>
        <v>0.66720667863449934</v>
      </c>
    </row>
    <row r="11" spans="1:14" ht="13.8" thickTop="1" x14ac:dyDescent="0.25">
      <c r="A11" t="s">
        <v>6</v>
      </c>
    </row>
    <row r="12" spans="1:14" x14ac:dyDescent="0.25">
      <c r="B12" t="s">
        <v>7</v>
      </c>
      <c r="C12">
        <v>1490</v>
      </c>
      <c r="D12">
        <v>23</v>
      </c>
      <c r="E12">
        <v>28.1</v>
      </c>
      <c r="G12">
        <f>G5</f>
        <v>42</v>
      </c>
      <c r="I12">
        <f>ROUND(D12*$H$16,2)</f>
        <v>29.37</v>
      </c>
      <c r="J12">
        <f>G5</f>
        <v>42</v>
      </c>
      <c r="L12">
        <f>I12-D12</f>
        <v>6.370000000000001</v>
      </c>
    </row>
    <row r="13" spans="1:14" ht="13.8" thickBot="1" x14ac:dyDescent="0.3">
      <c r="E13" s="11">
        <f>F13/(F$6+F$10+F$13)</f>
        <v>0.10067040163242534</v>
      </c>
      <c r="F13" s="4">
        <f>(E12-D12)*C12*8760/1000000</f>
        <v>66.567240000000012</v>
      </c>
      <c r="G13" s="11">
        <f>H13/(H$6+H$10+H$13)</f>
        <v>0.14953126543199083</v>
      </c>
      <c r="H13" s="5">
        <f>(G12-D12)*C12*8760/1000000</f>
        <v>247.9956</v>
      </c>
      <c r="J13" s="11">
        <f>K13/(K$6+K$10+K$13)</f>
        <v>0.1299733573235837</v>
      </c>
      <c r="K13" s="4">
        <f>(J12-I12)*C12*8760/1000000</f>
        <v>164.85181199999997</v>
      </c>
      <c r="M13" s="2">
        <f>K13-H13</f>
        <v>-83.143788000000029</v>
      </c>
      <c r="N13" s="11">
        <f>M13/$M$15</f>
        <v>0.21311499335931236</v>
      </c>
    </row>
    <row r="14" spans="1:14" ht="13.8" thickTop="1" x14ac:dyDescent="0.25"/>
    <row r="15" spans="1:14" x14ac:dyDescent="0.25">
      <c r="E15" t="s">
        <v>19</v>
      </c>
      <c r="H15" s="10">
        <f>SUM(C5*(D5+0.5)*8760/1000000,C8*(D8+0.5)*8760/1000000,C12*(D12+0.5)*8760/1000000)</f>
        <v>1444.2721500000002</v>
      </c>
      <c r="I15" t="s">
        <v>18</v>
      </c>
      <c r="J15" t="s">
        <v>20</v>
      </c>
      <c r="K15" s="2">
        <f>SUM(K13,K10,K6)</f>
        <v>1268.3508020000002</v>
      </c>
      <c r="M15" s="2">
        <f>SUM(M13,M10,M6)</f>
        <v>-390.13579800000002</v>
      </c>
    </row>
    <row r="16" spans="1:14" x14ac:dyDescent="0.25">
      <c r="F16" t="s">
        <v>17</v>
      </c>
      <c r="H16" s="1">
        <f>1+H17/H15</f>
        <v>1.2769561124612143</v>
      </c>
    </row>
    <row r="17" spans="6:8" x14ac:dyDescent="0.25">
      <c r="G17" t="s">
        <v>11</v>
      </c>
      <c r="H17">
        <v>400</v>
      </c>
    </row>
    <row r="19" spans="6:8" x14ac:dyDescent="0.25">
      <c r="F19" s="2"/>
    </row>
  </sheetData>
  <pageMargins left="0.75" right="0.75" top="1" bottom="1" header="0.5" footer="0.5"/>
  <pageSetup scale="95" orientation="landscape" horizontalDpi="0" r:id="rId1"/>
  <headerFooter alignWithMargins="0">
    <oddFooter>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topLeftCell="B1" workbookViewId="0">
      <selection activeCell="G21" sqref="G21"/>
    </sheetView>
  </sheetViews>
  <sheetFormatPr defaultRowHeight="13.2" x14ac:dyDescent="0.25"/>
  <cols>
    <col min="3" max="3" width="6.33203125" customWidth="1"/>
    <col min="4" max="4" width="10.5546875" customWidth="1"/>
    <col min="7" max="7" width="7.6640625" customWidth="1"/>
    <col min="8" max="8" width="10.33203125" customWidth="1"/>
    <col min="9" max="9" width="12.6640625" customWidth="1"/>
    <col min="12" max="12" width="8.33203125" customWidth="1"/>
  </cols>
  <sheetData>
    <row r="1" spans="1:14" ht="13.8" thickBot="1" x14ac:dyDescent="0.3">
      <c r="D1" s="6" t="s">
        <v>12</v>
      </c>
      <c r="E1" s="7"/>
      <c r="F1" s="8"/>
      <c r="G1" s="6" t="s">
        <v>66</v>
      </c>
      <c r="H1" s="8"/>
      <c r="I1" s="6" t="s">
        <v>67</v>
      </c>
      <c r="J1" s="7"/>
      <c r="K1" s="8"/>
    </row>
    <row r="2" spans="1:14" s="9" customFormat="1" ht="39.6" x14ac:dyDescent="0.25">
      <c r="C2" s="9" t="s">
        <v>1</v>
      </c>
      <c r="D2" s="9" t="s">
        <v>8</v>
      </c>
      <c r="E2" s="9" t="s">
        <v>9</v>
      </c>
      <c r="F2" s="9" t="s">
        <v>16</v>
      </c>
      <c r="G2" s="9" t="s">
        <v>9</v>
      </c>
      <c r="H2" s="9" t="s">
        <v>16</v>
      </c>
      <c r="I2" s="9" t="s">
        <v>15</v>
      </c>
      <c r="J2" s="9" t="s">
        <v>9</v>
      </c>
      <c r="K2" s="9" t="s">
        <v>16</v>
      </c>
      <c r="L2" s="9" t="s">
        <v>10</v>
      </c>
      <c r="M2" s="9" t="s">
        <v>48</v>
      </c>
      <c r="N2" s="9" t="s">
        <v>49</v>
      </c>
    </row>
    <row r="3" spans="1:14" x14ac:dyDescent="0.25">
      <c r="A3" t="s">
        <v>0</v>
      </c>
    </row>
    <row r="4" spans="1:14" x14ac:dyDescent="0.25">
      <c r="B4" t="s">
        <v>2</v>
      </c>
      <c r="C4">
        <v>900</v>
      </c>
      <c r="D4">
        <f>(28.1-19.25)</f>
        <v>8.8500000000000014</v>
      </c>
      <c r="F4" s="2">
        <f>ROUND(C4*D4*8760/1000000,3)</f>
        <v>69.772999999999996</v>
      </c>
      <c r="H4">
        <f>F4</f>
        <v>69.772999999999996</v>
      </c>
      <c r="K4">
        <f>H4</f>
        <v>69.772999999999996</v>
      </c>
    </row>
    <row r="5" spans="1:14" x14ac:dyDescent="0.25">
      <c r="B5" t="s">
        <v>3</v>
      </c>
      <c r="C5">
        <v>1000</v>
      </c>
      <c r="D5">
        <v>19.25</v>
      </c>
      <c r="E5">
        <v>28.1</v>
      </c>
      <c r="F5" s="2">
        <f>ROUND((E5-D5)*C5*8760/1000000,3)</f>
        <v>77.525999999999996</v>
      </c>
      <c r="G5">
        <v>46</v>
      </c>
      <c r="H5">
        <f>(G5-D5)*C5*8760/1000000</f>
        <v>234.33</v>
      </c>
      <c r="I5">
        <f>ROUND(D5*$H$16,2)</f>
        <v>24.58</v>
      </c>
      <c r="J5">
        <f>G5</f>
        <v>46</v>
      </c>
      <c r="K5">
        <f>(J5-I5)*C5*8760/1000000</f>
        <v>187.63919999999999</v>
      </c>
      <c r="L5">
        <f>I5-D5</f>
        <v>5.3299999999999983</v>
      </c>
    </row>
    <row r="6" spans="1:14" ht="13.8" thickBot="1" x14ac:dyDescent="0.3">
      <c r="E6" s="11">
        <f>F6/(F$6+F$10+F$13)</f>
        <v>0.22276196955220939</v>
      </c>
      <c r="F6" s="4">
        <f>SUM(F4:F5)</f>
        <v>147.29899999999998</v>
      </c>
      <c r="G6" s="11">
        <f>H6/(H$6+H$10+H$13)</f>
        <v>0.15631385044248053</v>
      </c>
      <c r="H6" s="4">
        <f>SUM(H4:H5)</f>
        <v>304.10300000000001</v>
      </c>
      <c r="J6" s="11">
        <f>K6/(K$6+K$10+K$13)</f>
        <v>0.16550343944661017</v>
      </c>
      <c r="K6" s="4">
        <f>SUM(K4:K5)</f>
        <v>257.41219999999998</v>
      </c>
      <c r="L6" s="3">
        <f>(I5-D5)*C5/(C5+C4)</f>
        <v>2.805263157894736</v>
      </c>
      <c r="M6" s="2">
        <f>K6-H6</f>
        <v>-46.690800000000024</v>
      </c>
      <c r="N6" s="11">
        <f>M6/$M$15</f>
        <v>0.11967832800618834</v>
      </c>
    </row>
    <row r="7" spans="1:14" ht="13.8" thickTop="1" x14ac:dyDescent="0.25">
      <c r="A7" t="s">
        <v>4</v>
      </c>
    </row>
    <row r="8" spans="1:14" x14ac:dyDescent="0.25">
      <c r="B8" t="s">
        <v>5</v>
      </c>
      <c r="C8">
        <v>5575</v>
      </c>
      <c r="D8">
        <v>19.25</v>
      </c>
      <c r="E8">
        <v>28.1</v>
      </c>
      <c r="F8" s="2">
        <f>(E8-D8)*C8*8760/1000000</f>
        <v>432.20745000000005</v>
      </c>
      <c r="G8">
        <f>G5</f>
        <v>46</v>
      </c>
      <c r="H8" s="2">
        <f>(G8-D8)*C8*8760/1000000</f>
        <v>1306.38975</v>
      </c>
      <c r="I8">
        <f>ROUND(D8*$H$16,2)</f>
        <v>24.58</v>
      </c>
      <c r="J8">
        <f>G5</f>
        <v>46</v>
      </c>
      <c r="K8" s="2">
        <f>(J8-I8)*C8*8760/1000000</f>
        <v>1046.0885400000002</v>
      </c>
      <c r="L8">
        <f>I8-D8</f>
        <v>5.3299999999999983</v>
      </c>
    </row>
    <row r="9" spans="1:14" x14ac:dyDescent="0.25">
      <c r="B9" t="s">
        <v>21</v>
      </c>
      <c r="C9">
        <v>125</v>
      </c>
      <c r="D9">
        <v>14.25</v>
      </c>
      <c r="E9">
        <v>28.1</v>
      </c>
      <c r="F9" s="2">
        <f>(E9-D9)*C9*8760/1000000</f>
        <v>15.165750000000003</v>
      </c>
      <c r="G9">
        <f>G5</f>
        <v>46</v>
      </c>
      <c r="H9" s="2">
        <f>(G9-D9)*C9*8760/1000000</f>
        <v>34.766249999999999</v>
      </c>
      <c r="I9">
        <f>D9</f>
        <v>14.25</v>
      </c>
      <c r="J9">
        <f>G5</f>
        <v>46</v>
      </c>
      <c r="K9" s="2">
        <f>(J9-I9)*C9*8760/1000000</f>
        <v>34.766249999999999</v>
      </c>
    </row>
    <row r="10" spans="1:14" ht="13.8" thickBot="1" x14ac:dyDescent="0.3">
      <c r="E10" s="11">
        <f>F10/(F$6+F$10+F$13)</f>
        <v>0.67656762881536536</v>
      </c>
      <c r="F10" s="4">
        <f>SUM(F8:F9)</f>
        <v>447.37320000000005</v>
      </c>
      <c r="G10" s="11">
        <f>H10/(H$6+H$10+H$13)</f>
        <v>0.68937583122835155</v>
      </c>
      <c r="H10" s="4">
        <f>SUM(H8:H9)</f>
        <v>1341.1559999999999</v>
      </c>
      <c r="J10" s="11">
        <f>K10/(K$6+K$10+K$13)</f>
        <v>0.69493670186317347</v>
      </c>
      <c r="K10" s="4">
        <f>SUM(K8:K9)</f>
        <v>1080.8547900000001</v>
      </c>
      <c r="L10">
        <f>ROUND((I8-D8)*C8/(C8+C9),2)</f>
        <v>5.21</v>
      </c>
      <c r="M10" s="2">
        <f>K10-H10</f>
        <v>-260.30120999999986</v>
      </c>
      <c r="N10" s="11">
        <f>M10/$M$15</f>
        <v>0.66720667863449923</v>
      </c>
    </row>
    <row r="11" spans="1:14" ht="13.8" thickTop="1" x14ac:dyDescent="0.25">
      <c r="A11" t="s">
        <v>6</v>
      </c>
    </row>
    <row r="12" spans="1:14" x14ac:dyDescent="0.25">
      <c r="B12" t="s">
        <v>7</v>
      </c>
      <c r="C12">
        <v>1490</v>
      </c>
      <c r="D12">
        <v>23</v>
      </c>
      <c r="E12">
        <v>28.1</v>
      </c>
      <c r="G12">
        <f>G5</f>
        <v>46</v>
      </c>
      <c r="I12">
        <f>ROUND(D12*$H$16,2)</f>
        <v>29.37</v>
      </c>
      <c r="J12">
        <f>G5</f>
        <v>46</v>
      </c>
      <c r="L12">
        <f>I12-D12</f>
        <v>6.370000000000001</v>
      </c>
    </row>
    <row r="13" spans="1:14" ht="13.8" thickBot="1" x14ac:dyDescent="0.3">
      <c r="E13" s="11">
        <f>F13/(F$6+F$10+F$13)</f>
        <v>0.10067040163242534</v>
      </c>
      <c r="F13" s="4">
        <f>(E12-D12)*C12*8760/1000000</f>
        <v>66.567240000000012</v>
      </c>
      <c r="G13" s="11">
        <f>H13/(H$6+H$10+H$13)</f>
        <v>0.15431031832916792</v>
      </c>
      <c r="H13" s="5">
        <f>(G12-D12)*C12*8760/1000000</f>
        <v>300.20519999999999</v>
      </c>
      <c r="J13" s="11">
        <f>K13/(K$6+K$10+K$13)</f>
        <v>0.13955985869021631</v>
      </c>
      <c r="K13" s="4">
        <f>(J12-I12)*C12*8760/1000000</f>
        <v>217.06141199999996</v>
      </c>
      <c r="M13" s="2">
        <f>K13-H13</f>
        <v>-83.143788000000029</v>
      </c>
      <c r="N13" s="11">
        <f>M13/$M$15</f>
        <v>0.21311499335931242</v>
      </c>
    </row>
    <row r="14" spans="1:14" ht="13.8" thickTop="1" x14ac:dyDescent="0.25"/>
    <row r="15" spans="1:14" x14ac:dyDescent="0.25">
      <c r="E15" t="s">
        <v>19</v>
      </c>
      <c r="H15" s="10">
        <f>SUM(C5*(D5+0.5)*8760/1000000,C8*(D8+0.5)*8760/1000000,C12*(D12+0.5)*8760/1000000)</f>
        <v>1444.2721500000002</v>
      </c>
      <c r="I15" t="s">
        <v>18</v>
      </c>
      <c r="J15" t="s">
        <v>20</v>
      </c>
      <c r="K15" s="2">
        <f>SUM(K13,K10,K6)</f>
        <v>1555.3284020000001</v>
      </c>
      <c r="M15" s="2">
        <f>SUM(M13,M10,M6)</f>
        <v>-390.13579799999991</v>
      </c>
    </row>
    <row r="16" spans="1:14" x14ac:dyDescent="0.25">
      <c r="F16" t="s">
        <v>17</v>
      </c>
      <c r="H16" s="1">
        <f>1+H17/H15</f>
        <v>1.2769561124612143</v>
      </c>
    </row>
    <row r="17" spans="6:8" x14ac:dyDescent="0.25">
      <c r="G17" t="s">
        <v>11</v>
      </c>
      <c r="H17">
        <v>400</v>
      </c>
    </row>
    <row r="19" spans="6:8" x14ac:dyDescent="0.25">
      <c r="F19" s="2"/>
    </row>
  </sheetData>
  <pageMargins left="0.75" right="0.75" top="1" bottom="1" header="0.5" footer="0.5"/>
  <pageSetup scale="95" orientation="landscape" horizontalDpi="0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Page 1</vt:lpstr>
      <vt:lpstr>Summary Page 2</vt:lpstr>
      <vt:lpstr>Rate Case Assumptions</vt:lpstr>
      <vt:lpstr>New Load Forecasts</vt:lpstr>
      <vt:lpstr>1500 Sheet</vt:lpstr>
      <vt:lpstr>1900 Sheet</vt:lpstr>
      <vt:lpstr>125 CRAC</vt:lpstr>
      <vt:lpstr>400 CRAC</vt:lpstr>
      <vt:lpstr>Current Market</vt:lpstr>
    </vt:vector>
  </TitlesOfParts>
  <Company>Bonneville Power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McCoy, Timothy D</dc:creator>
  <cp:lastModifiedBy>Havlíček Jan</cp:lastModifiedBy>
  <cp:lastPrinted>2000-09-19T20:14:06Z</cp:lastPrinted>
  <dcterms:created xsi:type="dcterms:W3CDTF">2000-09-12T19:14:20Z</dcterms:created>
  <dcterms:modified xsi:type="dcterms:W3CDTF">2023-09-10T12:05:30Z</dcterms:modified>
</cp:coreProperties>
</file>