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412" yWindow="156" windowWidth="8676" windowHeight="7932" tabRatio="602" activeTab="2"/>
  </bookViews>
  <sheets>
    <sheet name="Pricing Notes" sheetId="24" r:id="rId1"/>
    <sheet name="Spot Deals" sheetId="30" r:id="rId2"/>
    <sheet name="CGAS" sheetId="22" r:id="rId3"/>
    <sheet name="Pricing" sheetId="21" r:id="rId4"/>
    <sheet name="CES Retail East" sheetId="25" r:id="rId5"/>
    <sheet name="CES Retail Mrkt" sheetId="19" r:id="rId6"/>
    <sheet name="Sheet1" sheetId="28" r:id="rId7"/>
    <sheet name="Sheet2" sheetId="29" r:id="rId8"/>
  </sheets>
  <definedNames>
    <definedName name="_xlnm.Print_Area" localSheetId="4">'CES Retail East'!$A$1:$AC$91</definedName>
    <definedName name="_xlnm.Print_Area" localSheetId="5">'CES Retail Mrkt'!$A$18:$W$61</definedName>
    <definedName name="_xlnm.Print_Area" localSheetId="0">'Pricing Notes'!$A$1:$N$72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0" calcMode="autoNoTable" fullCalcOnLoad="1" iterate="1" iterateCount="1" iterateDelta="0"/>
</workbook>
</file>

<file path=xl/calcChain.xml><?xml version="1.0" encoding="utf-8"?>
<calcChain xmlns="http://schemas.openxmlformats.org/spreadsheetml/2006/main">
  <c r="W11" i="25" l="1"/>
  <c r="J12" i="25"/>
  <c r="P12" i="25"/>
  <c r="T12" i="25"/>
  <c r="J13" i="25"/>
  <c r="P13" i="25"/>
  <c r="T13" i="25"/>
  <c r="J14" i="25"/>
  <c r="P14" i="25"/>
  <c r="T14" i="25"/>
  <c r="J15" i="25"/>
  <c r="P15" i="25"/>
  <c r="T15" i="25"/>
  <c r="J16" i="25"/>
  <c r="P16" i="25"/>
  <c r="T16" i="25"/>
  <c r="J17" i="25"/>
  <c r="T17" i="25"/>
  <c r="J18" i="25"/>
  <c r="T18" i="25"/>
  <c r="J19" i="25"/>
  <c r="T19" i="25"/>
  <c r="J20" i="25"/>
  <c r="T20" i="25"/>
  <c r="J21" i="25"/>
  <c r="T21" i="25"/>
  <c r="J22" i="25"/>
  <c r="T22" i="25"/>
  <c r="J23" i="25"/>
  <c r="T23" i="25"/>
  <c r="J24" i="25"/>
  <c r="T24" i="25"/>
  <c r="J25" i="25"/>
  <c r="T25" i="25"/>
  <c r="R28" i="25"/>
  <c r="T28" i="25"/>
  <c r="W29" i="25"/>
  <c r="P30" i="25"/>
  <c r="T30" i="25"/>
  <c r="J31" i="25"/>
  <c r="P31" i="25"/>
  <c r="T31" i="25"/>
  <c r="P32" i="25"/>
  <c r="T32" i="25"/>
  <c r="J33" i="25"/>
  <c r="P33" i="25"/>
  <c r="T33" i="25"/>
  <c r="P34" i="25"/>
  <c r="R34" i="25"/>
  <c r="T34" i="25"/>
  <c r="J35" i="25"/>
  <c r="P35" i="25"/>
  <c r="R35" i="25"/>
  <c r="T35" i="25"/>
  <c r="J36" i="25"/>
  <c r="R36" i="25"/>
  <c r="T36" i="25"/>
  <c r="J37" i="25"/>
  <c r="T37" i="25"/>
  <c r="J38" i="25"/>
  <c r="R38" i="25"/>
  <c r="T38" i="25"/>
  <c r="J39" i="25"/>
  <c r="R39" i="25"/>
  <c r="T39" i="25"/>
  <c r="J40" i="25"/>
  <c r="R40" i="25"/>
  <c r="T40" i="25"/>
  <c r="J41" i="25"/>
  <c r="T41" i="25"/>
  <c r="J42" i="25"/>
  <c r="T42" i="25"/>
  <c r="J43" i="25"/>
  <c r="T43" i="25"/>
  <c r="J44" i="25"/>
  <c r="T44" i="25"/>
  <c r="J45" i="25"/>
  <c r="T45" i="25"/>
  <c r="J46" i="25"/>
  <c r="R46" i="25"/>
  <c r="T46" i="25"/>
  <c r="T48" i="25"/>
  <c r="W49" i="25"/>
  <c r="J50" i="25"/>
  <c r="P50" i="25"/>
  <c r="T50" i="25"/>
  <c r="J51" i="25"/>
  <c r="P51" i="25"/>
  <c r="T51" i="25"/>
  <c r="J52" i="25"/>
  <c r="P52" i="25"/>
  <c r="T52" i="25"/>
  <c r="J53" i="25"/>
  <c r="P53" i="25"/>
  <c r="T53" i="25"/>
  <c r="T54" i="25"/>
  <c r="J55" i="25"/>
  <c r="T55" i="25"/>
  <c r="T56" i="25"/>
  <c r="J57" i="25"/>
  <c r="T57" i="25"/>
  <c r="T58" i="25"/>
  <c r="J59" i="25"/>
  <c r="T59" i="25"/>
  <c r="T60" i="25"/>
  <c r="T61" i="25"/>
  <c r="T63" i="25"/>
  <c r="W64" i="25"/>
  <c r="J65" i="25"/>
  <c r="P65" i="25"/>
  <c r="T65" i="25"/>
  <c r="J66" i="25"/>
  <c r="P66" i="25"/>
  <c r="Q66" i="25"/>
  <c r="S66" i="25"/>
  <c r="T66" i="25"/>
  <c r="V66" i="25"/>
  <c r="J67" i="25"/>
  <c r="P67" i="25"/>
  <c r="Q67" i="25"/>
  <c r="R67" i="25"/>
  <c r="S67" i="25"/>
  <c r="T67" i="25"/>
  <c r="V67" i="25"/>
  <c r="J68" i="25"/>
  <c r="P68" i="25"/>
  <c r="T68" i="25"/>
  <c r="J69" i="25"/>
  <c r="P69" i="25"/>
  <c r="S69" i="25"/>
  <c r="T69" i="25"/>
  <c r="J70" i="25"/>
  <c r="P70" i="25"/>
  <c r="R70" i="25"/>
  <c r="S70" i="25"/>
  <c r="T70" i="25"/>
  <c r="J71" i="25"/>
  <c r="P71" i="25"/>
  <c r="T71" i="25"/>
  <c r="J72" i="25"/>
  <c r="P72" i="25"/>
  <c r="Q72" i="25"/>
  <c r="S72" i="25"/>
  <c r="T72" i="25"/>
  <c r="J73" i="25"/>
  <c r="P73" i="25"/>
  <c r="Q73" i="25"/>
  <c r="R73" i="25"/>
  <c r="S73" i="25"/>
  <c r="T73" i="25"/>
  <c r="J74" i="25"/>
  <c r="P74" i="25"/>
  <c r="T74" i="25"/>
  <c r="J75" i="25"/>
  <c r="P75" i="25"/>
  <c r="T75" i="25"/>
  <c r="J76" i="25"/>
  <c r="P76" i="25"/>
  <c r="T76" i="25"/>
  <c r="J77" i="25"/>
  <c r="P77" i="25"/>
  <c r="Q77" i="25"/>
  <c r="S77" i="25"/>
  <c r="T77" i="25"/>
  <c r="V77" i="25"/>
  <c r="J78" i="25"/>
  <c r="P78" i="25"/>
  <c r="Q78" i="25"/>
  <c r="R78" i="25"/>
  <c r="S78" i="25"/>
  <c r="T78" i="25"/>
  <c r="V78" i="25"/>
  <c r="P79" i="25"/>
  <c r="T79" i="25"/>
  <c r="P80" i="25"/>
  <c r="T80" i="25"/>
  <c r="P81" i="25"/>
  <c r="T81" i="25"/>
  <c r="P82" i="25"/>
  <c r="T82" i="25"/>
  <c r="P83" i="25"/>
  <c r="T83" i="25"/>
  <c r="P84" i="25"/>
  <c r="T84" i="25"/>
  <c r="P85" i="25"/>
  <c r="T85" i="25"/>
  <c r="P86" i="25"/>
  <c r="T86" i="25"/>
  <c r="T87" i="25"/>
  <c r="T90" i="25"/>
  <c r="T13" i="19"/>
  <c r="T14" i="19"/>
  <c r="T15" i="19"/>
  <c r="T16" i="19"/>
  <c r="R17" i="19"/>
  <c r="T17" i="19"/>
  <c r="W18" i="19"/>
  <c r="J19" i="19"/>
  <c r="P19" i="19"/>
  <c r="J20" i="19"/>
  <c r="P20" i="19"/>
  <c r="J21" i="19"/>
  <c r="P21" i="19"/>
  <c r="T21" i="19"/>
  <c r="J22" i="19"/>
  <c r="P22" i="19"/>
  <c r="T22" i="19"/>
  <c r="J23" i="19"/>
  <c r="P23" i="19"/>
  <c r="T23" i="19"/>
  <c r="J24" i="19"/>
  <c r="P24" i="19"/>
  <c r="T24" i="19"/>
  <c r="J25" i="19"/>
  <c r="P25" i="19"/>
  <c r="T25" i="19"/>
  <c r="J26" i="19"/>
  <c r="P26" i="19"/>
  <c r="T26" i="19"/>
  <c r="J27" i="19"/>
  <c r="P27" i="19"/>
  <c r="T27" i="19"/>
  <c r="J28" i="19"/>
  <c r="P28" i="19"/>
  <c r="T28" i="19"/>
  <c r="P29" i="19"/>
  <c r="T29" i="19"/>
  <c r="P30" i="19"/>
  <c r="T30" i="19"/>
  <c r="P31" i="19"/>
  <c r="T31" i="19"/>
  <c r="P32" i="19"/>
  <c r="T32" i="19"/>
  <c r="J33" i="19"/>
  <c r="P33" i="19"/>
  <c r="T33" i="19"/>
  <c r="J34" i="19"/>
  <c r="P34" i="19"/>
  <c r="T34" i="19"/>
  <c r="J35" i="19"/>
  <c r="P35" i="19"/>
  <c r="T35" i="19"/>
  <c r="J36" i="19"/>
  <c r="P36" i="19"/>
  <c r="T36" i="19"/>
  <c r="J37" i="19"/>
  <c r="P37" i="19"/>
  <c r="T37" i="19"/>
  <c r="J38" i="19"/>
  <c r="P38" i="19"/>
  <c r="T38" i="19"/>
  <c r="J39" i="19"/>
  <c r="P39" i="19"/>
  <c r="T39" i="19"/>
  <c r="J40" i="19"/>
  <c r="P40" i="19"/>
  <c r="T40" i="19"/>
  <c r="J41" i="19"/>
  <c r="P41" i="19"/>
  <c r="T41" i="19"/>
  <c r="J42" i="19"/>
  <c r="P42" i="19"/>
  <c r="T42" i="19"/>
  <c r="J43" i="19"/>
  <c r="P43" i="19"/>
  <c r="T43" i="19"/>
  <c r="J44" i="19"/>
  <c r="T44" i="19"/>
  <c r="J45" i="19"/>
  <c r="T45" i="19"/>
  <c r="T46" i="19"/>
  <c r="T47" i="19"/>
  <c r="J49" i="19"/>
  <c r="T49" i="19"/>
  <c r="J50" i="19"/>
  <c r="T50" i="19"/>
  <c r="J51" i="19"/>
  <c r="T51" i="19"/>
  <c r="J52" i="19"/>
  <c r="T52" i="19"/>
  <c r="J53" i="19"/>
  <c r="T53" i="19"/>
  <c r="J54" i="19"/>
  <c r="T54" i="19"/>
  <c r="J55" i="19"/>
  <c r="T55" i="19"/>
  <c r="J57" i="19"/>
  <c r="T57" i="19"/>
  <c r="J58" i="19"/>
  <c r="T58" i="19"/>
  <c r="J59" i="19"/>
  <c r="T59" i="19"/>
  <c r="J60" i="19"/>
  <c r="T60" i="19"/>
  <c r="T61" i="19"/>
  <c r="R62" i="19"/>
  <c r="T62" i="19"/>
  <c r="U62" i="19"/>
  <c r="W63" i="19"/>
  <c r="J64" i="19"/>
  <c r="P64" i="19"/>
  <c r="T64" i="19"/>
  <c r="T65" i="19"/>
  <c r="T68" i="19"/>
  <c r="F6" i="22"/>
  <c r="J6" i="22"/>
  <c r="O6" i="22"/>
  <c r="Q6" i="22"/>
  <c r="T6" i="22"/>
  <c r="A7" i="22"/>
  <c r="C7" i="22"/>
  <c r="D7" i="22"/>
  <c r="F7" i="22"/>
  <c r="H7" i="22"/>
  <c r="J7" i="22"/>
  <c r="M7" i="22"/>
  <c r="N7" i="22"/>
  <c r="O7" i="22"/>
  <c r="Q7" i="22"/>
  <c r="S7" i="22"/>
  <c r="T7" i="22"/>
  <c r="A8" i="22"/>
  <c r="C8" i="22"/>
  <c r="D8" i="22"/>
  <c r="F8" i="22"/>
  <c r="H8" i="22"/>
  <c r="J8" i="22"/>
  <c r="M8" i="22"/>
  <c r="N8" i="22"/>
  <c r="O8" i="22"/>
  <c r="Q8" i="22"/>
  <c r="S8" i="22"/>
  <c r="T8" i="22"/>
  <c r="A9" i="22"/>
  <c r="C9" i="22"/>
  <c r="D9" i="22"/>
  <c r="F9" i="22"/>
  <c r="H9" i="22"/>
  <c r="J9" i="22"/>
  <c r="M9" i="22"/>
  <c r="N9" i="22"/>
  <c r="O9" i="22"/>
  <c r="Q9" i="22"/>
  <c r="S9" i="22"/>
  <c r="T9" i="22"/>
  <c r="A10" i="22"/>
  <c r="C10" i="22"/>
  <c r="D10" i="22"/>
  <c r="F10" i="22"/>
  <c r="H10" i="22"/>
  <c r="J10" i="22"/>
  <c r="M10" i="22"/>
  <c r="N10" i="22"/>
  <c r="O10" i="22"/>
  <c r="Q10" i="22"/>
  <c r="S10" i="22"/>
  <c r="T10" i="22"/>
  <c r="A11" i="22"/>
  <c r="C11" i="22"/>
  <c r="D11" i="22"/>
  <c r="F11" i="22"/>
  <c r="H11" i="22"/>
  <c r="J11" i="22"/>
  <c r="M11" i="22"/>
  <c r="N11" i="22"/>
  <c r="O11" i="22"/>
  <c r="Q11" i="22"/>
  <c r="S11" i="22"/>
  <c r="T11" i="22"/>
  <c r="A12" i="22"/>
  <c r="C12" i="22"/>
  <c r="D12" i="22"/>
  <c r="F12" i="22"/>
  <c r="H12" i="22"/>
  <c r="J12" i="22"/>
  <c r="M12" i="22"/>
  <c r="N12" i="22"/>
  <c r="O12" i="22"/>
  <c r="Q12" i="22"/>
  <c r="S12" i="22"/>
  <c r="T12" i="22"/>
  <c r="A13" i="22"/>
  <c r="C13" i="22"/>
  <c r="D13" i="22"/>
  <c r="F13" i="22"/>
  <c r="H13" i="22"/>
  <c r="J13" i="22"/>
  <c r="M13" i="22"/>
  <c r="N13" i="22"/>
  <c r="O13" i="22"/>
  <c r="Q13" i="22"/>
  <c r="S13" i="22"/>
  <c r="T13" i="22"/>
  <c r="A14" i="22"/>
  <c r="C14" i="22"/>
  <c r="D14" i="22"/>
  <c r="F14" i="22"/>
  <c r="H14" i="22"/>
  <c r="J14" i="22"/>
  <c r="M14" i="22"/>
  <c r="N14" i="22"/>
  <c r="O14" i="22"/>
  <c r="Q14" i="22"/>
  <c r="S14" i="22"/>
  <c r="T14" i="22"/>
  <c r="A15" i="22"/>
  <c r="C15" i="22"/>
  <c r="D15" i="22"/>
  <c r="F15" i="22"/>
  <c r="H15" i="22"/>
  <c r="J15" i="22"/>
  <c r="M15" i="22"/>
  <c r="N15" i="22"/>
  <c r="O15" i="22"/>
  <c r="Q15" i="22"/>
  <c r="S15" i="22"/>
  <c r="T15" i="22"/>
  <c r="A16" i="22"/>
  <c r="C16" i="22"/>
  <c r="D16" i="22"/>
  <c r="F16" i="22"/>
  <c r="H16" i="22"/>
  <c r="J16" i="22"/>
  <c r="M16" i="22"/>
  <c r="N16" i="22"/>
  <c r="O16" i="22"/>
  <c r="Q16" i="22"/>
  <c r="S16" i="22"/>
  <c r="T16" i="22"/>
  <c r="A17" i="22"/>
  <c r="C17" i="22"/>
  <c r="D17" i="22"/>
  <c r="F17" i="22"/>
  <c r="H17" i="22"/>
  <c r="J17" i="22"/>
  <c r="M17" i="22"/>
  <c r="N17" i="22"/>
  <c r="O17" i="22"/>
  <c r="Q17" i="22"/>
  <c r="S17" i="22"/>
  <c r="T17" i="22"/>
  <c r="A18" i="22"/>
  <c r="C18" i="22"/>
  <c r="D18" i="22"/>
  <c r="F18" i="22"/>
  <c r="H18" i="22"/>
  <c r="J18" i="22"/>
  <c r="M18" i="22"/>
  <c r="N18" i="22"/>
  <c r="O18" i="22"/>
  <c r="Q18" i="22"/>
  <c r="S18" i="22"/>
  <c r="T18" i="22"/>
  <c r="A19" i="22"/>
  <c r="C19" i="22"/>
  <c r="D19" i="22"/>
  <c r="F19" i="22"/>
  <c r="H19" i="22"/>
  <c r="J19" i="22"/>
  <c r="M19" i="22"/>
  <c r="N19" i="22"/>
  <c r="O19" i="22"/>
  <c r="Q19" i="22"/>
  <c r="S19" i="22"/>
  <c r="T19" i="22"/>
  <c r="A20" i="22"/>
  <c r="C20" i="22"/>
  <c r="D20" i="22"/>
  <c r="F20" i="22"/>
  <c r="H20" i="22"/>
  <c r="J20" i="22"/>
  <c r="M20" i="22"/>
  <c r="N20" i="22"/>
  <c r="O20" i="22"/>
  <c r="Q20" i="22"/>
  <c r="S20" i="22"/>
  <c r="T20" i="22"/>
  <c r="A21" i="22"/>
  <c r="C21" i="22"/>
  <c r="D21" i="22"/>
  <c r="F21" i="22"/>
  <c r="H21" i="22"/>
  <c r="J21" i="22"/>
  <c r="M21" i="22"/>
  <c r="N21" i="22"/>
  <c r="O21" i="22"/>
  <c r="Q21" i="22"/>
  <c r="S21" i="22"/>
  <c r="T21" i="22"/>
  <c r="A22" i="22"/>
  <c r="C22" i="22"/>
  <c r="D22" i="22"/>
  <c r="F22" i="22"/>
  <c r="H22" i="22"/>
  <c r="J22" i="22"/>
  <c r="M22" i="22"/>
  <c r="N22" i="22"/>
  <c r="O22" i="22"/>
  <c r="Q22" i="22"/>
  <c r="S22" i="22"/>
  <c r="T22" i="22"/>
  <c r="A23" i="22"/>
  <c r="C23" i="22"/>
  <c r="D23" i="22"/>
  <c r="F23" i="22"/>
  <c r="H23" i="22"/>
  <c r="J23" i="22"/>
  <c r="M23" i="22"/>
  <c r="N23" i="22"/>
  <c r="O23" i="22"/>
  <c r="Q23" i="22"/>
  <c r="S23" i="22"/>
  <c r="T23" i="22"/>
  <c r="A24" i="22"/>
  <c r="C24" i="22"/>
  <c r="D24" i="22"/>
  <c r="F24" i="22"/>
  <c r="H24" i="22"/>
  <c r="J24" i="22"/>
  <c r="M24" i="22"/>
  <c r="N24" i="22"/>
  <c r="O24" i="22"/>
  <c r="Q24" i="22"/>
  <c r="S24" i="22"/>
  <c r="T24" i="22"/>
  <c r="A25" i="22"/>
  <c r="C25" i="22"/>
  <c r="D25" i="22"/>
  <c r="F25" i="22"/>
  <c r="H25" i="22"/>
  <c r="J25" i="22"/>
  <c r="M25" i="22"/>
  <c r="N25" i="22"/>
  <c r="O25" i="22"/>
  <c r="Q25" i="22"/>
  <c r="S25" i="22"/>
  <c r="T25" i="22"/>
  <c r="A26" i="22"/>
  <c r="C26" i="22"/>
  <c r="D26" i="22"/>
  <c r="F26" i="22"/>
  <c r="H26" i="22"/>
  <c r="J26" i="22"/>
  <c r="M26" i="22"/>
  <c r="N26" i="22"/>
  <c r="O26" i="22"/>
  <c r="Q26" i="22"/>
  <c r="S26" i="22"/>
  <c r="T26" i="22"/>
  <c r="A27" i="22"/>
  <c r="C27" i="22"/>
  <c r="D27" i="22"/>
  <c r="F27" i="22"/>
  <c r="H27" i="22"/>
  <c r="J27" i="22"/>
  <c r="M27" i="22"/>
  <c r="N27" i="22"/>
  <c r="O27" i="22"/>
  <c r="Q27" i="22"/>
  <c r="S27" i="22"/>
  <c r="T27" i="22"/>
  <c r="A28" i="22"/>
  <c r="C28" i="22"/>
  <c r="D28" i="22"/>
  <c r="F28" i="22"/>
  <c r="H28" i="22"/>
  <c r="J28" i="22"/>
  <c r="M28" i="22"/>
  <c r="N28" i="22"/>
  <c r="O28" i="22"/>
  <c r="Q28" i="22"/>
  <c r="S28" i="22"/>
  <c r="T28" i="22"/>
  <c r="A29" i="22"/>
  <c r="C29" i="22"/>
  <c r="D29" i="22"/>
  <c r="F29" i="22"/>
  <c r="H29" i="22"/>
  <c r="J29" i="22"/>
  <c r="M29" i="22"/>
  <c r="N29" i="22"/>
  <c r="O29" i="22"/>
  <c r="Q29" i="22"/>
  <c r="S29" i="22"/>
  <c r="T29" i="22"/>
  <c r="A30" i="22"/>
  <c r="C30" i="22"/>
  <c r="D30" i="22"/>
  <c r="F30" i="22"/>
  <c r="H30" i="22"/>
  <c r="J30" i="22"/>
  <c r="M30" i="22"/>
  <c r="N30" i="22"/>
  <c r="O30" i="22"/>
  <c r="Q30" i="22"/>
  <c r="S30" i="22"/>
  <c r="T30" i="22"/>
  <c r="A31" i="22"/>
  <c r="C31" i="22"/>
  <c r="D31" i="22"/>
  <c r="F31" i="22"/>
  <c r="H31" i="22"/>
  <c r="J31" i="22"/>
  <c r="M31" i="22"/>
  <c r="N31" i="22"/>
  <c r="O31" i="22"/>
  <c r="Q31" i="22"/>
  <c r="S31" i="22"/>
  <c r="T31" i="22"/>
  <c r="A32" i="22"/>
  <c r="C32" i="22"/>
  <c r="D32" i="22"/>
  <c r="F32" i="22"/>
  <c r="H32" i="22"/>
  <c r="J32" i="22"/>
  <c r="M32" i="22"/>
  <c r="N32" i="22"/>
  <c r="O32" i="22"/>
  <c r="Q32" i="22"/>
  <c r="S32" i="22"/>
  <c r="T32" i="22"/>
  <c r="A33" i="22"/>
  <c r="C33" i="22"/>
  <c r="D33" i="22"/>
  <c r="F33" i="22"/>
  <c r="H33" i="22"/>
  <c r="J33" i="22"/>
  <c r="M33" i="22"/>
  <c r="N33" i="22"/>
  <c r="O33" i="22"/>
  <c r="Q33" i="22"/>
  <c r="S33" i="22"/>
  <c r="T33" i="22"/>
  <c r="A34" i="22"/>
  <c r="C34" i="22"/>
  <c r="D34" i="22"/>
  <c r="F34" i="22"/>
  <c r="H34" i="22"/>
  <c r="J34" i="22"/>
  <c r="M34" i="22"/>
  <c r="N34" i="22"/>
  <c r="O34" i="22"/>
  <c r="Q34" i="22"/>
  <c r="S34" i="22"/>
  <c r="T34" i="22"/>
  <c r="A35" i="22"/>
  <c r="C35" i="22"/>
  <c r="D35" i="22"/>
  <c r="F35" i="22"/>
  <c r="H35" i="22"/>
  <c r="J35" i="22"/>
  <c r="M35" i="22"/>
  <c r="N35" i="22"/>
  <c r="O35" i="22"/>
  <c r="Q35" i="22"/>
  <c r="S35" i="22"/>
  <c r="T35" i="22"/>
  <c r="A36" i="22"/>
  <c r="C36" i="22"/>
  <c r="D36" i="22"/>
  <c r="F36" i="22"/>
  <c r="H36" i="22"/>
  <c r="J36" i="22"/>
  <c r="M36" i="22"/>
  <c r="N36" i="22"/>
  <c r="O36" i="22"/>
  <c r="Q36" i="22"/>
  <c r="S36" i="22"/>
  <c r="T36" i="22"/>
  <c r="B38" i="22"/>
  <c r="C38" i="22"/>
  <c r="D38" i="22"/>
  <c r="F38" i="22"/>
  <c r="H38" i="22"/>
  <c r="J38" i="22"/>
  <c r="M38" i="22"/>
  <c r="N38" i="22"/>
  <c r="O38" i="22"/>
  <c r="Q38" i="22"/>
  <c r="T38" i="22"/>
  <c r="C9" i="21"/>
  <c r="C11" i="21"/>
  <c r="I16" i="21"/>
  <c r="I20" i="21"/>
  <c r="C21" i="21"/>
  <c r="E21" i="21"/>
  <c r="I21" i="21"/>
  <c r="C22" i="21"/>
  <c r="E23" i="21"/>
  <c r="D43" i="21"/>
  <c r="C44" i="21"/>
  <c r="C45" i="21"/>
  <c r="C62" i="21"/>
  <c r="E62" i="21"/>
  <c r="C63" i="21"/>
  <c r="E63" i="21"/>
  <c r="C74" i="21"/>
  <c r="C75" i="21"/>
  <c r="C84" i="21"/>
  <c r="C85" i="21"/>
  <c r="C103" i="21"/>
  <c r="C104" i="21"/>
  <c r="C114" i="21"/>
  <c r="C115" i="21"/>
  <c r="C125" i="21"/>
  <c r="K125" i="21"/>
  <c r="C126" i="21"/>
  <c r="K126" i="21"/>
  <c r="C148" i="21"/>
  <c r="C149" i="21"/>
  <c r="C162" i="21"/>
  <c r="C163" i="21"/>
  <c r="C170" i="21"/>
  <c r="C172" i="21"/>
  <c r="C173" i="21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  <c r="W3" i="29"/>
  <c r="J4" i="29"/>
  <c r="P4" i="29"/>
  <c r="J5" i="29"/>
  <c r="P5" i="29"/>
  <c r="J6" i="29"/>
  <c r="P6" i="29"/>
  <c r="T6" i="29"/>
  <c r="J8" i="29"/>
  <c r="P8" i="29"/>
  <c r="T8" i="29"/>
  <c r="J9" i="29"/>
  <c r="P9" i="29"/>
  <c r="T9" i="29"/>
  <c r="J10" i="29"/>
  <c r="P10" i="29"/>
  <c r="T10" i="29"/>
  <c r="J11" i="29"/>
  <c r="P11" i="29"/>
  <c r="T11" i="29"/>
  <c r="J13" i="29"/>
  <c r="P13" i="29"/>
  <c r="T13" i="29"/>
  <c r="J14" i="29"/>
  <c r="P14" i="29"/>
  <c r="T14" i="29"/>
  <c r="J15" i="29"/>
  <c r="P15" i="29"/>
  <c r="T15" i="29"/>
  <c r="J16" i="29"/>
  <c r="P16" i="29"/>
  <c r="T16" i="29"/>
  <c r="P17" i="29"/>
  <c r="T17" i="29"/>
  <c r="P18" i="29"/>
  <c r="T18" i="29"/>
  <c r="P19" i="29"/>
  <c r="T19" i="29"/>
  <c r="P20" i="29"/>
  <c r="T20" i="29"/>
  <c r="J21" i="29"/>
  <c r="P21" i="29"/>
  <c r="T21" i="29"/>
  <c r="J22" i="29"/>
  <c r="P22" i="29"/>
  <c r="T22" i="29"/>
  <c r="J23" i="29"/>
  <c r="P23" i="29"/>
  <c r="T23" i="29"/>
  <c r="J24" i="29"/>
  <c r="P24" i="29"/>
  <c r="T24" i="29"/>
  <c r="J25" i="29"/>
  <c r="P25" i="29"/>
  <c r="T25" i="29"/>
  <c r="J26" i="29"/>
  <c r="P26" i="29"/>
  <c r="T26" i="29"/>
  <c r="J28" i="29"/>
  <c r="P28" i="29"/>
  <c r="T28" i="29"/>
  <c r="J29" i="29"/>
  <c r="P29" i="29"/>
  <c r="T29" i="29"/>
  <c r="J30" i="29"/>
  <c r="P30" i="29"/>
  <c r="T30" i="29"/>
  <c r="J31" i="29"/>
  <c r="P31" i="29"/>
  <c r="T31" i="29"/>
  <c r="J32" i="29"/>
  <c r="P32" i="29"/>
  <c r="T32" i="29"/>
  <c r="J34" i="29"/>
  <c r="P34" i="29"/>
  <c r="T34" i="29"/>
  <c r="J35" i="29"/>
  <c r="P35" i="29"/>
  <c r="T35" i="29"/>
  <c r="J36" i="29"/>
  <c r="P36" i="29"/>
  <c r="T36" i="29"/>
  <c r="J37" i="29"/>
  <c r="P37" i="29"/>
  <c r="T37" i="29"/>
  <c r="J39" i="29"/>
  <c r="P39" i="29"/>
  <c r="T39" i="29"/>
  <c r="J40" i="29"/>
  <c r="P40" i="29"/>
  <c r="T40" i="29"/>
  <c r="J42" i="29"/>
  <c r="P42" i="29"/>
  <c r="T42" i="29"/>
  <c r="J43" i="29"/>
  <c r="P43" i="29"/>
  <c r="T43" i="29"/>
  <c r="J44" i="29"/>
  <c r="P44" i="29"/>
  <c r="T44" i="29"/>
  <c r="J45" i="29"/>
  <c r="T45" i="29"/>
  <c r="J46" i="29"/>
  <c r="T46" i="29"/>
  <c r="T47" i="29"/>
  <c r="T48" i="29"/>
  <c r="J49" i="29"/>
  <c r="P49" i="29"/>
  <c r="T49" i="29"/>
  <c r="J51" i="29"/>
  <c r="T51" i="29"/>
  <c r="J52" i="29"/>
  <c r="T52" i="29"/>
  <c r="J53" i="29"/>
  <c r="T53" i="29"/>
  <c r="J54" i="29"/>
  <c r="T54" i="29"/>
  <c r="J55" i="29"/>
  <c r="T55" i="29"/>
  <c r="J56" i="29"/>
  <c r="T56" i="29"/>
  <c r="J57" i="29"/>
  <c r="T57" i="29"/>
  <c r="J59" i="29"/>
  <c r="T59" i="29"/>
  <c r="J60" i="29"/>
  <c r="T60" i="29"/>
  <c r="J61" i="29"/>
  <c r="T61" i="29"/>
  <c r="J62" i="29"/>
  <c r="T62" i="29"/>
  <c r="T63" i="29"/>
  <c r="R64" i="29"/>
  <c r="T64" i="29"/>
  <c r="U64" i="29"/>
  <c r="W67" i="29"/>
  <c r="J68" i="29"/>
  <c r="P68" i="29"/>
  <c r="T68" i="29"/>
  <c r="J69" i="29"/>
  <c r="P69" i="29"/>
  <c r="T69" i="29"/>
  <c r="J70" i="29"/>
  <c r="P70" i="29"/>
  <c r="T70" i="29"/>
  <c r="J72" i="29"/>
  <c r="P72" i="29"/>
  <c r="T72" i="29"/>
  <c r="J73" i="29"/>
  <c r="P73" i="29"/>
  <c r="T73" i="29"/>
  <c r="J75" i="29"/>
  <c r="P75" i="29"/>
  <c r="T75" i="29"/>
  <c r="J76" i="29"/>
  <c r="T76" i="29"/>
  <c r="J77" i="29"/>
  <c r="T77" i="29"/>
  <c r="J78" i="29"/>
  <c r="T78" i="29"/>
  <c r="J79" i="29"/>
  <c r="T79" i="29"/>
  <c r="J80" i="29"/>
  <c r="T80" i="29"/>
  <c r="J81" i="29"/>
  <c r="T81" i="29"/>
  <c r="J82" i="29"/>
  <c r="T82" i="29"/>
  <c r="J83" i="29"/>
  <c r="T83" i="29"/>
  <c r="J84" i="29"/>
  <c r="T84" i="29"/>
  <c r="A7" i="30"/>
  <c r="B7" i="30"/>
  <c r="A8" i="30"/>
  <c r="B8" i="30"/>
  <c r="A9" i="30"/>
  <c r="B9" i="30"/>
  <c r="A10" i="30"/>
  <c r="B10" i="30"/>
  <c r="A11" i="30"/>
  <c r="B11" i="30"/>
  <c r="A12" i="30"/>
  <c r="A13" i="30"/>
  <c r="B13" i="30"/>
  <c r="A14" i="30"/>
  <c r="B14" i="30"/>
  <c r="A15" i="30"/>
  <c r="B15" i="30"/>
  <c r="A16" i="30"/>
  <c r="B16" i="30"/>
  <c r="A17" i="30"/>
  <c r="B17" i="30"/>
  <c r="A18" i="30"/>
  <c r="B18" i="30"/>
  <c r="A19" i="30"/>
  <c r="B19" i="30"/>
  <c r="A20" i="30"/>
  <c r="B20" i="30"/>
  <c r="A21" i="30"/>
  <c r="B21" i="30"/>
  <c r="A22" i="30"/>
  <c r="B22" i="30"/>
  <c r="A23" i="30"/>
  <c r="B23" i="30"/>
  <c r="A24" i="30"/>
  <c r="B24" i="30"/>
  <c r="A25" i="30"/>
  <c r="B25" i="30"/>
  <c r="A26" i="30"/>
  <c r="B26" i="30"/>
  <c r="A27" i="30"/>
  <c r="B27" i="30"/>
  <c r="A28" i="30"/>
  <c r="B28" i="30"/>
  <c r="A29" i="30"/>
  <c r="B29" i="30"/>
  <c r="A30" i="30"/>
  <c r="B30" i="30"/>
  <c r="A31" i="30"/>
  <c r="B31" i="30"/>
  <c r="A32" i="30"/>
  <c r="B32" i="30"/>
  <c r="A33" i="30"/>
  <c r="B33" i="30"/>
  <c r="A34" i="30"/>
  <c r="B34" i="30"/>
  <c r="A35" i="30"/>
  <c r="B35" i="30"/>
  <c r="A36" i="30"/>
  <c r="B36" i="30"/>
</calcChain>
</file>

<file path=xl/comments1.xml><?xml version="1.0" encoding="utf-8"?>
<comments xmlns="http://schemas.openxmlformats.org/spreadsheetml/2006/main">
  <authors>
    <author>cgerman</author>
  </authors>
  <commentList>
    <comment ref="B1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Purchased from New Power at $5.32, deal 431846.  Bookout with deal 431849.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B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414075
</t>
        </r>
      </text>
    </comment>
    <comment ref="Q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Gas Daily buyback deals  456630 and 456638
</t>
        </r>
      </text>
    </comment>
    <comment ref="M1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sold back 10,000 dth day for the 7th - 31st
at $5.32,  see deal 431846</t>
        </r>
      </text>
    </comment>
    <comment ref="M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sold 10,000 dth of pool gas to Aquila from the 27th - 31st.  ENA will show this as a sale to New Power at the pool, see deal 452810
</t>
        </r>
      </text>
    </comment>
  </commentList>
</comments>
</file>

<file path=xl/sharedStrings.xml><?xml version="1.0" encoding="utf-8"?>
<sst xmlns="http://schemas.openxmlformats.org/spreadsheetml/2006/main" count="2188" uniqueCount="382">
  <si>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</si>
  <si>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</si>
  <si>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</si>
  <si>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</si>
  <si>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</si>
  <si>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</si>
  <si>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</si>
  <si>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</si>
  <si>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</si>
  <si>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</si>
  <si>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</si>
  <si>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</si>
  <si>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</si>
  <si>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</si>
  <si>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</si>
  <si>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</si>
  <si>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</si>
  <si>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</si>
  <si>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</si>
  <si>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</si>
  <si>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</si>
  <si>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</si>
  <si>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</si>
  <si>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</si>
  <si>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</si>
  <si>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</si>
  <si>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</si>
  <si>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</si>
  <si>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</si>
  <si>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</si>
  <si>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</si>
  <si>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</si>
  <si>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</si>
  <si>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</si>
  <si>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</si>
  <si>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</si>
  <si>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</si>
  <si>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</si>
  <si>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</si>
  <si>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</si>
  <si>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</si>
  <si>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</si>
  <si>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</si>
  <si>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</si>
  <si>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</si>
  <si>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</si>
  <si>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</si>
  <si>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</si>
  <si>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</si>
  <si>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</si>
  <si>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</si>
  <si>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</si>
  <si>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CNG</t>
  </si>
  <si>
    <t>max demand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</si>
  <si>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</si>
  <si>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</si>
  <si>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</si>
  <si>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</si>
  <si>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</si>
  <si>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</si>
  <si>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</si>
  <si>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</si>
  <si>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</si>
  <si>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</si>
  <si>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</si>
  <si>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</si>
  <si>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</si>
  <si>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</si>
  <si>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</si>
  <si>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</si>
  <si>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</si>
  <si>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</si>
  <si>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</si>
  <si>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</si>
  <si>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</si>
  <si>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</si>
  <si>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</si>
  <si>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</si>
  <si>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</si>
  <si>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</si>
  <si>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</si>
  <si>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</si>
  <si>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</si>
  <si>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</si>
  <si>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</si>
  <si>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</si>
  <si>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</si>
  <si>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</si>
  <si>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</si>
  <si>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</si>
  <si>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</si>
  <si>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</si>
  <si>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</si>
  <si>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</si>
  <si>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</si>
  <si>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</si>
  <si>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</si>
  <si>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</si>
  <si>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</si>
  <si>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</si>
  <si>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</si>
  <si>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</si>
  <si>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</si>
  <si>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</si>
  <si>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</si>
  <si>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</si>
  <si>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</si>
  <si>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</si>
  <si>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</si>
  <si>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</si>
  <si>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</si>
  <si>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</si>
  <si>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</si>
  <si>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</si>
  <si>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Texas Gas</t>
  </si>
  <si>
    <t>FT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</si>
  <si>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</si>
  <si>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</si>
  <si>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</si>
  <si>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</si>
  <si>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</si>
  <si>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</si>
  <si>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</si>
  <si>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</si>
  <si>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</si>
  <si>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</si>
  <si>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</si>
  <si>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</si>
  <si>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</si>
  <si>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</si>
  <si>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</si>
  <si>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</si>
  <si>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</si>
  <si>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</si>
  <si>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</si>
  <si>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</si>
  <si>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</si>
  <si>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</si>
  <si>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</si>
  <si>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</si>
  <si>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</si>
  <si>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</si>
  <si>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</si>
  <si>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</si>
  <si>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</si>
  <si>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</si>
  <si>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</si>
  <si>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</si>
  <si>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</si>
  <si>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</si>
  <si>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</si>
  <si>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</si>
  <si>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</si>
  <si>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</si>
  <si>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Dayton</t>
  </si>
  <si>
    <t>SNAT</t>
  </si>
  <si>
    <t>AGL</t>
  </si>
  <si>
    <t>CSS</t>
  </si>
  <si>
    <t>Bear Creek</t>
  </si>
  <si>
    <t>Stor</t>
  </si>
  <si>
    <t>From CES #66615</t>
  </si>
  <si>
    <t>SGA</t>
  </si>
  <si>
    <t>A+B+C</t>
  </si>
  <si>
    <t>Storage</t>
  </si>
  <si>
    <t>CES Retail</t>
  </si>
  <si>
    <t>Calp</t>
  </si>
  <si>
    <t>Total</t>
  </si>
  <si>
    <t>1st of Month</t>
  </si>
  <si>
    <t>Strg Vol</t>
  </si>
  <si>
    <t>Total Req</t>
  </si>
  <si>
    <t>Gas Daily</t>
  </si>
  <si>
    <t xml:space="preserve"> &lt;== Total Undertakes</t>
  </si>
  <si>
    <t>Net</t>
  </si>
  <si>
    <t>O-K</t>
  </si>
  <si>
    <t>Portland Storage</t>
  </si>
  <si>
    <t>FS-MA</t>
  </si>
  <si>
    <t>Equit</t>
  </si>
  <si>
    <t>11089</t>
  </si>
  <si>
    <t>TEPE 0144</t>
  </si>
  <si>
    <t>No offer</t>
  </si>
  <si>
    <t>100% Reimbursed from CES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</si>
  <si>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</si>
  <si>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</si>
  <si>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</si>
  <si>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</si>
  <si>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</si>
  <si>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</si>
  <si>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</si>
  <si>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</si>
  <si>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</si>
  <si>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</si>
  <si>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</si>
  <si>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</si>
  <si>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</si>
  <si>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</si>
  <si>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</si>
  <si>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</si>
  <si>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</si>
  <si>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</si>
  <si>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</si>
  <si>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</si>
  <si>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</si>
  <si>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</si>
  <si>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</si>
  <si>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#28331</t>
  </si>
  <si>
    <t>FSNG101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</si>
  <si>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</si>
  <si>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</si>
  <si>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</si>
  <si>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</si>
  <si>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</si>
  <si>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</si>
  <si>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</si>
  <si>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</si>
  <si>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</si>
  <si>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</si>
  <si>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</si>
  <si>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</si>
  <si>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</si>
  <si>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</si>
  <si>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</si>
  <si>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</si>
  <si>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</si>
  <si>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</si>
  <si>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</si>
  <si>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</si>
  <si>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</si>
  <si>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</si>
  <si>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</si>
  <si>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</si>
  <si>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</si>
  <si>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</si>
  <si>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</si>
  <si>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</si>
  <si>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</si>
  <si>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</si>
  <si>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</si>
  <si>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</si>
  <si>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</si>
  <si>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</si>
  <si>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</si>
  <si>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</si>
  <si>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</si>
  <si>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</si>
  <si>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</si>
  <si>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</si>
  <si>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</si>
  <si>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19-32</t>
  </si>
  <si>
    <t>19E</t>
  </si>
  <si>
    <t>25-36</t>
  </si>
  <si>
    <t>25-39</t>
  </si>
  <si>
    <t>SSNG45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</si>
  <si>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</si>
  <si>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</si>
  <si>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</si>
  <si>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Deal 229988  CES has 1,000 dth of FTS, price 1,000 day at the FTS rate, balance at the IT rate.</t>
  </si>
  <si>
    <t>Deal 231742</t>
  </si>
  <si>
    <t>Deal 231741</t>
  </si>
  <si>
    <t>Deal 232619</t>
  </si>
  <si>
    <t>FOM Volumes</t>
  </si>
  <si>
    <t>Deal Ticket #</t>
  </si>
  <si>
    <t xml:space="preserve">      Buy Back</t>
  </si>
  <si>
    <t>a05-Delmont</t>
  </si>
  <si>
    <t>25-26</t>
  </si>
  <si>
    <t>#28742</t>
  </si>
  <si>
    <t>#28389, Sheet No 29</t>
  </si>
  <si>
    <t xml:space="preserve">      Overtakes</t>
  </si>
  <si>
    <t>#28632</t>
  </si>
  <si>
    <t>46-30 OPT 10-30</t>
  </si>
  <si>
    <t>#28631</t>
  </si>
  <si>
    <t>GD CNG South Point + .025 plus variable</t>
  </si>
  <si>
    <t>FSGA25</t>
  </si>
  <si>
    <t>#24855</t>
  </si>
  <si>
    <t>Envirogas</t>
  </si>
  <si>
    <t>#27991</t>
  </si>
  <si>
    <t>GD CGAS App + .02 plus variable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</si>
  <si>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</si>
  <si>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</si>
  <si>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</si>
  <si>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</si>
  <si>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</si>
  <si>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</si>
  <si>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</si>
  <si>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</si>
  <si>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</si>
  <si>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</si>
  <si>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</si>
  <si>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</si>
  <si>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</si>
  <si>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</si>
  <si>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ENA Trsp</t>
  </si>
  <si>
    <t>Storage Injection:</t>
  </si>
  <si>
    <t>Inj Comm</t>
  </si>
  <si>
    <t>Deal 227081, 227113</t>
  </si>
  <si>
    <t>Deal 229573, 234424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</si>
  <si>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</si>
  <si>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</si>
  <si>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</si>
  <si>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</si>
  <si>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</si>
  <si>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</si>
  <si>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</si>
  <si>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</si>
  <si>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</si>
  <si>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</si>
  <si>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</si>
  <si>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</si>
  <si>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#29290</t>
  </si>
  <si>
    <t>CGLF</t>
  </si>
  <si>
    <t>ENA will buy the CGAS Pool gas back at the FOM price for CGAS.</t>
  </si>
  <si>
    <t>Volume</t>
  </si>
  <si>
    <t>ENA Bought 19,293 @.18 see annuity deal 327906</t>
  </si>
  <si>
    <t>#26714 ENA purchased from CES</t>
  </si>
  <si>
    <t>CGV-10-30</t>
  </si>
  <si>
    <t>6/31/01</t>
  </si>
  <si>
    <t>#14174</t>
  </si>
  <si>
    <t>19e, 19-32, 19-27, 19-26</t>
  </si>
  <si>
    <t>#29880</t>
  </si>
  <si>
    <t>#29879</t>
  </si>
  <si>
    <t>#021378</t>
  </si>
  <si>
    <t>#021349</t>
  </si>
  <si>
    <t>#021350</t>
  </si>
  <si>
    <t>#021351</t>
  </si>
  <si>
    <t>9/31/2003</t>
  </si>
  <si>
    <t>#021377</t>
  </si>
  <si>
    <t>2000001653</t>
  </si>
  <si>
    <t>Z2</t>
  </si>
  <si>
    <t>z3</t>
  </si>
  <si>
    <t>#14376</t>
  </si>
  <si>
    <t>2000001980</t>
  </si>
  <si>
    <t>2000001977</t>
  </si>
  <si>
    <t>10/31/000</t>
  </si>
  <si>
    <t>2000001931</t>
  </si>
  <si>
    <t>2000002078</t>
  </si>
  <si>
    <t>2000001952</t>
  </si>
  <si>
    <t>2000001942</t>
  </si>
  <si>
    <t>2000001914</t>
  </si>
  <si>
    <t>2000001890</t>
  </si>
  <si>
    <t>#021646</t>
  </si>
  <si>
    <t>#021645</t>
  </si>
  <si>
    <t>#21645</t>
  </si>
  <si>
    <t>19-26, 19-27, 19e</t>
  </si>
  <si>
    <t>#30178</t>
  </si>
  <si>
    <t>#30177</t>
  </si>
  <si>
    <t>10/31/00.</t>
  </si>
  <si>
    <t>#021608</t>
  </si>
  <si>
    <t>#021609</t>
  </si>
  <si>
    <t>#021610</t>
  </si>
  <si>
    <t>Demand For ENA Trans</t>
  </si>
  <si>
    <t>Deal 384397</t>
  </si>
  <si>
    <t>Deal 377076</t>
  </si>
  <si>
    <t>Does not apply for September.</t>
  </si>
  <si>
    <t>Other Deals</t>
  </si>
  <si>
    <t>Bookout - deal 289587 with deal 376880.  Deal 376880 is a NYMX plus sale to New Power.  ENA purchased the gas back</t>
  </si>
  <si>
    <t>at CGAS IF + $.0075 at the pool and includes the volume in the FOM citygate deal.</t>
  </si>
  <si>
    <t>Bookout - deal 378935 with deal 377268.   Deal 377268 is a NYMX plus deal for deliveries to WGL.  New Power is taking all deliveries to WGL</t>
  </si>
  <si>
    <t>on CGAS with CGAS FOM pricing.  I will purchase the TRCO gas back at the FOM CGAS citygate price of $4.9476.</t>
  </si>
  <si>
    <t>Bookout - deal 378939 with deal 377264.   Deal 377264 is a NYMX plus deal for deliveries to WGL.  New Power is taking all deliveries to WGL</t>
  </si>
  <si>
    <t>Deal 378894 (bookout with deal 380571)</t>
  </si>
  <si>
    <t>Deals 433359 and 433385</t>
  </si>
  <si>
    <t>Note:  New Power purchased gas from ENA at CGLF Mainline (deal 202939).  ENA will buy this gas back at the CGLF Onshore Index plus $.05,</t>
  </si>
  <si>
    <t>and sell the gas back to New Power at CGAS pool at CGLFOnshore Index +$.05 + variable cost from Mainline to Leach.</t>
  </si>
  <si>
    <t>CES East Desk Transportation Capacity for October, 2000</t>
  </si>
  <si>
    <t>#30484</t>
  </si>
  <si>
    <t>#30496</t>
  </si>
  <si>
    <t>#30485</t>
  </si>
  <si>
    <t>19-27  CMD 8-27</t>
  </si>
  <si>
    <t>19-26  CMD 8-26</t>
  </si>
  <si>
    <t>19E  CMD 4-25</t>
  </si>
  <si>
    <t>CPA 8, various</t>
  </si>
  <si>
    <t>A05  Delmont</t>
  </si>
  <si>
    <t>A06 McClellandtown</t>
  </si>
  <si>
    <t>#30497</t>
  </si>
  <si>
    <t>19-32  CMD 8-32</t>
  </si>
  <si>
    <t>23N-7  COH 5-7</t>
  </si>
  <si>
    <t>#30172 ROFR</t>
  </si>
  <si>
    <t>#27128</t>
  </si>
  <si>
    <t>#27775</t>
  </si>
  <si>
    <t>#28330</t>
  </si>
  <si>
    <t>Deal 414075</t>
  </si>
  <si>
    <t>Deal 380571</t>
  </si>
  <si>
    <t>Deal 380492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</si>
</sst>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  <numFmt numFmtId="199" formatCode="0_);[Red]\(0\)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0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38" fontId="2" fillId="0" borderId="8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167" fontId="0" fillId="0" borderId="0" xfId="2" applyNumberFormat="1" applyFont="1"/>
    <xf numFmtId="0" fontId="11" fillId="0" borderId="0" xfId="0" applyFont="1"/>
    <xf numFmtId="167" fontId="11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8" xfId="0" applyNumberFormat="1" applyFont="1" applyFill="1" applyBorder="1"/>
    <xf numFmtId="0" fontId="7" fillId="0" borderId="0" xfId="0" applyFont="1" applyFill="1" applyAlignment="1">
      <alignment horizontal="center"/>
    </xf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38" fontId="2" fillId="4" borderId="8" xfId="0" applyNumberFormat="1" applyFont="1" applyFill="1" applyBorder="1" applyAlignment="1">
      <alignment horizontal="right"/>
    </xf>
    <xf numFmtId="14" fontId="2" fillId="0" borderId="0" xfId="0" applyNumberFormat="1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0" fontId="7" fillId="0" borderId="0" xfId="3" applyNumberFormat="1" applyFont="1" applyFill="1"/>
    <xf numFmtId="165" fontId="7" fillId="0" borderId="9" xfId="0" applyNumberFormat="1" applyFont="1" applyFill="1" applyBorder="1"/>
    <xf numFmtId="191" fontId="7" fillId="0" borderId="0" xfId="3" applyNumberFormat="1" applyFont="1" applyFill="1"/>
    <xf numFmtId="165" fontId="7" fillId="0" borderId="5" xfId="0" applyNumberFormat="1" applyFont="1" applyFill="1" applyBorder="1"/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38" fontId="2" fillId="5" borderId="0" xfId="0" quotePrefix="1" applyNumberFormat="1" applyFont="1" applyFill="1" applyAlignment="1">
      <alignment horizontal="left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0" fontId="2" fillId="5" borderId="0" xfId="0" quotePrefix="1" applyNumberFormat="1" applyFont="1" applyFill="1" applyAlignment="1">
      <alignment horizontal="left"/>
    </xf>
    <xf numFmtId="38" fontId="2" fillId="5" borderId="0" xfId="0" quotePrefix="1" applyNumberFormat="1" applyFont="1" applyFill="1" applyAlignment="1">
      <alignment horizontal="center"/>
    </xf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38" fontId="2" fillId="6" borderId="0" xfId="0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169" fontId="2" fillId="6" borderId="0" xfId="0" applyNumberFormat="1" applyFont="1" applyFill="1" applyAlignment="1">
      <alignment horizontal="center"/>
    </xf>
    <xf numFmtId="168" fontId="2" fillId="6" borderId="0" xfId="0" applyNumberFormat="1" applyFont="1" applyFill="1" applyAlignment="1">
      <alignment horizontal="center"/>
    </xf>
    <xf numFmtId="170" fontId="2" fillId="6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38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center"/>
    </xf>
    <xf numFmtId="0" fontId="6" fillId="6" borderId="0" xfId="0" applyFont="1" applyFill="1"/>
    <xf numFmtId="38" fontId="2" fillId="7" borderId="0" xfId="0" applyNumberFormat="1" applyFont="1" applyFill="1" applyAlignment="1">
      <alignment horizontal="left"/>
    </xf>
    <xf numFmtId="38" fontId="2" fillId="7" borderId="0" xfId="0" applyNumberFormat="1" applyFont="1" applyFill="1" applyAlignment="1">
      <alignment horizontal="center"/>
    </xf>
    <xf numFmtId="14" fontId="2" fillId="7" borderId="0" xfId="0" applyNumberFormat="1" applyFont="1" applyFill="1" applyAlignment="1">
      <alignment horizontal="center"/>
    </xf>
    <xf numFmtId="169" fontId="2" fillId="7" borderId="0" xfId="0" applyNumberFormat="1" applyFont="1" applyFill="1" applyAlignment="1">
      <alignment horizontal="center"/>
    </xf>
    <xf numFmtId="168" fontId="2" fillId="7" borderId="0" xfId="0" applyNumberFormat="1" applyFont="1" applyFill="1" applyAlignment="1">
      <alignment horizontal="center"/>
    </xf>
    <xf numFmtId="170" fontId="2" fillId="7" borderId="0" xfId="0" applyNumberFormat="1" applyFont="1" applyFill="1" applyAlignment="1">
      <alignment horizontal="center"/>
    </xf>
    <xf numFmtId="1" fontId="2" fillId="7" borderId="0" xfId="0" applyNumberFormat="1" applyFont="1" applyFill="1" applyAlignment="1">
      <alignment horizontal="center"/>
    </xf>
    <xf numFmtId="43" fontId="2" fillId="7" borderId="0" xfId="1" quotePrefix="1" applyFont="1" applyFill="1" applyAlignment="1">
      <alignment horizontal="left"/>
    </xf>
    <xf numFmtId="38" fontId="2" fillId="7" borderId="0" xfId="0" applyNumberFormat="1" applyFont="1" applyFill="1" applyAlignment="1">
      <alignment horizontal="right"/>
    </xf>
    <xf numFmtId="0" fontId="2" fillId="7" borderId="0" xfId="0" applyNumberFormat="1" applyFont="1" applyFill="1" applyAlignment="1">
      <alignment horizontal="right"/>
    </xf>
    <xf numFmtId="0" fontId="2" fillId="7" borderId="0" xfId="0" applyNumberFormat="1" applyFont="1" applyFill="1" applyAlignment="1">
      <alignment horizontal="center"/>
    </xf>
    <xf numFmtId="0" fontId="6" fillId="7" borderId="0" xfId="0" applyFont="1" applyFill="1"/>
    <xf numFmtId="38" fontId="2" fillId="7" borderId="0" xfId="0" quotePrefix="1" applyNumberFormat="1" applyFont="1" applyFill="1" applyAlignment="1">
      <alignment horizontal="left"/>
    </xf>
    <xf numFmtId="199" fontId="2" fillId="7" borderId="0" xfId="0" applyNumberFormat="1" applyFont="1" applyFill="1" applyAlignment="1">
      <alignment horizontal="left"/>
    </xf>
    <xf numFmtId="0" fontId="2" fillId="7" borderId="0" xfId="1" quotePrefix="1" applyNumberFormat="1" applyFont="1" applyFill="1" applyAlignment="1">
      <alignment horizontal="left"/>
    </xf>
    <xf numFmtId="40" fontId="2" fillId="7" borderId="0" xfId="0" applyNumberFormat="1" applyFont="1" applyFill="1" applyAlignment="1">
      <alignment horizontal="right"/>
    </xf>
    <xf numFmtId="0" fontId="2" fillId="7" borderId="0" xfId="0" applyFont="1" applyFill="1" applyAlignment="1">
      <alignment horizontal="center"/>
    </xf>
    <xf numFmtId="0" fontId="6" fillId="7" borderId="0" xfId="0" applyFont="1" applyFill="1" applyBorder="1"/>
    <xf numFmtId="38" fontId="2" fillId="7" borderId="0" xfId="0" applyNumberFormat="1" applyFont="1" applyFill="1" applyBorder="1" applyAlignment="1">
      <alignment horizontal="left"/>
    </xf>
    <xf numFmtId="38" fontId="2" fillId="7" borderId="0" xfId="0" applyNumberFormat="1" applyFont="1" applyFill="1" applyBorder="1" applyAlignment="1">
      <alignment horizontal="center"/>
    </xf>
    <xf numFmtId="14" fontId="2" fillId="7" borderId="0" xfId="0" applyNumberFormat="1" applyFont="1" applyFill="1" applyBorder="1" applyAlignment="1">
      <alignment horizontal="center"/>
    </xf>
    <xf numFmtId="169" fontId="2" fillId="7" borderId="0" xfId="0" applyNumberFormat="1" applyFont="1" applyFill="1" applyBorder="1" applyAlignment="1">
      <alignment horizontal="center"/>
    </xf>
    <xf numFmtId="168" fontId="2" fillId="7" borderId="0" xfId="0" applyNumberFormat="1" applyFont="1" applyFill="1" applyBorder="1" applyAlignment="1">
      <alignment horizontal="center"/>
    </xf>
    <xf numFmtId="170" fontId="2" fillId="7" borderId="0" xfId="0" applyNumberFormat="1" applyFont="1" applyFill="1" applyBorder="1" applyAlignment="1">
      <alignment horizontal="center"/>
    </xf>
    <xf numFmtId="38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center"/>
    </xf>
    <xf numFmtId="164" fontId="2" fillId="7" borderId="0" xfId="0" applyNumberFormat="1" applyFont="1" applyFill="1" applyAlignment="1">
      <alignment horizontal="center"/>
    </xf>
    <xf numFmtId="40" fontId="2" fillId="5" borderId="0" xfId="0" applyNumberFormat="1" applyFont="1" applyFill="1" applyAlignment="1">
      <alignment horizontal="right"/>
    </xf>
    <xf numFmtId="38" fontId="2" fillId="0" borderId="0" xfId="0" quotePrefix="1" applyNumberFormat="1" applyFont="1" applyFill="1" applyAlignment="1">
      <alignment horizontal="center"/>
    </xf>
    <xf numFmtId="40" fontId="2" fillId="0" borderId="0" xfId="0" applyNumberFormat="1" applyFont="1" applyFill="1" applyAlignment="1">
      <alignment horizontal="right"/>
    </xf>
    <xf numFmtId="0" fontId="6" fillId="8" borderId="0" xfId="0" applyFont="1" applyFill="1"/>
    <xf numFmtId="38" fontId="2" fillId="8" borderId="0" xfId="0" applyNumberFormat="1" applyFont="1" applyFill="1" applyAlignment="1">
      <alignment horizontal="left"/>
    </xf>
    <xf numFmtId="38" fontId="2" fillId="8" borderId="0" xfId="0" applyNumberFormat="1" applyFont="1" applyFill="1" applyAlignment="1">
      <alignment horizontal="center"/>
    </xf>
    <xf numFmtId="14" fontId="2" fillId="8" borderId="0" xfId="0" applyNumberFormat="1" applyFont="1" applyFill="1" applyAlignment="1">
      <alignment horizontal="center"/>
    </xf>
    <xf numFmtId="169" fontId="2" fillId="8" borderId="0" xfId="0" applyNumberFormat="1" applyFont="1" applyFill="1" applyAlignment="1">
      <alignment horizontal="center"/>
    </xf>
    <xf numFmtId="168" fontId="2" fillId="8" borderId="0" xfId="0" applyNumberFormat="1" applyFont="1" applyFill="1" applyAlignment="1">
      <alignment horizontal="center"/>
    </xf>
    <xf numFmtId="170" fontId="2" fillId="8" borderId="0" xfId="0" applyNumberFormat="1" applyFont="1" applyFill="1" applyAlignment="1">
      <alignment horizontal="center"/>
    </xf>
    <xf numFmtId="1" fontId="2" fillId="8" borderId="0" xfId="0" applyNumberFormat="1" applyFont="1" applyFill="1" applyAlignment="1">
      <alignment horizontal="center"/>
    </xf>
    <xf numFmtId="38" fontId="2" fillId="8" borderId="0" xfId="0" applyNumberFormat="1" applyFont="1" applyFill="1" applyAlignment="1">
      <alignment horizontal="right"/>
    </xf>
    <xf numFmtId="0" fontId="2" fillId="8" borderId="0" xfId="0" applyNumberFormat="1" applyFont="1" applyFill="1" applyAlignment="1">
      <alignment horizontal="right"/>
    </xf>
    <xf numFmtId="0" fontId="2" fillId="8" borderId="0" xfId="0" applyNumberFormat="1" applyFont="1" applyFill="1" applyAlignment="1">
      <alignment horizontal="center"/>
    </xf>
    <xf numFmtId="38" fontId="2" fillId="8" borderId="0" xfId="0" quotePrefix="1" applyNumberFormat="1" applyFont="1" applyFill="1" applyAlignment="1">
      <alignment horizontal="left"/>
    </xf>
    <xf numFmtId="14" fontId="2" fillId="9" borderId="0" xfId="0" applyNumberFormat="1" applyFont="1" applyFill="1" applyAlignment="1">
      <alignment horizontal="center"/>
    </xf>
    <xf numFmtId="38" fontId="2" fillId="9" borderId="0" xfId="0" applyNumberFormat="1" applyFont="1" applyFill="1" applyAlignment="1">
      <alignment horizontal="left"/>
    </xf>
    <xf numFmtId="38" fontId="2" fillId="9" borderId="0" xfId="0" applyNumberFormat="1" applyFont="1" applyFill="1" applyAlignment="1">
      <alignment horizontal="center"/>
    </xf>
    <xf numFmtId="169" fontId="2" fillId="9" borderId="0" xfId="0" applyNumberFormat="1" applyFont="1" applyFill="1" applyAlignment="1">
      <alignment horizontal="center"/>
    </xf>
    <xf numFmtId="168" fontId="2" fillId="9" borderId="0" xfId="0" applyNumberFormat="1" applyFont="1" applyFill="1" applyAlignment="1">
      <alignment horizontal="center"/>
    </xf>
    <xf numFmtId="170" fontId="2" fillId="9" borderId="0" xfId="0" applyNumberFormat="1" applyFont="1" applyFill="1" applyAlignment="1">
      <alignment horizontal="center"/>
    </xf>
    <xf numFmtId="1" fontId="2" fillId="9" borderId="0" xfId="0" applyNumberFormat="1" applyFont="1" applyFill="1" applyAlignment="1">
      <alignment horizontal="center"/>
    </xf>
    <xf numFmtId="38" fontId="2" fillId="9" borderId="0" xfId="0" applyNumberFormat="1" applyFont="1" applyFill="1" applyAlignment="1">
      <alignment horizontal="right"/>
    </xf>
    <xf numFmtId="0" fontId="2" fillId="9" borderId="0" xfId="0" applyNumberFormat="1" applyFont="1" applyFill="1" applyAlignment="1">
      <alignment horizontal="right"/>
    </xf>
    <xf numFmtId="0" fontId="2" fillId="9" borderId="0" xfId="0" applyNumberFormat="1" applyFont="1" applyFill="1" applyAlignment="1">
      <alignment horizontal="center"/>
    </xf>
    <xf numFmtId="0" fontId="6" fillId="9" borderId="0" xfId="0" applyFont="1" applyFill="1"/>
    <xf numFmtId="38" fontId="2" fillId="9" borderId="0" xfId="0" quotePrefix="1" applyNumberFormat="1" applyFont="1" applyFill="1" applyAlignment="1">
      <alignment horizontal="left"/>
    </xf>
    <xf numFmtId="1" fontId="2" fillId="5" borderId="0" xfId="0" applyNumberFormat="1" applyFont="1" applyFill="1" applyBorder="1" applyAlignment="1">
      <alignment horizontal="center"/>
    </xf>
    <xf numFmtId="38" fontId="2" fillId="5" borderId="0" xfId="0" applyNumberFormat="1" applyFont="1" applyFill="1" applyBorder="1" applyAlignment="1">
      <alignment horizontal="center"/>
    </xf>
    <xf numFmtId="14" fontId="2" fillId="5" borderId="0" xfId="0" applyNumberFormat="1" applyFont="1" applyFill="1" applyBorder="1" applyAlignment="1">
      <alignment horizontal="center"/>
    </xf>
    <xf numFmtId="177" fontId="0" fillId="6" borderId="0" xfId="1" applyNumberFormat="1" applyFont="1" applyFill="1" applyAlignment="1">
      <alignment horizontal="center"/>
    </xf>
    <xf numFmtId="167" fontId="0" fillId="6" borderId="0" xfId="2" applyNumberFormat="1" applyFont="1" applyFill="1" applyAlignment="1">
      <alignment horizontal="center"/>
    </xf>
    <xf numFmtId="177" fontId="0" fillId="6" borderId="0" xfId="1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workbookViewId="0">
      <selection activeCell="A2" sqref="A2"/>
    </sheetView>
  </sheetViews>
  <sheetFormatPr defaultRowHeight="13.2" x14ac:dyDescent="0.25"/>
  <cols>
    <col min="1" max="1" width="22.109375" customWidth="1"/>
    <col min="2" max="3" width="17.5546875" customWidth="1"/>
    <col min="4" max="4" width="14.109375" customWidth="1"/>
    <col min="5" max="5" width="11.6640625" style="85" customWidth="1"/>
    <col min="6" max="6" width="10.44140625" style="85" customWidth="1"/>
    <col min="7" max="7" width="38.5546875" customWidth="1"/>
    <col min="8" max="9" width="11.44140625" style="85" customWidth="1"/>
  </cols>
  <sheetData>
    <row r="1" spans="1:10" x14ac:dyDescent="0.25">
      <c r="A1" s="86" t="s">
        <v>206</v>
      </c>
      <c r="B1" s="86"/>
      <c r="C1" s="86"/>
      <c r="E1" s="85" t="s">
        <v>285</v>
      </c>
    </row>
    <row r="2" spans="1:10" x14ac:dyDescent="0.25">
      <c r="E2" s="85" t="s">
        <v>286</v>
      </c>
    </row>
    <row r="3" spans="1:10" x14ac:dyDescent="0.25">
      <c r="E3" s="85" t="s">
        <v>242</v>
      </c>
    </row>
    <row r="4" spans="1:10" x14ac:dyDescent="0.25">
      <c r="E4" s="85" t="s">
        <v>239</v>
      </c>
    </row>
    <row r="5" spans="1:10" x14ac:dyDescent="0.25">
      <c r="E5" s="85" t="s">
        <v>240</v>
      </c>
    </row>
    <row r="7" spans="1:10" x14ac:dyDescent="0.25">
      <c r="D7" t="s">
        <v>236</v>
      </c>
      <c r="E7" s="85" t="s">
        <v>237</v>
      </c>
    </row>
    <row r="8" spans="1:10" x14ac:dyDescent="0.25">
      <c r="E8" s="85" t="s">
        <v>238</v>
      </c>
    </row>
    <row r="9" spans="1:10" x14ac:dyDescent="0.25">
      <c r="E9" s="85" t="s">
        <v>241</v>
      </c>
    </row>
    <row r="10" spans="1:10" x14ac:dyDescent="0.25">
      <c r="E10" s="85" t="s">
        <v>243</v>
      </c>
    </row>
    <row r="11" spans="1:10" x14ac:dyDescent="0.25">
      <c r="F11" s="85" t="s">
        <v>244</v>
      </c>
    </row>
    <row r="12" spans="1:10" x14ac:dyDescent="0.25">
      <c r="E12" s="85" t="s">
        <v>245</v>
      </c>
    </row>
    <row r="13" spans="1:10" x14ac:dyDescent="0.25">
      <c r="F13" s="85" t="s">
        <v>246</v>
      </c>
    </row>
    <row r="16" spans="1:10" x14ac:dyDescent="0.25">
      <c r="A16" s="86" t="s">
        <v>207</v>
      </c>
      <c r="B16" s="86" t="s">
        <v>259</v>
      </c>
      <c r="C16" s="86" t="s">
        <v>260</v>
      </c>
      <c r="E16" s="87" t="s">
        <v>233</v>
      </c>
      <c r="F16" s="87" t="s">
        <v>234</v>
      </c>
      <c r="G16" s="86" t="s">
        <v>208</v>
      </c>
      <c r="H16" s="87" t="s">
        <v>233</v>
      </c>
      <c r="I16" s="87" t="s">
        <v>234</v>
      </c>
      <c r="J16" s="86" t="s">
        <v>209</v>
      </c>
    </row>
    <row r="18" spans="1:10" x14ac:dyDescent="0.25">
      <c r="A18" t="s">
        <v>55</v>
      </c>
      <c r="B18" s="70">
        <v>2159</v>
      </c>
      <c r="C18">
        <v>228293</v>
      </c>
      <c r="E18" s="85">
        <v>3.1</v>
      </c>
      <c r="F18" s="85">
        <v>3.1</v>
      </c>
      <c r="G18" t="s">
        <v>235</v>
      </c>
      <c r="H18" s="85">
        <v>3.1549999999999998</v>
      </c>
      <c r="I18" s="85">
        <f>3.155+0.02</f>
        <v>3.1749999999999998</v>
      </c>
      <c r="J18" t="s">
        <v>215</v>
      </c>
    </row>
    <row r="19" spans="1:10" x14ac:dyDescent="0.25">
      <c r="A19" t="s">
        <v>261</v>
      </c>
      <c r="B19" s="70"/>
      <c r="C19">
        <v>248838</v>
      </c>
    </row>
    <row r="20" spans="1:10" x14ac:dyDescent="0.25">
      <c r="A20" t="s">
        <v>266</v>
      </c>
      <c r="B20" s="70"/>
      <c r="C20">
        <v>251539</v>
      </c>
    </row>
    <row r="21" spans="1:10" ht="14.25" customHeight="1" x14ac:dyDescent="0.25">
      <c r="B21" s="70"/>
    </row>
    <row r="22" spans="1:10" x14ac:dyDescent="0.25">
      <c r="A22" t="s">
        <v>279</v>
      </c>
      <c r="B22" s="70"/>
      <c r="G22" t="s">
        <v>280</v>
      </c>
      <c r="J22" t="s">
        <v>281</v>
      </c>
    </row>
    <row r="23" spans="1:10" x14ac:dyDescent="0.25">
      <c r="A23" t="s">
        <v>261</v>
      </c>
      <c r="B23" s="70"/>
    </row>
    <row r="24" spans="1:10" x14ac:dyDescent="0.25">
      <c r="A24" t="s">
        <v>266</v>
      </c>
      <c r="B24" s="70"/>
    </row>
    <row r="25" spans="1:10" x14ac:dyDescent="0.25">
      <c r="B25" s="70"/>
    </row>
    <row r="26" spans="1:10" x14ac:dyDescent="0.25">
      <c r="A26" t="s">
        <v>282</v>
      </c>
      <c r="B26" s="70"/>
      <c r="G26" t="s">
        <v>283</v>
      </c>
      <c r="J26" t="s">
        <v>284</v>
      </c>
    </row>
    <row r="27" spans="1:10" x14ac:dyDescent="0.25">
      <c r="A27" t="s">
        <v>261</v>
      </c>
      <c r="B27" s="70"/>
    </row>
    <row r="28" spans="1:10" x14ac:dyDescent="0.25">
      <c r="A28" t="s">
        <v>266</v>
      </c>
      <c r="B28" s="70"/>
    </row>
    <row r="29" spans="1:10" ht="14.25" customHeight="1" x14ac:dyDescent="0.25">
      <c r="B29" s="70"/>
    </row>
    <row r="30" spans="1:10" x14ac:dyDescent="0.25">
      <c r="A30" t="s">
        <v>210</v>
      </c>
      <c r="B30" s="70">
        <v>3054</v>
      </c>
      <c r="C30">
        <v>228246</v>
      </c>
      <c r="E30" s="85">
        <v>3.14</v>
      </c>
      <c r="G30" t="s">
        <v>212</v>
      </c>
      <c r="H30" s="85">
        <v>3.14</v>
      </c>
      <c r="J30" t="s">
        <v>270</v>
      </c>
    </row>
    <row r="31" spans="1:10" x14ac:dyDescent="0.25">
      <c r="A31" t="s">
        <v>261</v>
      </c>
      <c r="B31" s="70"/>
      <c r="C31">
        <v>251635</v>
      </c>
    </row>
    <row r="32" spans="1:10" x14ac:dyDescent="0.25">
      <c r="A32" t="s">
        <v>266</v>
      </c>
      <c r="B32" s="70"/>
      <c r="C32">
        <v>251633</v>
      </c>
    </row>
    <row r="33" spans="1:10" x14ac:dyDescent="0.25">
      <c r="B33" s="70"/>
    </row>
    <row r="34" spans="1:10" x14ac:dyDescent="0.25">
      <c r="A34" t="s">
        <v>211</v>
      </c>
      <c r="B34" s="70">
        <v>3960</v>
      </c>
      <c r="C34">
        <v>228234</v>
      </c>
      <c r="E34" s="85">
        <v>3.14</v>
      </c>
      <c r="G34" t="s">
        <v>212</v>
      </c>
      <c r="H34" s="85">
        <v>3.14</v>
      </c>
      <c r="J34" t="s">
        <v>213</v>
      </c>
    </row>
    <row r="35" spans="1:10" x14ac:dyDescent="0.25">
      <c r="A35" t="s">
        <v>261</v>
      </c>
      <c r="B35" s="70"/>
      <c r="C35">
        <v>251630</v>
      </c>
    </row>
    <row r="36" spans="1:10" x14ac:dyDescent="0.25">
      <c r="A36" t="s">
        <v>266</v>
      </c>
      <c r="B36" s="70"/>
      <c r="C36">
        <v>251620</v>
      </c>
    </row>
    <row r="37" spans="1:10" x14ac:dyDescent="0.25">
      <c r="B37" s="70"/>
    </row>
    <row r="38" spans="1:10" x14ac:dyDescent="0.25">
      <c r="A38" t="s">
        <v>145</v>
      </c>
      <c r="B38" s="70">
        <v>111210</v>
      </c>
      <c r="E38" s="85">
        <v>3.0350000000000001</v>
      </c>
      <c r="G38" t="s">
        <v>229</v>
      </c>
      <c r="H38" s="85">
        <v>3.0350000000000001</v>
      </c>
      <c r="J38" t="s">
        <v>275</v>
      </c>
    </row>
    <row r="39" spans="1:10" x14ac:dyDescent="0.25">
      <c r="B39" s="70"/>
    </row>
    <row r="40" spans="1:10" x14ac:dyDescent="0.25">
      <c r="A40" t="s">
        <v>214</v>
      </c>
      <c r="B40" s="70">
        <v>1665</v>
      </c>
      <c r="C40">
        <v>251753</v>
      </c>
      <c r="G40" t="s">
        <v>276</v>
      </c>
      <c r="H40" s="85">
        <f>3.035+0.02</f>
        <v>3.0550000000000002</v>
      </c>
      <c r="J40" t="s">
        <v>278</v>
      </c>
    </row>
    <row r="41" spans="1:10" x14ac:dyDescent="0.25">
      <c r="A41" t="s">
        <v>261</v>
      </c>
      <c r="B41" s="70"/>
      <c r="C41">
        <v>251755</v>
      </c>
      <c r="J41" t="s">
        <v>277</v>
      </c>
    </row>
    <row r="42" spans="1:10" x14ac:dyDescent="0.25">
      <c r="A42" t="s">
        <v>266</v>
      </c>
      <c r="B42" s="70"/>
      <c r="C42">
        <v>251757</v>
      </c>
    </row>
    <row r="43" spans="1:10" x14ac:dyDescent="0.25">
      <c r="B43" s="70"/>
    </row>
    <row r="44" spans="1:10" x14ac:dyDescent="0.25">
      <c r="A44" t="s">
        <v>184</v>
      </c>
      <c r="B44" s="70">
        <v>4717</v>
      </c>
      <c r="C44">
        <v>250260</v>
      </c>
      <c r="E44" s="85">
        <f>3.18</f>
        <v>3.18</v>
      </c>
      <c r="F44" s="85">
        <f>3.18-0.01</f>
        <v>3.1700000000000004</v>
      </c>
      <c r="G44" t="s">
        <v>216</v>
      </c>
      <c r="H44" s="85">
        <f>3.18</f>
        <v>3.18</v>
      </c>
      <c r="I44" s="85">
        <f>3.18+0.01</f>
        <v>3.19</v>
      </c>
      <c r="J44" t="s">
        <v>217</v>
      </c>
    </row>
    <row r="45" spans="1:10" x14ac:dyDescent="0.25">
      <c r="A45" t="s">
        <v>261</v>
      </c>
      <c r="B45" s="70"/>
      <c r="C45">
        <v>251295</v>
      </c>
    </row>
    <row r="46" spans="1:10" x14ac:dyDescent="0.25">
      <c r="A46" t="s">
        <v>266</v>
      </c>
      <c r="B46" s="70"/>
      <c r="C46">
        <v>251268</v>
      </c>
    </row>
    <row r="47" spans="1:10" x14ac:dyDescent="0.25">
      <c r="B47" s="70"/>
    </row>
    <row r="48" spans="1:10" x14ac:dyDescent="0.25">
      <c r="A48" t="s">
        <v>218</v>
      </c>
      <c r="B48" s="70"/>
      <c r="C48">
        <v>250257</v>
      </c>
      <c r="E48" s="85">
        <f>2.83</f>
        <v>2.83</v>
      </c>
      <c r="F48" s="85">
        <f>2.83-0.01</f>
        <v>2.8200000000000003</v>
      </c>
      <c r="G48" t="s">
        <v>219</v>
      </c>
      <c r="H48" s="85">
        <f>2.83</f>
        <v>2.83</v>
      </c>
      <c r="I48" s="85">
        <f>2.83+0.01</f>
        <v>2.84</v>
      </c>
      <c r="J48" t="s">
        <v>220</v>
      </c>
    </row>
    <row r="49" spans="1:10" x14ac:dyDescent="0.25">
      <c r="A49" t="s">
        <v>261</v>
      </c>
      <c r="B49" s="70"/>
      <c r="C49">
        <v>251732</v>
      </c>
    </row>
    <row r="50" spans="1:10" x14ac:dyDescent="0.25">
      <c r="A50" t="s">
        <v>266</v>
      </c>
      <c r="B50" s="70"/>
      <c r="C50">
        <v>251736</v>
      </c>
    </row>
    <row r="51" spans="1:10" x14ac:dyDescent="0.25">
      <c r="B51" s="70"/>
    </row>
    <row r="52" spans="1:10" x14ac:dyDescent="0.25">
      <c r="A52" t="s">
        <v>222</v>
      </c>
      <c r="B52" s="70">
        <v>2330</v>
      </c>
      <c r="C52">
        <v>229573</v>
      </c>
      <c r="G52" t="s">
        <v>287</v>
      </c>
      <c r="J52" t="s">
        <v>288</v>
      </c>
    </row>
    <row r="53" spans="1:10" x14ac:dyDescent="0.25">
      <c r="A53" t="s">
        <v>261</v>
      </c>
      <c r="B53" s="70"/>
      <c r="C53">
        <v>250281</v>
      </c>
    </row>
    <row r="54" spans="1:10" x14ac:dyDescent="0.25">
      <c r="A54" t="s">
        <v>266</v>
      </c>
      <c r="B54" s="70"/>
      <c r="C54">
        <v>250290</v>
      </c>
    </row>
    <row r="55" spans="1:10" x14ac:dyDescent="0.25">
      <c r="B55" s="70"/>
    </row>
    <row r="56" spans="1:10" x14ac:dyDescent="0.25">
      <c r="A56" t="s">
        <v>225</v>
      </c>
      <c r="B56" s="70">
        <v>145</v>
      </c>
      <c r="C56">
        <v>253490</v>
      </c>
      <c r="E56" s="85">
        <f>3.135</f>
        <v>3.1349999999999998</v>
      </c>
      <c r="F56" s="85">
        <f>3.135-0.02</f>
        <v>3.1149999999999998</v>
      </c>
      <c r="G56" t="s">
        <v>226</v>
      </c>
      <c r="H56" s="85">
        <f>3.135</f>
        <v>3.1349999999999998</v>
      </c>
      <c r="I56" s="85">
        <f>3.135+0.02</f>
        <v>3.1549999999999998</v>
      </c>
      <c r="J56" t="s">
        <v>227</v>
      </c>
    </row>
    <row r="57" spans="1:10" x14ac:dyDescent="0.25">
      <c r="B57" s="70"/>
    </row>
    <row r="58" spans="1:10" x14ac:dyDescent="0.25">
      <c r="B58" s="70"/>
    </row>
    <row r="59" spans="1:10" x14ac:dyDescent="0.25">
      <c r="B59" s="70"/>
    </row>
    <row r="60" spans="1:10" x14ac:dyDescent="0.25">
      <c r="A60" t="s">
        <v>228</v>
      </c>
      <c r="B60" s="70">
        <v>279</v>
      </c>
      <c r="C60">
        <v>253486</v>
      </c>
      <c r="G60" t="s">
        <v>221</v>
      </c>
      <c r="J60" t="s">
        <v>221</v>
      </c>
    </row>
    <row r="61" spans="1:10" x14ac:dyDescent="0.25">
      <c r="B61" s="70"/>
    </row>
    <row r="62" spans="1:10" x14ac:dyDescent="0.25">
      <c r="A62" t="s">
        <v>223</v>
      </c>
      <c r="B62" s="70">
        <v>311</v>
      </c>
      <c r="C62">
        <v>253493</v>
      </c>
      <c r="G62" t="s">
        <v>221</v>
      </c>
      <c r="J62" t="s">
        <v>221</v>
      </c>
    </row>
    <row r="63" spans="1:10" x14ac:dyDescent="0.25">
      <c r="B63" s="70"/>
      <c r="D63" t="s">
        <v>224</v>
      </c>
    </row>
    <row r="64" spans="1:10" x14ac:dyDescent="0.25">
      <c r="B64" s="70"/>
    </row>
    <row r="65" spans="1:10" x14ac:dyDescent="0.25">
      <c r="A65" t="s">
        <v>181</v>
      </c>
      <c r="B65" s="70">
        <v>2478</v>
      </c>
      <c r="C65">
        <v>250456</v>
      </c>
      <c r="G65" t="s">
        <v>221</v>
      </c>
      <c r="J65" t="s">
        <v>221</v>
      </c>
    </row>
    <row r="66" spans="1:10" x14ac:dyDescent="0.25">
      <c r="B66" s="70"/>
    </row>
    <row r="67" spans="1:10" x14ac:dyDescent="0.25">
      <c r="A67" s="86" t="s">
        <v>230</v>
      </c>
      <c r="B67" s="86"/>
      <c r="C67" s="86"/>
    </row>
    <row r="68" spans="1:10" x14ac:dyDescent="0.25">
      <c r="A68" t="s">
        <v>32</v>
      </c>
      <c r="B68" s="70">
        <v>10006</v>
      </c>
      <c r="G68" t="s">
        <v>221</v>
      </c>
      <c r="J68" t="s">
        <v>221</v>
      </c>
    </row>
    <row r="69" spans="1:10" x14ac:dyDescent="0.25">
      <c r="A69" t="s">
        <v>231</v>
      </c>
      <c r="B69" s="70">
        <v>10799</v>
      </c>
      <c r="G69" t="s">
        <v>221</v>
      </c>
      <c r="J69" t="s">
        <v>221</v>
      </c>
    </row>
    <row r="70" spans="1:10" x14ac:dyDescent="0.25">
      <c r="A70" t="s">
        <v>232</v>
      </c>
      <c r="B70" s="70"/>
      <c r="G70" t="s">
        <v>221</v>
      </c>
      <c r="J70" t="s">
        <v>221</v>
      </c>
    </row>
  </sheetData>
  <pageMargins left="0.75" right="0.75" top="1" bottom="1" header="0.5" footer="0.5"/>
  <pageSetup scale="45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38"/>
  <sheetViews>
    <sheetView workbookViewId="0">
      <selection activeCell="B12" sqref="B12"/>
    </sheetView>
  </sheetViews>
  <sheetFormatPr defaultRowHeight="13.2" x14ac:dyDescent="0.25"/>
  <cols>
    <col min="1" max="1" width="5.6640625" style="70" customWidth="1"/>
    <col min="2" max="2" width="15" customWidth="1"/>
  </cols>
  <sheetData>
    <row r="2" spans="1:2" x14ac:dyDescent="0.25">
      <c r="A2" s="69"/>
    </row>
    <row r="3" spans="1:2" x14ac:dyDescent="0.25">
      <c r="A3" s="69"/>
    </row>
    <row r="4" spans="1:2" x14ac:dyDescent="0.25">
      <c r="A4" s="69"/>
    </row>
    <row r="5" spans="1:2" x14ac:dyDescent="0.25">
      <c r="A5" s="69"/>
    </row>
    <row r="6" spans="1:2" x14ac:dyDescent="0.25">
      <c r="A6" s="69">
        <v>1</v>
      </c>
      <c r="B6">
        <v>0</v>
      </c>
    </row>
    <row r="7" spans="1:2" x14ac:dyDescent="0.25">
      <c r="A7" s="69">
        <f>+A6+1</f>
        <v>2</v>
      </c>
      <c r="B7">
        <f>+B6</f>
        <v>0</v>
      </c>
    </row>
    <row r="8" spans="1:2" x14ac:dyDescent="0.25">
      <c r="A8" s="69">
        <f t="shared" ref="A8:A34" si="0">+A7+1</f>
        <v>3</v>
      </c>
      <c r="B8">
        <f t="shared" ref="B8:B36" si="1">+B7</f>
        <v>0</v>
      </c>
    </row>
    <row r="9" spans="1:2" x14ac:dyDescent="0.25">
      <c r="A9" s="69">
        <f t="shared" si="0"/>
        <v>4</v>
      </c>
      <c r="B9">
        <f t="shared" si="1"/>
        <v>0</v>
      </c>
    </row>
    <row r="10" spans="1:2" x14ac:dyDescent="0.25">
      <c r="A10" s="69">
        <f t="shared" si="0"/>
        <v>5</v>
      </c>
      <c r="B10">
        <f t="shared" si="1"/>
        <v>0</v>
      </c>
    </row>
    <row r="11" spans="1:2" x14ac:dyDescent="0.25">
      <c r="A11" s="69">
        <f t="shared" si="0"/>
        <v>6</v>
      </c>
      <c r="B11">
        <f t="shared" si="1"/>
        <v>0</v>
      </c>
    </row>
    <row r="12" spans="1:2" x14ac:dyDescent="0.25">
      <c r="A12" s="69">
        <f t="shared" si="0"/>
        <v>7</v>
      </c>
      <c r="B12">
        <v>10000</v>
      </c>
    </row>
    <row r="13" spans="1:2" x14ac:dyDescent="0.25">
      <c r="A13" s="69">
        <f t="shared" si="0"/>
        <v>8</v>
      </c>
      <c r="B13">
        <f t="shared" si="1"/>
        <v>10000</v>
      </c>
    </row>
    <row r="14" spans="1:2" x14ac:dyDescent="0.25">
      <c r="A14" s="69">
        <f t="shared" si="0"/>
        <v>9</v>
      </c>
      <c r="B14">
        <f t="shared" si="1"/>
        <v>10000</v>
      </c>
    </row>
    <row r="15" spans="1:2" x14ac:dyDescent="0.25">
      <c r="A15" s="69">
        <f t="shared" si="0"/>
        <v>10</v>
      </c>
      <c r="B15">
        <f t="shared" si="1"/>
        <v>10000</v>
      </c>
    </row>
    <row r="16" spans="1:2" x14ac:dyDescent="0.25">
      <c r="A16" s="69">
        <f t="shared" si="0"/>
        <v>11</v>
      </c>
      <c r="B16">
        <f t="shared" si="1"/>
        <v>10000</v>
      </c>
    </row>
    <row r="17" spans="1:2" x14ac:dyDescent="0.25">
      <c r="A17" s="69">
        <f t="shared" si="0"/>
        <v>12</v>
      </c>
      <c r="B17">
        <f t="shared" si="1"/>
        <v>10000</v>
      </c>
    </row>
    <row r="18" spans="1:2" x14ac:dyDescent="0.25">
      <c r="A18" s="69">
        <f t="shared" si="0"/>
        <v>13</v>
      </c>
      <c r="B18">
        <f t="shared" si="1"/>
        <v>10000</v>
      </c>
    </row>
    <row r="19" spans="1:2" x14ac:dyDescent="0.25">
      <c r="A19" s="69">
        <f t="shared" si="0"/>
        <v>14</v>
      </c>
      <c r="B19">
        <f t="shared" si="1"/>
        <v>10000</v>
      </c>
    </row>
    <row r="20" spans="1:2" x14ac:dyDescent="0.25">
      <c r="A20" s="69">
        <f t="shared" si="0"/>
        <v>15</v>
      </c>
      <c r="B20">
        <f t="shared" si="1"/>
        <v>10000</v>
      </c>
    </row>
    <row r="21" spans="1:2" x14ac:dyDescent="0.25">
      <c r="A21" s="69">
        <f t="shared" si="0"/>
        <v>16</v>
      </c>
      <c r="B21">
        <f t="shared" si="1"/>
        <v>10000</v>
      </c>
    </row>
    <row r="22" spans="1:2" x14ac:dyDescent="0.25">
      <c r="A22" s="69">
        <f t="shared" si="0"/>
        <v>17</v>
      </c>
      <c r="B22">
        <f t="shared" si="1"/>
        <v>10000</v>
      </c>
    </row>
    <row r="23" spans="1:2" x14ac:dyDescent="0.25">
      <c r="A23" s="69">
        <f t="shared" si="0"/>
        <v>18</v>
      </c>
      <c r="B23">
        <f t="shared" si="1"/>
        <v>10000</v>
      </c>
    </row>
    <row r="24" spans="1:2" x14ac:dyDescent="0.25">
      <c r="A24" s="69">
        <f t="shared" si="0"/>
        <v>19</v>
      </c>
      <c r="B24">
        <f t="shared" si="1"/>
        <v>10000</v>
      </c>
    </row>
    <row r="25" spans="1:2" x14ac:dyDescent="0.25">
      <c r="A25" s="69">
        <f t="shared" si="0"/>
        <v>20</v>
      </c>
      <c r="B25">
        <f t="shared" si="1"/>
        <v>10000</v>
      </c>
    </row>
    <row r="26" spans="1:2" x14ac:dyDescent="0.25">
      <c r="A26" s="69">
        <f t="shared" si="0"/>
        <v>21</v>
      </c>
      <c r="B26">
        <f t="shared" si="1"/>
        <v>10000</v>
      </c>
    </row>
    <row r="27" spans="1:2" x14ac:dyDescent="0.25">
      <c r="A27" s="69">
        <f t="shared" si="0"/>
        <v>22</v>
      </c>
      <c r="B27">
        <f t="shared" si="1"/>
        <v>10000</v>
      </c>
    </row>
    <row r="28" spans="1:2" x14ac:dyDescent="0.25">
      <c r="A28" s="69">
        <f t="shared" si="0"/>
        <v>23</v>
      </c>
      <c r="B28">
        <f t="shared" si="1"/>
        <v>10000</v>
      </c>
    </row>
    <row r="29" spans="1:2" x14ac:dyDescent="0.25">
      <c r="A29" s="69">
        <f t="shared" si="0"/>
        <v>24</v>
      </c>
      <c r="B29">
        <f t="shared" si="1"/>
        <v>10000</v>
      </c>
    </row>
    <row r="30" spans="1:2" x14ac:dyDescent="0.25">
      <c r="A30" s="69">
        <f t="shared" si="0"/>
        <v>25</v>
      </c>
      <c r="B30">
        <f t="shared" si="1"/>
        <v>10000</v>
      </c>
    </row>
    <row r="31" spans="1:2" x14ac:dyDescent="0.25">
      <c r="A31" s="69">
        <f t="shared" si="0"/>
        <v>26</v>
      </c>
      <c r="B31">
        <f t="shared" si="1"/>
        <v>10000</v>
      </c>
    </row>
    <row r="32" spans="1:2" x14ac:dyDescent="0.25">
      <c r="A32" s="69">
        <f t="shared" si="0"/>
        <v>27</v>
      </c>
      <c r="B32">
        <f t="shared" si="1"/>
        <v>10000</v>
      </c>
    </row>
    <row r="33" spans="1:2" x14ac:dyDescent="0.25">
      <c r="A33" s="69">
        <f t="shared" si="0"/>
        <v>28</v>
      </c>
      <c r="B33">
        <f t="shared" si="1"/>
        <v>10000</v>
      </c>
    </row>
    <row r="34" spans="1:2" x14ac:dyDescent="0.25">
      <c r="A34" s="69">
        <f t="shared" si="0"/>
        <v>29</v>
      </c>
      <c r="B34">
        <f t="shared" si="1"/>
        <v>10000</v>
      </c>
    </row>
    <row r="35" spans="1:2" x14ac:dyDescent="0.25">
      <c r="A35" s="69">
        <f>+A34+1</f>
        <v>30</v>
      </c>
      <c r="B35">
        <f t="shared" si="1"/>
        <v>10000</v>
      </c>
    </row>
    <row r="36" spans="1:2" x14ac:dyDescent="0.25">
      <c r="A36" s="69">
        <f>+A35+1</f>
        <v>31</v>
      </c>
      <c r="B36">
        <f t="shared" si="1"/>
        <v>10000</v>
      </c>
    </row>
    <row r="37" spans="1:2" x14ac:dyDescent="0.25">
      <c r="A37" s="69"/>
    </row>
    <row r="38" spans="1:2" x14ac:dyDescent="0.25">
      <c r="A38" s="69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38"/>
  <sheetViews>
    <sheetView tabSelected="1" workbookViewId="0">
      <pane xSplit="1" ySplit="5" topLeftCell="G6" activePane="bottomRight" state="frozen"/>
      <selection pane="topRight" activeCell="B1" sqref="B1"/>
      <selection pane="bottomLeft" activeCell="A6" sqref="A6"/>
      <selection pane="bottomRight" activeCell="Q1" sqref="Q1:S65536"/>
    </sheetView>
  </sheetViews>
  <sheetFormatPr defaultColWidth="9.109375" defaultRowHeight="13.2" x14ac:dyDescent="0.25"/>
  <cols>
    <col min="1" max="1" width="5.6640625" style="70" customWidth="1"/>
    <col min="2" max="2" width="11" style="70" hidden="1" customWidth="1"/>
    <col min="3" max="4" width="11.33203125" style="70" hidden="1" customWidth="1"/>
    <col min="5" max="5" width="3.33203125" style="70" hidden="1" customWidth="1"/>
    <col min="6" max="6" width="12.88671875" style="70" hidden="1" customWidth="1"/>
    <col min="7" max="7" width="4.6640625" style="70" hidden="1" customWidth="1"/>
    <col min="8" max="8" width="10.44140625" style="70" hidden="1" customWidth="1"/>
    <col min="9" max="9" width="3.33203125" style="70" hidden="1" customWidth="1"/>
    <col min="10" max="10" width="12.88671875" style="70" hidden="1" customWidth="1"/>
    <col min="11" max="12" width="0" style="70" hidden="1" customWidth="1"/>
    <col min="13" max="13" width="11.33203125" style="70" hidden="1" customWidth="1"/>
    <col min="14" max="14" width="10.33203125" style="70" hidden="1" customWidth="1"/>
    <col min="15" max="15" width="11.109375" style="70" hidden="1" customWidth="1"/>
    <col min="16" max="16" width="3.5546875" style="70" hidden="1" customWidth="1"/>
    <col min="17" max="17" width="13" style="199" customWidth="1"/>
    <col min="18" max="18" width="4.109375" style="199" customWidth="1"/>
    <col min="19" max="19" width="12.33203125" style="199" customWidth="1"/>
    <col min="20" max="20" width="13.88671875" style="70" customWidth="1"/>
    <col min="21" max="23" width="9.109375" style="70"/>
    <col min="24" max="24" width="13.88671875" style="70" customWidth="1"/>
    <col min="25" max="16384" width="9.109375" style="70"/>
  </cols>
  <sheetData>
    <row r="2" spans="1:20" s="69" customFormat="1" x14ac:dyDescent="0.25">
      <c r="Q2" s="197"/>
      <c r="R2" s="197"/>
      <c r="S2" s="197"/>
    </row>
    <row r="3" spans="1:20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197"/>
      <c r="R3" s="197"/>
      <c r="S3" s="197"/>
      <c r="T3" s="69"/>
    </row>
    <row r="4" spans="1:20" x14ac:dyDescent="0.25">
      <c r="A4" s="69"/>
      <c r="B4" s="69"/>
      <c r="C4" s="69"/>
      <c r="D4" s="69"/>
      <c r="E4" s="69"/>
      <c r="F4" s="69" t="s">
        <v>162</v>
      </c>
      <c r="G4" s="69"/>
      <c r="H4" s="72" t="s">
        <v>163</v>
      </c>
      <c r="I4" s="73"/>
      <c r="J4" s="69"/>
      <c r="K4" s="69"/>
      <c r="L4" s="69"/>
      <c r="M4" s="69"/>
      <c r="N4" s="69"/>
      <c r="O4" s="69"/>
      <c r="P4" s="69"/>
      <c r="Q4" s="197"/>
      <c r="R4" s="197"/>
      <c r="S4" s="197"/>
      <c r="T4" s="69"/>
    </row>
    <row r="5" spans="1:20" x14ac:dyDescent="0.25">
      <c r="A5" s="69"/>
      <c r="B5" s="69" t="s">
        <v>164</v>
      </c>
      <c r="C5" s="69" t="s">
        <v>165</v>
      </c>
      <c r="D5" s="69" t="s">
        <v>154</v>
      </c>
      <c r="E5" s="69"/>
      <c r="F5" s="69" t="s">
        <v>166</v>
      </c>
      <c r="G5" s="69"/>
      <c r="H5" s="74" t="s">
        <v>172</v>
      </c>
      <c r="I5" s="73"/>
      <c r="J5" s="69"/>
      <c r="K5" s="69"/>
      <c r="L5" s="69"/>
      <c r="M5" s="71" t="s">
        <v>167</v>
      </c>
      <c r="N5" s="75" t="s">
        <v>168</v>
      </c>
      <c r="O5" s="72" t="s">
        <v>169</v>
      </c>
      <c r="P5" s="69"/>
      <c r="Q5" s="197" t="s">
        <v>173</v>
      </c>
      <c r="R5" s="197"/>
      <c r="S5" s="197" t="s">
        <v>170</v>
      </c>
      <c r="T5" s="69"/>
    </row>
    <row r="6" spans="1:20" x14ac:dyDescent="0.25">
      <c r="A6" s="69">
        <v>1</v>
      </c>
      <c r="B6" s="69">
        <v>26517</v>
      </c>
      <c r="C6" s="69">
        <v>0</v>
      </c>
      <c r="D6" s="69">
        <v>0</v>
      </c>
      <c r="E6" s="69"/>
      <c r="F6" s="69">
        <f>SUM(B6:D6)</f>
        <v>26517</v>
      </c>
      <c r="G6" s="69"/>
      <c r="H6" s="69">
        <v>3904</v>
      </c>
      <c r="I6" s="69"/>
      <c r="J6" s="69">
        <f>+F6+H6</f>
        <v>30421</v>
      </c>
      <c r="K6" s="69"/>
      <c r="L6" s="69"/>
      <c r="M6" s="76">
        <v>51762</v>
      </c>
      <c r="N6" s="73">
        <v>3904</v>
      </c>
      <c r="O6" s="77">
        <f>+N6+M6</f>
        <v>55666</v>
      </c>
      <c r="P6" s="69"/>
      <c r="Q6" s="197">
        <f>IF(O6-J6&gt;0,O6-J6,0)</f>
        <v>25245</v>
      </c>
      <c r="R6" s="197"/>
      <c r="S6" s="198">
        <v>0</v>
      </c>
      <c r="T6" s="79">
        <f>+S6*Q6</f>
        <v>0</v>
      </c>
    </row>
    <row r="7" spans="1:20" x14ac:dyDescent="0.25">
      <c r="A7" s="69">
        <f>+A6+1</f>
        <v>2</v>
      </c>
      <c r="B7" s="69">
        <v>26139</v>
      </c>
      <c r="C7" s="69">
        <f>+C6</f>
        <v>0</v>
      </c>
      <c r="D7" s="69">
        <f t="shared" ref="D7:D36" si="0">+D6</f>
        <v>0</v>
      </c>
      <c r="E7" s="69"/>
      <c r="F7" s="69">
        <f t="shared" ref="F7:F34" si="1">SUM(B7:D7)</f>
        <v>26139</v>
      </c>
      <c r="G7" s="69"/>
      <c r="H7" s="69">
        <f>+H6</f>
        <v>3904</v>
      </c>
      <c r="I7" s="69"/>
      <c r="J7" s="69">
        <f t="shared" ref="J7:J36" si="2">+F7+H7</f>
        <v>30043</v>
      </c>
      <c r="K7" s="69"/>
      <c r="L7" s="69"/>
      <c r="M7" s="76">
        <f>+M6</f>
        <v>51762</v>
      </c>
      <c r="N7" s="73">
        <f>+N6</f>
        <v>3904</v>
      </c>
      <c r="O7" s="77">
        <f t="shared" ref="O7:O32" si="3">+N7+M7</f>
        <v>55666</v>
      </c>
      <c r="P7" s="69"/>
      <c r="Q7" s="197">
        <f t="shared" ref="Q7:Q36" si="4">IF(O7-J7&gt;0,O7-J7,0)</f>
        <v>25623</v>
      </c>
      <c r="R7" s="197"/>
      <c r="S7" s="198">
        <f>+S6</f>
        <v>0</v>
      </c>
      <c r="T7" s="79">
        <f t="shared" ref="T7:T34" si="5">+S7*Q7</f>
        <v>0</v>
      </c>
    </row>
    <row r="8" spans="1:20" x14ac:dyDescent="0.25">
      <c r="A8" s="69">
        <f t="shared" ref="A8:A34" si="6">+A7+1</f>
        <v>3</v>
      </c>
      <c r="B8" s="69">
        <v>26139</v>
      </c>
      <c r="C8" s="69">
        <f>+C7</f>
        <v>0</v>
      </c>
      <c r="D8" s="69">
        <f t="shared" si="0"/>
        <v>0</v>
      </c>
      <c r="E8" s="69"/>
      <c r="F8" s="69">
        <f t="shared" si="1"/>
        <v>26139</v>
      </c>
      <c r="G8" s="69"/>
      <c r="H8" s="69">
        <f t="shared" ref="H8:H36" si="7">+H7</f>
        <v>3904</v>
      </c>
      <c r="I8" s="69"/>
      <c r="J8" s="69">
        <f t="shared" si="2"/>
        <v>30043</v>
      </c>
      <c r="K8" s="69"/>
      <c r="L8" s="69"/>
      <c r="M8" s="76">
        <f t="shared" ref="M8:M31" si="8">+M7</f>
        <v>51762</v>
      </c>
      <c r="N8" s="73">
        <f t="shared" ref="N8:N32" si="9">+N7</f>
        <v>3904</v>
      </c>
      <c r="O8" s="77">
        <f t="shared" si="3"/>
        <v>55666</v>
      </c>
      <c r="P8" s="69"/>
      <c r="Q8" s="197">
        <f t="shared" si="4"/>
        <v>25623</v>
      </c>
      <c r="R8" s="197"/>
      <c r="S8" s="198">
        <f t="shared" ref="S8:S36" si="10">+S7</f>
        <v>0</v>
      </c>
      <c r="T8" s="79">
        <f t="shared" si="5"/>
        <v>0</v>
      </c>
    </row>
    <row r="9" spans="1:20" x14ac:dyDescent="0.25">
      <c r="A9" s="69">
        <f t="shared" si="6"/>
        <v>4</v>
      </c>
      <c r="B9" s="69">
        <v>31010</v>
      </c>
      <c r="C9" s="69">
        <f>+C8</f>
        <v>0</v>
      </c>
      <c r="D9" s="69">
        <f t="shared" si="0"/>
        <v>0</v>
      </c>
      <c r="E9" s="69"/>
      <c r="F9" s="69">
        <f t="shared" si="1"/>
        <v>31010</v>
      </c>
      <c r="G9" s="69"/>
      <c r="H9" s="69">
        <f t="shared" si="7"/>
        <v>3904</v>
      </c>
      <c r="I9" s="69"/>
      <c r="J9" s="69">
        <f t="shared" si="2"/>
        <v>34914</v>
      </c>
      <c r="K9" s="69"/>
      <c r="L9" s="69"/>
      <c r="M9" s="76">
        <f t="shared" si="8"/>
        <v>51762</v>
      </c>
      <c r="N9" s="73">
        <f t="shared" si="9"/>
        <v>3904</v>
      </c>
      <c r="O9" s="77">
        <f t="shared" si="3"/>
        <v>55666</v>
      </c>
      <c r="P9" s="69"/>
      <c r="Q9" s="197">
        <f t="shared" si="4"/>
        <v>20752</v>
      </c>
      <c r="R9" s="197"/>
      <c r="S9" s="198">
        <f t="shared" si="10"/>
        <v>0</v>
      </c>
      <c r="T9" s="79">
        <f t="shared" si="5"/>
        <v>0</v>
      </c>
    </row>
    <row r="10" spans="1:20" x14ac:dyDescent="0.25">
      <c r="A10" s="69">
        <f t="shared" si="6"/>
        <v>5</v>
      </c>
      <c r="B10" s="69">
        <v>37063</v>
      </c>
      <c r="C10" s="69">
        <f>+C9</f>
        <v>0</v>
      </c>
      <c r="D10" s="69">
        <f t="shared" si="0"/>
        <v>0</v>
      </c>
      <c r="E10" s="69"/>
      <c r="F10" s="69">
        <f t="shared" si="1"/>
        <v>37063</v>
      </c>
      <c r="G10" s="69"/>
      <c r="H10" s="69">
        <f t="shared" si="7"/>
        <v>3904</v>
      </c>
      <c r="I10" s="69"/>
      <c r="J10" s="69">
        <f t="shared" si="2"/>
        <v>40967</v>
      </c>
      <c r="K10" s="69"/>
      <c r="L10" s="69"/>
      <c r="M10" s="76">
        <f t="shared" si="8"/>
        <v>51762</v>
      </c>
      <c r="N10" s="73">
        <f t="shared" si="9"/>
        <v>3904</v>
      </c>
      <c r="O10" s="77">
        <f t="shared" si="3"/>
        <v>55666</v>
      </c>
      <c r="P10" s="69"/>
      <c r="Q10" s="197">
        <f t="shared" si="4"/>
        <v>14699</v>
      </c>
      <c r="R10" s="197"/>
      <c r="S10" s="198">
        <f t="shared" si="10"/>
        <v>0</v>
      </c>
      <c r="T10" s="79">
        <f t="shared" si="5"/>
        <v>0</v>
      </c>
    </row>
    <row r="11" spans="1:20" x14ac:dyDescent="0.25">
      <c r="A11" s="69">
        <f t="shared" si="6"/>
        <v>6</v>
      </c>
      <c r="B11" s="69">
        <v>68651</v>
      </c>
      <c r="C11" s="69">
        <f>+C10</f>
        <v>0</v>
      </c>
      <c r="D11" s="69">
        <f t="shared" si="0"/>
        <v>0</v>
      </c>
      <c r="E11" s="69"/>
      <c r="F11" s="69">
        <f t="shared" si="1"/>
        <v>68651</v>
      </c>
      <c r="G11" s="69"/>
      <c r="H11" s="69">
        <f t="shared" si="7"/>
        <v>3904</v>
      </c>
      <c r="I11" s="69"/>
      <c r="J11" s="69">
        <f t="shared" si="2"/>
        <v>72555</v>
      </c>
      <c r="K11" s="69"/>
      <c r="L11" s="69"/>
      <c r="M11" s="76">
        <f t="shared" si="8"/>
        <v>51762</v>
      </c>
      <c r="N11" s="73">
        <f t="shared" si="9"/>
        <v>3904</v>
      </c>
      <c r="O11" s="77">
        <f t="shared" si="3"/>
        <v>55666</v>
      </c>
      <c r="P11" s="69"/>
      <c r="Q11" s="197">
        <f t="shared" si="4"/>
        <v>0</v>
      </c>
      <c r="R11" s="197"/>
      <c r="S11" s="198">
        <f t="shared" si="10"/>
        <v>0</v>
      </c>
      <c r="T11" s="79">
        <f t="shared" si="5"/>
        <v>0</v>
      </c>
    </row>
    <row r="12" spans="1:20" x14ac:dyDescent="0.25">
      <c r="A12" s="69">
        <f t="shared" si="6"/>
        <v>7</v>
      </c>
      <c r="B12" s="69">
        <v>80147</v>
      </c>
      <c r="C12" s="69">
        <f t="shared" ref="C12:C36" si="11">+C11</f>
        <v>0</v>
      </c>
      <c r="D12" s="69">
        <f t="shared" si="0"/>
        <v>0</v>
      </c>
      <c r="E12" s="69"/>
      <c r="F12" s="69">
        <f t="shared" si="1"/>
        <v>80147</v>
      </c>
      <c r="G12" s="69"/>
      <c r="H12" s="69">
        <f t="shared" si="7"/>
        <v>3904</v>
      </c>
      <c r="I12" s="69"/>
      <c r="J12" s="69">
        <f t="shared" si="2"/>
        <v>84051</v>
      </c>
      <c r="K12" s="69"/>
      <c r="L12" s="69"/>
      <c r="M12" s="76">
        <f>+M11-10000</f>
        <v>41762</v>
      </c>
      <c r="N12" s="73">
        <f t="shared" si="9"/>
        <v>3904</v>
      </c>
      <c r="O12" s="77">
        <f t="shared" si="3"/>
        <v>45666</v>
      </c>
      <c r="P12" s="69"/>
      <c r="Q12" s="197">
        <f t="shared" si="4"/>
        <v>0</v>
      </c>
      <c r="R12" s="197"/>
      <c r="S12" s="198">
        <f t="shared" si="10"/>
        <v>0</v>
      </c>
      <c r="T12" s="79">
        <f t="shared" si="5"/>
        <v>0</v>
      </c>
    </row>
    <row r="13" spans="1:20" x14ac:dyDescent="0.25">
      <c r="A13" s="69">
        <f t="shared" si="6"/>
        <v>8</v>
      </c>
      <c r="B13" s="69">
        <v>81455</v>
      </c>
      <c r="C13" s="69">
        <f t="shared" si="11"/>
        <v>0</v>
      </c>
      <c r="D13" s="69">
        <f t="shared" si="0"/>
        <v>0</v>
      </c>
      <c r="E13" s="69"/>
      <c r="F13" s="69">
        <f t="shared" si="1"/>
        <v>81455</v>
      </c>
      <c r="G13" s="69"/>
      <c r="H13" s="69">
        <f t="shared" si="7"/>
        <v>3904</v>
      </c>
      <c r="I13" s="69"/>
      <c r="J13" s="69">
        <f t="shared" si="2"/>
        <v>85359</v>
      </c>
      <c r="K13" s="69"/>
      <c r="L13" s="69"/>
      <c r="M13" s="76">
        <f t="shared" si="8"/>
        <v>41762</v>
      </c>
      <c r="N13" s="73">
        <f t="shared" si="9"/>
        <v>3904</v>
      </c>
      <c r="O13" s="77">
        <f t="shared" si="3"/>
        <v>45666</v>
      </c>
      <c r="P13" s="69"/>
      <c r="Q13" s="197">
        <f t="shared" si="4"/>
        <v>0</v>
      </c>
      <c r="R13" s="197"/>
      <c r="S13" s="198">
        <f t="shared" si="10"/>
        <v>0</v>
      </c>
      <c r="T13" s="79">
        <f t="shared" si="5"/>
        <v>0</v>
      </c>
    </row>
    <row r="14" spans="1:20" x14ac:dyDescent="0.25">
      <c r="A14" s="69">
        <f t="shared" si="6"/>
        <v>9</v>
      </c>
      <c r="B14" s="69">
        <v>69723</v>
      </c>
      <c r="C14" s="69">
        <f t="shared" si="11"/>
        <v>0</v>
      </c>
      <c r="D14" s="69">
        <f t="shared" si="0"/>
        <v>0</v>
      </c>
      <c r="E14" s="69"/>
      <c r="F14" s="69">
        <f t="shared" si="1"/>
        <v>69723</v>
      </c>
      <c r="G14" s="69"/>
      <c r="H14" s="69">
        <f t="shared" si="7"/>
        <v>3904</v>
      </c>
      <c r="I14" s="69"/>
      <c r="J14" s="69">
        <f t="shared" si="2"/>
        <v>73627</v>
      </c>
      <c r="K14" s="69"/>
      <c r="L14" s="69"/>
      <c r="M14" s="76">
        <f t="shared" si="8"/>
        <v>41762</v>
      </c>
      <c r="N14" s="73">
        <f t="shared" si="9"/>
        <v>3904</v>
      </c>
      <c r="O14" s="77">
        <f t="shared" si="3"/>
        <v>45666</v>
      </c>
      <c r="P14" s="69"/>
      <c r="Q14" s="197">
        <f t="shared" si="4"/>
        <v>0</v>
      </c>
      <c r="R14" s="197"/>
      <c r="S14" s="198">
        <f t="shared" si="10"/>
        <v>0</v>
      </c>
      <c r="T14" s="79">
        <f t="shared" si="5"/>
        <v>0</v>
      </c>
    </row>
    <row r="15" spans="1:20" x14ac:dyDescent="0.25">
      <c r="A15" s="69">
        <f t="shared" si="6"/>
        <v>10</v>
      </c>
      <c r="B15" s="69">
        <v>59895</v>
      </c>
      <c r="C15" s="69">
        <f t="shared" si="11"/>
        <v>0</v>
      </c>
      <c r="D15" s="69">
        <f t="shared" si="0"/>
        <v>0</v>
      </c>
      <c r="E15" s="69"/>
      <c r="F15" s="69">
        <f t="shared" si="1"/>
        <v>59895</v>
      </c>
      <c r="G15" s="69"/>
      <c r="H15" s="69">
        <f t="shared" si="7"/>
        <v>3904</v>
      </c>
      <c r="I15" s="69"/>
      <c r="J15" s="69">
        <f t="shared" si="2"/>
        <v>63799</v>
      </c>
      <c r="K15" s="69"/>
      <c r="L15" s="69"/>
      <c r="M15" s="76">
        <f t="shared" si="8"/>
        <v>41762</v>
      </c>
      <c r="N15" s="73">
        <f t="shared" si="9"/>
        <v>3904</v>
      </c>
      <c r="O15" s="77">
        <f t="shared" si="3"/>
        <v>45666</v>
      </c>
      <c r="P15" s="69"/>
      <c r="Q15" s="197">
        <f t="shared" si="4"/>
        <v>0</v>
      </c>
      <c r="R15" s="197"/>
      <c r="S15" s="198">
        <f t="shared" si="10"/>
        <v>0</v>
      </c>
      <c r="T15" s="79">
        <f t="shared" si="5"/>
        <v>0</v>
      </c>
    </row>
    <row r="16" spans="1:20" x14ac:dyDescent="0.25">
      <c r="A16" s="69">
        <f t="shared" si="6"/>
        <v>11</v>
      </c>
      <c r="B16" s="69">
        <v>52457</v>
      </c>
      <c r="C16" s="69">
        <f t="shared" si="11"/>
        <v>0</v>
      </c>
      <c r="D16" s="69">
        <f t="shared" si="0"/>
        <v>0</v>
      </c>
      <c r="E16" s="69"/>
      <c r="F16" s="69">
        <f t="shared" si="1"/>
        <v>52457</v>
      </c>
      <c r="G16" s="69"/>
      <c r="H16" s="69">
        <f t="shared" si="7"/>
        <v>3904</v>
      </c>
      <c r="I16" s="69"/>
      <c r="J16" s="69">
        <f t="shared" si="2"/>
        <v>56361</v>
      </c>
      <c r="K16" s="69"/>
      <c r="L16" s="69"/>
      <c r="M16" s="76">
        <f t="shared" si="8"/>
        <v>41762</v>
      </c>
      <c r="N16" s="73">
        <f t="shared" si="9"/>
        <v>3904</v>
      </c>
      <c r="O16" s="77">
        <f t="shared" si="3"/>
        <v>45666</v>
      </c>
      <c r="P16" s="69"/>
      <c r="Q16" s="197">
        <f t="shared" si="4"/>
        <v>0</v>
      </c>
      <c r="R16" s="197"/>
      <c r="S16" s="198">
        <f t="shared" si="10"/>
        <v>0</v>
      </c>
      <c r="T16" s="79">
        <f t="shared" si="5"/>
        <v>0</v>
      </c>
    </row>
    <row r="17" spans="1:24" x14ac:dyDescent="0.25">
      <c r="A17" s="69">
        <f t="shared" si="6"/>
        <v>12</v>
      </c>
      <c r="B17" s="69">
        <v>43374</v>
      </c>
      <c r="C17" s="69">
        <f t="shared" si="11"/>
        <v>0</v>
      </c>
      <c r="D17" s="69">
        <f t="shared" si="0"/>
        <v>0</v>
      </c>
      <c r="E17" s="69"/>
      <c r="F17" s="69">
        <f t="shared" si="1"/>
        <v>43374</v>
      </c>
      <c r="G17" s="69"/>
      <c r="H17" s="69">
        <f t="shared" si="7"/>
        <v>3904</v>
      </c>
      <c r="I17" s="69"/>
      <c r="J17" s="69">
        <f t="shared" si="2"/>
        <v>47278</v>
      </c>
      <c r="K17" s="69"/>
      <c r="L17" s="69"/>
      <c r="M17" s="76">
        <f t="shared" si="8"/>
        <v>41762</v>
      </c>
      <c r="N17" s="73">
        <f t="shared" si="9"/>
        <v>3904</v>
      </c>
      <c r="O17" s="77">
        <f t="shared" si="3"/>
        <v>45666</v>
      </c>
      <c r="P17" s="69"/>
      <c r="Q17" s="197">
        <f t="shared" si="4"/>
        <v>0</v>
      </c>
      <c r="R17" s="197"/>
      <c r="S17" s="198">
        <f t="shared" si="10"/>
        <v>0</v>
      </c>
      <c r="T17" s="79">
        <f t="shared" si="5"/>
        <v>0</v>
      </c>
    </row>
    <row r="18" spans="1:24" x14ac:dyDescent="0.25">
      <c r="A18" s="69">
        <f t="shared" si="6"/>
        <v>13</v>
      </c>
      <c r="B18" s="69">
        <v>31609</v>
      </c>
      <c r="C18" s="69">
        <f t="shared" si="11"/>
        <v>0</v>
      </c>
      <c r="D18" s="69">
        <f t="shared" si="0"/>
        <v>0</v>
      </c>
      <c r="E18" s="69"/>
      <c r="F18" s="69">
        <f t="shared" si="1"/>
        <v>31609</v>
      </c>
      <c r="G18" s="69"/>
      <c r="H18" s="69">
        <f t="shared" si="7"/>
        <v>3904</v>
      </c>
      <c r="I18" s="69"/>
      <c r="J18" s="69">
        <f t="shared" si="2"/>
        <v>35513</v>
      </c>
      <c r="K18" s="69"/>
      <c r="L18" s="69"/>
      <c r="M18" s="76">
        <f t="shared" si="8"/>
        <v>41762</v>
      </c>
      <c r="N18" s="73">
        <f t="shared" si="9"/>
        <v>3904</v>
      </c>
      <c r="O18" s="77">
        <f t="shared" si="3"/>
        <v>45666</v>
      </c>
      <c r="P18" s="69"/>
      <c r="Q18" s="197">
        <f t="shared" si="4"/>
        <v>10153</v>
      </c>
      <c r="R18" s="197"/>
      <c r="S18" s="198">
        <f t="shared" si="10"/>
        <v>0</v>
      </c>
      <c r="T18" s="79">
        <f t="shared" si="5"/>
        <v>0</v>
      </c>
    </row>
    <row r="19" spans="1:24" x14ac:dyDescent="0.25">
      <c r="A19" s="69">
        <f t="shared" si="6"/>
        <v>14</v>
      </c>
      <c r="B19" s="69">
        <v>26139</v>
      </c>
      <c r="C19" s="69">
        <f t="shared" si="11"/>
        <v>0</v>
      </c>
      <c r="D19" s="69">
        <f t="shared" si="0"/>
        <v>0</v>
      </c>
      <c r="E19" s="69"/>
      <c r="F19" s="69">
        <f t="shared" si="1"/>
        <v>26139</v>
      </c>
      <c r="G19" s="69"/>
      <c r="H19" s="69">
        <f t="shared" si="7"/>
        <v>3904</v>
      </c>
      <c r="I19" s="69"/>
      <c r="J19" s="69">
        <f t="shared" si="2"/>
        <v>30043</v>
      </c>
      <c r="K19" s="69"/>
      <c r="L19" s="69"/>
      <c r="M19" s="76">
        <f t="shared" si="8"/>
        <v>41762</v>
      </c>
      <c r="N19" s="73">
        <f t="shared" si="9"/>
        <v>3904</v>
      </c>
      <c r="O19" s="77">
        <f t="shared" si="3"/>
        <v>45666</v>
      </c>
      <c r="P19" s="69"/>
      <c r="Q19" s="197">
        <f t="shared" si="4"/>
        <v>15623</v>
      </c>
      <c r="R19" s="197"/>
      <c r="S19" s="198">
        <f t="shared" si="10"/>
        <v>0</v>
      </c>
      <c r="T19" s="79">
        <f t="shared" si="5"/>
        <v>0</v>
      </c>
    </row>
    <row r="20" spans="1:24" x14ac:dyDescent="0.25">
      <c r="A20" s="69">
        <f t="shared" si="6"/>
        <v>15</v>
      </c>
      <c r="B20" s="69">
        <v>33089</v>
      </c>
      <c r="C20" s="69">
        <f t="shared" si="11"/>
        <v>0</v>
      </c>
      <c r="D20" s="69">
        <f t="shared" si="0"/>
        <v>0</v>
      </c>
      <c r="E20" s="69"/>
      <c r="F20" s="69">
        <f t="shared" si="1"/>
        <v>33089</v>
      </c>
      <c r="G20" s="69"/>
      <c r="H20" s="69">
        <f t="shared" si="7"/>
        <v>3904</v>
      </c>
      <c r="I20" s="69"/>
      <c r="J20" s="69">
        <f t="shared" si="2"/>
        <v>36993</v>
      </c>
      <c r="K20" s="69"/>
      <c r="L20" s="69"/>
      <c r="M20" s="76">
        <f t="shared" si="8"/>
        <v>41762</v>
      </c>
      <c r="N20" s="73">
        <f t="shared" si="9"/>
        <v>3904</v>
      </c>
      <c r="O20" s="77">
        <f t="shared" si="3"/>
        <v>45666</v>
      </c>
      <c r="P20" s="69"/>
      <c r="Q20" s="197">
        <f t="shared" si="4"/>
        <v>8673</v>
      </c>
      <c r="R20" s="197"/>
      <c r="S20" s="198">
        <f t="shared" si="10"/>
        <v>0</v>
      </c>
      <c r="T20" s="79">
        <f t="shared" si="5"/>
        <v>0</v>
      </c>
    </row>
    <row r="21" spans="1:24" x14ac:dyDescent="0.25">
      <c r="A21" s="69">
        <f t="shared" si="6"/>
        <v>16</v>
      </c>
      <c r="B21" s="69">
        <v>36772</v>
      </c>
      <c r="C21" s="69">
        <f t="shared" si="11"/>
        <v>0</v>
      </c>
      <c r="D21" s="69">
        <f t="shared" si="0"/>
        <v>0</v>
      </c>
      <c r="E21" s="69"/>
      <c r="F21" s="69">
        <f t="shared" si="1"/>
        <v>36772</v>
      </c>
      <c r="G21" s="69"/>
      <c r="H21" s="69">
        <f t="shared" si="7"/>
        <v>3904</v>
      </c>
      <c r="I21" s="69"/>
      <c r="J21" s="69">
        <f t="shared" si="2"/>
        <v>40676</v>
      </c>
      <c r="K21" s="69"/>
      <c r="L21" s="69"/>
      <c r="M21" s="76">
        <f t="shared" si="8"/>
        <v>41762</v>
      </c>
      <c r="N21" s="73">
        <f t="shared" si="9"/>
        <v>3904</v>
      </c>
      <c r="O21" s="77">
        <f t="shared" si="3"/>
        <v>45666</v>
      </c>
      <c r="P21" s="69"/>
      <c r="Q21" s="197">
        <f t="shared" si="4"/>
        <v>4990</v>
      </c>
      <c r="R21" s="197"/>
      <c r="S21" s="198">
        <f t="shared" si="10"/>
        <v>0</v>
      </c>
      <c r="T21" s="79">
        <f t="shared" si="5"/>
        <v>0</v>
      </c>
    </row>
    <row r="22" spans="1:24" x14ac:dyDescent="0.25">
      <c r="A22" s="69">
        <f t="shared" si="6"/>
        <v>17</v>
      </c>
      <c r="B22" s="69">
        <v>43013</v>
      </c>
      <c r="C22" s="69">
        <f t="shared" si="11"/>
        <v>0</v>
      </c>
      <c r="D22" s="69">
        <f t="shared" si="0"/>
        <v>0</v>
      </c>
      <c r="E22" s="69"/>
      <c r="F22" s="69">
        <f t="shared" si="1"/>
        <v>43013</v>
      </c>
      <c r="G22" s="69"/>
      <c r="H22" s="69">
        <f t="shared" si="7"/>
        <v>3904</v>
      </c>
      <c r="I22" s="69"/>
      <c r="J22" s="69">
        <f t="shared" si="2"/>
        <v>46917</v>
      </c>
      <c r="K22" s="69"/>
      <c r="L22" s="69"/>
      <c r="M22" s="76">
        <f t="shared" si="8"/>
        <v>41762</v>
      </c>
      <c r="N22" s="73">
        <f t="shared" si="9"/>
        <v>3904</v>
      </c>
      <c r="O22" s="77">
        <f t="shared" si="3"/>
        <v>45666</v>
      </c>
      <c r="P22" s="69"/>
      <c r="Q22" s="197">
        <f t="shared" si="4"/>
        <v>0</v>
      </c>
      <c r="R22" s="197"/>
      <c r="S22" s="198">
        <f t="shared" si="10"/>
        <v>0</v>
      </c>
      <c r="T22" s="79">
        <f t="shared" si="5"/>
        <v>0</v>
      </c>
    </row>
    <row r="23" spans="1:24" x14ac:dyDescent="0.25">
      <c r="A23" s="69">
        <f t="shared" si="6"/>
        <v>18</v>
      </c>
      <c r="B23" s="69">
        <v>51174</v>
      </c>
      <c r="C23" s="69">
        <f t="shared" si="11"/>
        <v>0</v>
      </c>
      <c r="D23" s="69">
        <f t="shared" si="0"/>
        <v>0</v>
      </c>
      <c r="E23" s="69"/>
      <c r="F23" s="69">
        <f t="shared" si="1"/>
        <v>51174</v>
      </c>
      <c r="G23" s="69"/>
      <c r="H23" s="69">
        <f t="shared" si="7"/>
        <v>3904</v>
      </c>
      <c r="I23" s="69"/>
      <c r="J23" s="69">
        <f t="shared" si="2"/>
        <v>55078</v>
      </c>
      <c r="K23" s="69"/>
      <c r="L23" s="69"/>
      <c r="M23" s="76">
        <f t="shared" si="8"/>
        <v>41762</v>
      </c>
      <c r="N23" s="73">
        <f t="shared" si="9"/>
        <v>3904</v>
      </c>
      <c r="O23" s="77">
        <f t="shared" si="3"/>
        <v>45666</v>
      </c>
      <c r="P23" s="69"/>
      <c r="Q23" s="197">
        <f t="shared" si="4"/>
        <v>0</v>
      </c>
      <c r="R23" s="197"/>
      <c r="S23" s="198">
        <f t="shared" si="10"/>
        <v>0</v>
      </c>
      <c r="T23" s="79">
        <f t="shared" si="5"/>
        <v>0</v>
      </c>
    </row>
    <row r="24" spans="1:24" x14ac:dyDescent="0.25">
      <c r="A24" s="69">
        <f t="shared" si="6"/>
        <v>19</v>
      </c>
      <c r="B24" s="69">
        <v>39020</v>
      </c>
      <c r="C24" s="69">
        <f t="shared" si="11"/>
        <v>0</v>
      </c>
      <c r="D24" s="69">
        <f t="shared" si="0"/>
        <v>0</v>
      </c>
      <c r="E24" s="69"/>
      <c r="F24" s="69">
        <f t="shared" si="1"/>
        <v>39020</v>
      </c>
      <c r="G24" s="69"/>
      <c r="H24" s="69">
        <f t="shared" si="7"/>
        <v>3904</v>
      </c>
      <c r="I24" s="69"/>
      <c r="J24" s="69">
        <f t="shared" si="2"/>
        <v>42924</v>
      </c>
      <c r="K24" s="69"/>
      <c r="L24" s="69"/>
      <c r="M24" s="76">
        <f t="shared" si="8"/>
        <v>41762</v>
      </c>
      <c r="N24" s="73">
        <f t="shared" si="9"/>
        <v>3904</v>
      </c>
      <c r="O24" s="77">
        <f t="shared" si="3"/>
        <v>45666</v>
      </c>
      <c r="P24" s="69"/>
      <c r="Q24" s="197">
        <f t="shared" si="4"/>
        <v>2742</v>
      </c>
      <c r="R24" s="197"/>
      <c r="S24" s="198">
        <f t="shared" si="10"/>
        <v>0</v>
      </c>
      <c r="T24" s="79">
        <f t="shared" si="5"/>
        <v>0</v>
      </c>
    </row>
    <row r="25" spans="1:24" x14ac:dyDescent="0.25">
      <c r="A25" s="69">
        <f t="shared" si="6"/>
        <v>20</v>
      </c>
      <c r="B25" s="69">
        <v>31206</v>
      </c>
      <c r="C25" s="69">
        <f t="shared" si="11"/>
        <v>0</v>
      </c>
      <c r="D25" s="69">
        <f t="shared" si="0"/>
        <v>0</v>
      </c>
      <c r="E25" s="69"/>
      <c r="F25" s="69">
        <f t="shared" si="1"/>
        <v>31206</v>
      </c>
      <c r="G25" s="69"/>
      <c r="H25" s="69">
        <f t="shared" si="7"/>
        <v>3904</v>
      </c>
      <c r="I25" s="69"/>
      <c r="J25" s="69">
        <f t="shared" si="2"/>
        <v>35110</v>
      </c>
      <c r="K25" s="69"/>
      <c r="L25" s="69"/>
      <c r="M25" s="76">
        <f t="shared" si="8"/>
        <v>41762</v>
      </c>
      <c r="N25" s="73">
        <f t="shared" si="9"/>
        <v>3904</v>
      </c>
      <c r="O25" s="77">
        <f t="shared" si="3"/>
        <v>45666</v>
      </c>
      <c r="P25" s="69"/>
      <c r="Q25" s="197">
        <f t="shared" si="4"/>
        <v>10556</v>
      </c>
      <c r="R25" s="197"/>
      <c r="S25" s="198">
        <f t="shared" si="10"/>
        <v>0</v>
      </c>
      <c r="T25" s="79">
        <f t="shared" si="5"/>
        <v>0</v>
      </c>
    </row>
    <row r="26" spans="1:24" x14ac:dyDescent="0.25">
      <c r="A26" s="69">
        <f t="shared" si="6"/>
        <v>21</v>
      </c>
      <c r="B26" s="69">
        <v>30982</v>
      </c>
      <c r="C26" s="69">
        <f t="shared" si="11"/>
        <v>0</v>
      </c>
      <c r="D26" s="69">
        <f t="shared" si="0"/>
        <v>0</v>
      </c>
      <c r="E26" s="69"/>
      <c r="F26" s="69">
        <f t="shared" si="1"/>
        <v>30982</v>
      </c>
      <c r="G26" s="69"/>
      <c r="H26" s="69">
        <f t="shared" si="7"/>
        <v>3904</v>
      </c>
      <c r="I26" s="69"/>
      <c r="J26" s="69">
        <f t="shared" si="2"/>
        <v>34886</v>
      </c>
      <c r="K26" s="69"/>
      <c r="L26" s="69"/>
      <c r="M26" s="76">
        <f t="shared" si="8"/>
        <v>41762</v>
      </c>
      <c r="N26" s="73">
        <f t="shared" si="9"/>
        <v>3904</v>
      </c>
      <c r="O26" s="77">
        <f t="shared" si="3"/>
        <v>45666</v>
      </c>
      <c r="P26" s="69"/>
      <c r="Q26" s="197">
        <f t="shared" si="4"/>
        <v>10780</v>
      </c>
      <c r="R26" s="197"/>
      <c r="S26" s="198">
        <f t="shared" si="10"/>
        <v>0</v>
      </c>
      <c r="T26" s="79">
        <f t="shared" si="5"/>
        <v>0</v>
      </c>
    </row>
    <row r="27" spans="1:24" x14ac:dyDescent="0.25">
      <c r="A27" s="69">
        <f t="shared" si="6"/>
        <v>22</v>
      </c>
      <c r="B27" s="69">
        <v>35476</v>
      </c>
      <c r="C27" s="69">
        <f t="shared" si="11"/>
        <v>0</v>
      </c>
      <c r="D27" s="69">
        <f t="shared" si="0"/>
        <v>0</v>
      </c>
      <c r="E27" s="69"/>
      <c r="F27" s="69">
        <f t="shared" si="1"/>
        <v>35476</v>
      </c>
      <c r="G27" s="69"/>
      <c r="H27" s="69">
        <f t="shared" si="7"/>
        <v>3904</v>
      </c>
      <c r="I27" s="69"/>
      <c r="J27" s="69">
        <f t="shared" si="2"/>
        <v>39380</v>
      </c>
      <c r="K27" s="69"/>
      <c r="L27" s="69"/>
      <c r="M27" s="76">
        <f t="shared" si="8"/>
        <v>41762</v>
      </c>
      <c r="N27" s="73">
        <f t="shared" si="9"/>
        <v>3904</v>
      </c>
      <c r="O27" s="77">
        <f t="shared" si="3"/>
        <v>45666</v>
      </c>
      <c r="P27" s="69"/>
      <c r="Q27" s="197">
        <f t="shared" si="4"/>
        <v>6286</v>
      </c>
      <c r="R27" s="197"/>
      <c r="S27" s="198">
        <f t="shared" si="10"/>
        <v>0</v>
      </c>
      <c r="T27" s="79">
        <f t="shared" si="5"/>
        <v>0</v>
      </c>
    </row>
    <row r="28" spans="1:24" x14ac:dyDescent="0.25">
      <c r="A28" s="69">
        <f t="shared" si="6"/>
        <v>23</v>
      </c>
      <c r="B28" s="69">
        <v>27496</v>
      </c>
      <c r="C28" s="69">
        <f t="shared" si="11"/>
        <v>0</v>
      </c>
      <c r="D28" s="69">
        <f t="shared" si="0"/>
        <v>0</v>
      </c>
      <c r="E28" s="69"/>
      <c r="F28" s="69">
        <f t="shared" si="1"/>
        <v>27496</v>
      </c>
      <c r="G28" s="69"/>
      <c r="H28" s="69">
        <f t="shared" si="7"/>
        <v>3904</v>
      </c>
      <c r="I28" s="69"/>
      <c r="J28" s="69">
        <f t="shared" si="2"/>
        <v>31400</v>
      </c>
      <c r="K28" s="69"/>
      <c r="L28" s="69"/>
      <c r="M28" s="76">
        <f t="shared" si="8"/>
        <v>41762</v>
      </c>
      <c r="N28" s="73">
        <f t="shared" si="9"/>
        <v>3904</v>
      </c>
      <c r="O28" s="77">
        <f t="shared" si="3"/>
        <v>45666</v>
      </c>
      <c r="P28" s="69"/>
      <c r="Q28" s="197">
        <f t="shared" si="4"/>
        <v>14266</v>
      </c>
      <c r="R28" s="197"/>
      <c r="S28" s="198">
        <f t="shared" si="10"/>
        <v>0</v>
      </c>
      <c r="T28" s="79">
        <f t="shared" si="5"/>
        <v>0</v>
      </c>
    </row>
    <row r="29" spans="1:24" x14ac:dyDescent="0.25">
      <c r="A29" s="69">
        <f t="shared" si="6"/>
        <v>24</v>
      </c>
      <c r="B29" s="69">
        <v>27088</v>
      </c>
      <c r="C29" s="69">
        <f t="shared" si="11"/>
        <v>0</v>
      </c>
      <c r="D29" s="69">
        <f t="shared" si="0"/>
        <v>0</v>
      </c>
      <c r="E29" s="69"/>
      <c r="F29" s="69">
        <f t="shared" si="1"/>
        <v>27088</v>
      </c>
      <c r="G29" s="69"/>
      <c r="H29" s="69">
        <f t="shared" si="7"/>
        <v>3904</v>
      </c>
      <c r="I29" s="69"/>
      <c r="J29" s="69">
        <f t="shared" si="2"/>
        <v>30992</v>
      </c>
      <c r="K29" s="69"/>
      <c r="L29" s="69"/>
      <c r="M29" s="76">
        <f t="shared" si="8"/>
        <v>41762</v>
      </c>
      <c r="N29" s="73">
        <f t="shared" si="9"/>
        <v>3904</v>
      </c>
      <c r="O29" s="77">
        <f t="shared" si="3"/>
        <v>45666</v>
      </c>
      <c r="P29" s="69"/>
      <c r="Q29" s="197">
        <f t="shared" si="4"/>
        <v>14674</v>
      </c>
      <c r="R29" s="197"/>
      <c r="S29" s="198">
        <f t="shared" si="10"/>
        <v>0</v>
      </c>
      <c r="T29" s="79">
        <f t="shared" si="5"/>
        <v>0</v>
      </c>
    </row>
    <row r="30" spans="1:24" x14ac:dyDescent="0.25">
      <c r="A30" s="69">
        <f t="shared" si="6"/>
        <v>25</v>
      </c>
      <c r="B30" s="69">
        <v>29146</v>
      </c>
      <c r="C30" s="69">
        <f t="shared" si="11"/>
        <v>0</v>
      </c>
      <c r="D30" s="69">
        <f t="shared" si="0"/>
        <v>0</v>
      </c>
      <c r="E30" s="69"/>
      <c r="F30" s="69">
        <f t="shared" si="1"/>
        <v>29146</v>
      </c>
      <c r="G30" s="69"/>
      <c r="H30" s="69">
        <f t="shared" si="7"/>
        <v>3904</v>
      </c>
      <c r="I30" s="69"/>
      <c r="J30" s="69">
        <f t="shared" si="2"/>
        <v>33050</v>
      </c>
      <c r="K30" s="69"/>
      <c r="L30" s="69"/>
      <c r="M30" s="76">
        <f t="shared" si="8"/>
        <v>41762</v>
      </c>
      <c r="N30" s="73">
        <f t="shared" si="9"/>
        <v>3904</v>
      </c>
      <c r="O30" s="77">
        <f t="shared" si="3"/>
        <v>45666</v>
      </c>
      <c r="P30" s="69"/>
      <c r="Q30" s="197">
        <f t="shared" si="4"/>
        <v>12616</v>
      </c>
      <c r="R30" s="197"/>
      <c r="S30" s="198">
        <f t="shared" si="10"/>
        <v>0</v>
      </c>
      <c r="T30" s="79">
        <f t="shared" si="5"/>
        <v>0</v>
      </c>
      <c r="W30" s="78"/>
      <c r="X30" s="79"/>
    </row>
    <row r="31" spans="1:24" x14ac:dyDescent="0.25">
      <c r="A31" s="69">
        <f t="shared" si="6"/>
        <v>26</v>
      </c>
      <c r="B31" s="69">
        <v>26229</v>
      </c>
      <c r="C31" s="69">
        <f t="shared" si="11"/>
        <v>0</v>
      </c>
      <c r="D31" s="69">
        <f t="shared" si="0"/>
        <v>0</v>
      </c>
      <c r="E31" s="69"/>
      <c r="F31" s="69">
        <f t="shared" si="1"/>
        <v>26229</v>
      </c>
      <c r="G31" s="69"/>
      <c r="H31" s="69">
        <f t="shared" si="7"/>
        <v>3904</v>
      </c>
      <c r="I31" s="69"/>
      <c r="J31" s="69">
        <f t="shared" si="2"/>
        <v>30133</v>
      </c>
      <c r="K31" s="69"/>
      <c r="L31" s="69"/>
      <c r="M31" s="76">
        <f t="shared" si="8"/>
        <v>41762</v>
      </c>
      <c r="N31" s="73">
        <f t="shared" si="9"/>
        <v>3904</v>
      </c>
      <c r="O31" s="77">
        <f t="shared" si="3"/>
        <v>45666</v>
      </c>
      <c r="P31" s="69"/>
      <c r="Q31" s="197">
        <f t="shared" si="4"/>
        <v>15533</v>
      </c>
      <c r="R31" s="197"/>
      <c r="S31" s="198">
        <f t="shared" si="10"/>
        <v>0</v>
      </c>
      <c r="T31" s="79">
        <f t="shared" si="5"/>
        <v>0</v>
      </c>
      <c r="W31" s="78"/>
      <c r="X31" s="79"/>
    </row>
    <row r="32" spans="1:24" x14ac:dyDescent="0.25">
      <c r="A32" s="69">
        <f t="shared" si="6"/>
        <v>27</v>
      </c>
      <c r="B32" s="69">
        <v>26354</v>
      </c>
      <c r="C32" s="69">
        <f t="shared" si="11"/>
        <v>0</v>
      </c>
      <c r="D32" s="69">
        <f t="shared" si="0"/>
        <v>0</v>
      </c>
      <c r="E32" s="69"/>
      <c r="F32" s="69">
        <f t="shared" si="1"/>
        <v>26354</v>
      </c>
      <c r="G32" s="69"/>
      <c r="H32" s="69">
        <f t="shared" si="7"/>
        <v>3904</v>
      </c>
      <c r="I32" s="69"/>
      <c r="J32" s="69">
        <f t="shared" si="2"/>
        <v>30258</v>
      </c>
      <c r="K32" s="69"/>
      <c r="L32" s="69"/>
      <c r="M32" s="76">
        <f>+M31-10000</f>
        <v>31762</v>
      </c>
      <c r="N32" s="73">
        <f t="shared" si="9"/>
        <v>3904</v>
      </c>
      <c r="O32" s="77">
        <f t="shared" si="3"/>
        <v>35666</v>
      </c>
      <c r="P32" s="69"/>
      <c r="Q32" s="197">
        <f t="shared" si="4"/>
        <v>5408</v>
      </c>
      <c r="R32" s="197"/>
      <c r="S32" s="198">
        <f t="shared" si="10"/>
        <v>0</v>
      </c>
      <c r="T32" s="79">
        <f t="shared" si="5"/>
        <v>0</v>
      </c>
      <c r="W32" s="78"/>
      <c r="X32" s="79"/>
    </row>
    <row r="33" spans="1:24" x14ac:dyDescent="0.25">
      <c r="A33" s="69">
        <f t="shared" si="6"/>
        <v>28</v>
      </c>
      <c r="B33" s="69">
        <v>71649</v>
      </c>
      <c r="C33" s="69">
        <f t="shared" si="11"/>
        <v>0</v>
      </c>
      <c r="D33" s="69">
        <f t="shared" si="0"/>
        <v>0</v>
      </c>
      <c r="E33" s="69"/>
      <c r="F33" s="69">
        <f t="shared" si="1"/>
        <v>71649</v>
      </c>
      <c r="G33" s="69"/>
      <c r="H33" s="69">
        <f t="shared" si="7"/>
        <v>3904</v>
      </c>
      <c r="I33" s="69"/>
      <c r="J33" s="69">
        <f t="shared" si="2"/>
        <v>75553</v>
      </c>
      <c r="K33" s="69"/>
      <c r="L33" s="69"/>
      <c r="M33" s="76">
        <f t="shared" ref="M33:N36" si="12">+M32</f>
        <v>31762</v>
      </c>
      <c r="N33" s="73">
        <f t="shared" si="12"/>
        <v>3904</v>
      </c>
      <c r="O33" s="77">
        <f>+N33+M33</f>
        <v>35666</v>
      </c>
      <c r="P33" s="69"/>
      <c r="Q33" s="197">
        <f t="shared" si="4"/>
        <v>0</v>
      </c>
      <c r="R33" s="197"/>
      <c r="S33" s="198">
        <f t="shared" si="10"/>
        <v>0</v>
      </c>
      <c r="T33" s="79">
        <f t="shared" si="5"/>
        <v>0</v>
      </c>
      <c r="W33" s="78"/>
      <c r="X33" s="79"/>
    </row>
    <row r="34" spans="1:24" x14ac:dyDescent="0.25">
      <c r="A34" s="69">
        <f t="shared" si="6"/>
        <v>29</v>
      </c>
      <c r="B34" s="69">
        <v>72347</v>
      </c>
      <c r="C34" s="69">
        <f t="shared" si="11"/>
        <v>0</v>
      </c>
      <c r="D34" s="69">
        <f t="shared" si="0"/>
        <v>0</v>
      </c>
      <c r="E34" s="69"/>
      <c r="F34" s="69">
        <f t="shared" si="1"/>
        <v>72347</v>
      </c>
      <c r="G34" s="69"/>
      <c r="H34" s="69">
        <f t="shared" si="7"/>
        <v>3904</v>
      </c>
      <c r="I34" s="69"/>
      <c r="J34" s="69">
        <f t="shared" si="2"/>
        <v>76251</v>
      </c>
      <c r="K34" s="69"/>
      <c r="L34" s="69"/>
      <c r="M34" s="76">
        <f t="shared" si="12"/>
        <v>31762</v>
      </c>
      <c r="N34" s="73">
        <f t="shared" si="12"/>
        <v>3904</v>
      </c>
      <c r="O34" s="77">
        <f>+N34+M34</f>
        <v>35666</v>
      </c>
      <c r="P34" s="69"/>
      <c r="Q34" s="197">
        <f t="shared" si="4"/>
        <v>0</v>
      </c>
      <c r="R34" s="197"/>
      <c r="S34" s="198">
        <f t="shared" si="10"/>
        <v>0</v>
      </c>
      <c r="T34" s="79">
        <f t="shared" si="5"/>
        <v>0</v>
      </c>
      <c r="W34" s="78"/>
      <c r="X34" s="79"/>
    </row>
    <row r="35" spans="1:24" x14ac:dyDescent="0.25">
      <c r="A35" s="69">
        <f>+A34+1</f>
        <v>30</v>
      </c>
      <c r="B35" s="69">
        <v>65704</v>
      </c>
      <c r="C35" s="69">
        <f t="shared" si="11"/>
        <v>0</v>
      </c>
      <c r="D35" s="69">
        <f t="shared" si="0"/>
        <v>0</v>
      </c>
      <c r="E35" s="69"/>
      <c r="F35" s="69">
        <f>SUM(B35:D35)</f>
        <v>65704</v>
      </c>
      <c r="G35" s="69"/>
      <c r="H35" s="69">
        <f t="shared" si="7"/>
        <v>3904</v>
      </c>
      <c r="I35" s="69"/>
      <c r="J35" s="69">
        <f t="shared" si="2"/>
        <v>69608</v>
      </c>
      <c r="K35" s="69"/>
      <c r="L35" s="69"/>
      <c r="M35" s="76">
        <f t="shared" si="12"/>
        <v>31762</v>
      </c>
      <c r="N35" s="73">
        <f t="shared" si="12"/>
        <v>3904</v>
      </c>
      <c r="O35" s="77">
        <f>+N35+M35</f>
        <v>35666</v>
      </c>
      <c r="P35" s="69"/>
      <c r="Q35" s="197">
        <f t="shared" si="4"/>
        <v>0</v>
      </c>
      <c r="R35" s="197"/>
      <c r="S35" s="198">
        <f t="shared" si="10"/>
        <v>0</v>
      </c>
      <c r="T35" s="79">
        <f>+S35*Q35</f>
        <v>0</v>
      </c>
      <c r="W35" s="78"/>
      <c r="X35" s="79"/>
    </row>
    <row r="36" spans="1:24" x14ac:dyDescent="0.25">
      <c r="A36" s="69">
        <f>+A35+1</f>
        <v>31</v>
      </c>
      <c r="B36" s="69">
        <v>52265</v>
      </c>
      <c r="C36" s="69">
        <f t="shared" si="11"/>
        <v>0</v>
      </c>
      <c r="D36" s="69">
        <f t="shared" si="0"/>
        <v>0</v>
      </c>
      <c r="E36" s="69"/>
      <c r="F36" s="69">
        <f>SUM(B36:D36)</f>
        <v>52265</v>
      </c>
      <c r="G36" s="69"/>
      <c r="H36" s="69">
        <f t="shared" si="7"/>
        <v>3904</v>
      </c>
      <c r="I36" s="69"/>
      <c r="J36" s="69">
        <f t="shared" si="2"/>
        <v>56169</v>
      </c>
      <c r="K36" s="69"/>
      <c r="L36" s="69"/>
      <c r="M36" s="76">
        <f t="shared" si="12"/>
        <v>31762</v>
      </c>
      <c r="N36" s="73">
        <f t="shared" si="12"/>
        <v>3904</v>
      </c>
      <c r="O36" s="77">
        <f>+N36+M36</f>
        <v>35666</v>
      </c>
      <c r="P36" s="69"/>
      <c r="Q36" s="197">
        <f t="shared" si="4"/>
        <v>0</v>
      </c>
      <c r="R36" s="197"/>
      <c r="S36" s="198">
        <f t="shared" si="10"/>
        <v>0</v>
      </c>
      <c r="T36" s="79">
        <f>+S36*Q36</f>
        <v>0</v>
      </c>
      <c r="W36" s="78"/>
      <c r="X36" s="79"/>
    </row>
    <row r="37" spans="1:24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197"/>
      <c r="R37" s="197"/>
      <c r="S37" s="197"/>
      <c r="T37" s="69"/>
    </row>
    <row r="38" spans="1:24" x14ac:dyDescent="0.25">
      <c r="A38" s="69"/>
      <c r="B38" s="69">
        <f>SUM(B6:B37)</f>
        <v>1359328</v>
      </c>
      <c r="C38" s="69">
        <f>SUM(C6:C37)</f>
        <v>0</v>
      </c>
      <c r="D38" s="69">
        <f>SUM(D6:D37)</f>
        <v>0</v>
      </c>
      <c r="E38" s="69"/>
      <c r="F38" s="69">
        <f>SUM(F6:F37)</f>
        <v>1359328</v>
      </c>
      <c r="G38" s="69"/>
      <c r="H38" s="69">
        <f>SUM(H6:H37)</f>
        <v>121024</v>
      </c>
      <c r="I38" s="69"/>
      <c r="J38" s="69">
        <f>SUM(J6:J37)</f>
        <v>1480352</v>
      </c>
      <c r="K38" s="69"/>
      <c r="L38" s="69"/>
      <c r="M38" s="69">
        <f>SUM(M6:M37)</f>
        <v>1304622</v>
      </c>
      <c r="N38" s="69">
        <f>SUM(N6:N37)</f>
        <v>121024</v>
      </c>
      <c r="O38" s="69">
        <f>SUM(O6:O37)</f>
        <v>1425646</v>
      </c>
      <c r="P38" s="69"/>
      <c r="Q38" s="197">
        <f>SUM(Q6:Q37)</f>
        <v>244242</v>
      </c>
      <c r="R38" s="197" t="s">
        <v>171</v>
      </c>
      <c r="S38" s="197"/>
      <c r="T38" s="79">
        <f>SUM(T6:T34)</f>
        <v>0</v>
      </c>
      <c r="V38" s="69"/>
      <c r="X38" s="79"/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workbookViewId="0">
      <selection activeCell="C17" activeCellId="1" sqref="C21 C17"/>
    </sheetView>
  </sheetViews>
  <sheetFormatPr defaultColWidth="9.109375" defaultRowHeight="11.4" x14ac:dyDescent="0.2"/>
  <cols>
    <col min="1" max="1" width="15.5546875" style="60" customWidth="1"/>
    <col min="2" max="2" width="9.109375" style="60"/>
    <col min="3" max="3" width="12.44140625" style="60" customWidth="1"/>
    <col min="4" max="4" width="12.109375" style="60" customWidth="1"/>
    <col min="5" max="5" width="11" style="60" customWidth="1"/>
    <col min="6" max="6" width="9.109375" style="60"/>
    <col min="7" max="7" width="15" style="60" customWidth="1"/>
    <col min="8" max="11" width="9.109375" style="60"/>
    <col min="12" max="12" width="14.6640625" style="60" customWidth="1"/>
    <col min="13" max="16384" width="9.109375" style="60"/>
  </cols>
  <sheetData>
    <row r="1" spans="1:14" ht="13.2" x14ac:dyDescent="0.2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</row>
    <row r="2" spans="1:14" ht="13.2" x14ac:dyDescent="0.2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</row>
    <row r="3" spans="1:14" ht="13.2" x14ac:dyDescent="0.25">
      <c r="A3" s="64" t="s">
        <v>52</v>
      </c>
      <c r="C3" s="60" t="s">
        <v>115</v>
      </c>
      <c r="E3" s="88"/>
      <c r="F3" s="88"/>
      <c r="G3" s="88"/>
      <c r="H3" s="88"/>
      <c r="I3" s="88"/>
      <c r="J3" s="88"/>
      <c r="K3" s="88"/>
      <c r="L3" s="88"/>
      <c r="M3" s="88"/>
      <c r="N3" s="88"/>
    </row>
    <row r="4" spans="1:14" ht="13.2" x14ac:dyDescent="0.2">
      <c r="A4" s="60" t="s">
        <v>138</v>
      </c>
      <c r="B4" s="60" t="s">
        <v>145</v>
      </c>
      <c r="C4" s="62">
        <v>4.8499999999999996</v>
      </c>
      <c r="E4" s="88"/>
      <c r="F4" s="88"/>
      <c r="G4" s="88"/>
      <c r="H4" s="88"/>
      <c r="I4" s="88"/>
      <c r="J4" s="88"/>
      <c r="K4" s="88"/>
      <c r="L4" s="88"/>
      <c r="M4" s="88"/>
      <c r="N4" s="88"/>
    </row>
    <row r="5" spans="1:14" ht="13.2" x14ac:dyDescent="0.2">
      <c r="A5" s="60" t="s">
        <v>144</v>
      </c>
      <c r="C5" s="62">
        <v>7.4999999999999997E-3</v>
      </c>
      <c r="E5" s="88"/>
      <c r="F5" s="88"/>
      <c r="G5" s="88"/>
      <c r="H5" s="88"/>
      <c r="I5" s="88"/>
      <c r="J5" s="88"/>
      <c r="K5" s="88"/>
      <c r="L5" s="88"/>
      <c r="M5" s="88"/>
      <c r="N5" s="88"/>
    </row>
    <row r="6" spans="1:14" ht="13.2" x14ac:dyDescent="0.2">
      <c r="A6" s="60" t="s">
        <v>139</v>
      </c>
      <c r="C6" s="62">
        <v>4.3999999999999997E-2</v>
      </c>
      <c r="E6" s="88"/>
      <c r="F6" s="88"/>
      <c r="G6" s="88"/>
      <c r="H6" s="88"/>
      <c r="I6" s="88"/>
      <c r="J6" s="88"/>
      <c r="K6" s="88"/>
      <c r="L6" s="88"/>
      <c r="M6" s="88"/>
      <c r="N6" s="88"/>
    </row>
    <row r="7" spans="1:14" ht="13.2" x14ac:dyDescent="0.2">
      <c r="A7" s="60" t="s">
        <v>140</v>
      </c>
      <c r="C7" s="62">
        <v>2.2000000000000001E-3</v>
      </c>
      <c r="E7" s="88"/>
      <c r="F7" s="88"/>
      <c r="G7" s="88"/>
      <c r="H7" s="88"/>
      <c r="I7" s="88"/>
      <c r="J7" s="88"/>
      <c r="K7" s="88"/>
      <c r="L7" s="88"/>
      <c r="M7" s="88"/>
      <c r="N7" s="88"/>
    </row>
    <row r="8" spans="1:14" ht="13.2" x14ac:dyDescent="0.2">
      <c r="A8" s="60" t="s">
        <v>141</v>
      </c>
      <c r="C8" s="110">
        <v>2.2800000000000001E-2</v>
      </c>
      <c r="E8" s="88"/>
      <c r="F8" s="88"/>
      <c r="G8" s="88"/>
      <c r="H8" s="88"/>
      <c r="I8" s="88"/>
      <c r="J8" s="88"/>
      <c r="K8" s="88"/>
      <c r="L8" s="88"/>
      <c r="M8" s="88"/>
      <c r="N8" s="88"/>
    </row>
    <row r="9" spans="1:14" ht="13.2" x14ac:dyDescent="0.2">
      <c r="A9" s="60" t="s">
        <v>142</v>
      </c>
      <c r="C9" s="109">
        <f>ROUND((+C4+C5)/(1-C8)+(C6+C7),4)-C4-C5</f>
        <v>0.1595000000000007</v>
      </c>
      <c r="E9" s="88"/>
      <c r="F9" s="88"/>
      <c r="G9" s="88"/>
      <c r="H9" s="88"/>
      <c r="I9" s="88"/>
      <c r="J9" s="88"/>
      <c r="K9" s="88"/>
      <c r="L9" s="88"/>
      <c r="M9" s="88"/>
      <c r="N9" s="88"/>
    </row>
    <row r="10" spans="1:14" ht="13.2" x14ac:dyDescent="0.2">
      <c r="A10" s="60" t="s">
        <v>348</v>
      </c>
      <c r="C10" s="111">
        <v>0.02</v>
      </c>
      <c r="E10" s="88"/>
      <c r="F10" s="88"/>
      <c r="G10" s="88"/>
      <c r="H10" s="88"/>
      <c r="I10" s="88"/>
      <c r="J10" s="88"/>
      <c r="K10" s="88"/>
      <c r="L10" s="88"/>
      <c r="M10" s="88"/>
      <c r="N10" s="88"/>
    </row>
    <row r="11" spans="1:14" ht="13.8" thickBot="1" x14ac:dyDescent="0.25">
      <c r="C11" s="99">
        <f>SUM(C4:C5,C9,C10)</f>
        <v>5.0369999999999999</v>
      </c>
      <c r="D11" s="60" t="s">
        <v>349</v>
      </c>
      <c r="E11" s="88"/>
      <c r="F11" s="88"/>
      <c r="G11" s="88"/>
      <c r="H11" s="88"/>
      <c r="I11" s="88"/>
      <c r="J11" s="88"/>
      <c r="K11" s="88"/>
      <c r="L11" s="88"/>
      <c r="M11" s="88"/>
      <c r="N11" s="88"/>
    </row>
    <row r="12" spans="1:14" ht="13.8" thickTop="1" x14ac:dyDescent="0.2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</row>
    <row r="13" spans="1:14" ht="13.2" x14ac:dyDescent="0.2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</row>
    <row r="14" spans="1:14" ht="13.2" x14ac:dyDescent="0.2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</row>
    <row r="15" spans="1:14" ht="13.2" x14ac:dyDescent="0.25">
      <c r="A15" s="64" t="s">
        <v>145</v>
      </c>
      <c r="C15" s="60" t="s">
        <v>77</v>
      </c>
      <c r="E15" s="60" t="s">
        <v>290</v>
      </c>
      <c r="F15" s="88"/>
      <c r="G15" s="88"/>
      <c r="H15" s="88"/>
      <c r="I15" s="88"/>
      <c r="J15" s="88"/>
      <c r="K15" s="88"/>
      <c r="L15" s="88"/>
      <c r="M15" s="88"/>
      <c r="N15" s="88"/>
    </row>
    <row r="16" spans="1:14" ht="13.2" x14ac:dyDescent="0.2">
      <c r="A16" s="60" t="s">
        <v>138</v>
      </c>
      <c r="B16" s="60" t="s">
        <v>145</v>
      </c>
      <c r="C16" s="62">
        <v>5.55</v>
      </c>
      <c r="E16" s="62">
        <v>4.8099999999999996</v>
      </c>
      <c r="F16" s="88"/>
      <c r="G16" s="88" t="s">
        <v>291</v>
      </c>
      <c r="H16" s="88"/>
      <c r="I16" s="62">
        <f>+C22</f>
        <v>5.7041000000000004</v>
      </c>
      <c r="J16" s="88"/>
      <c r="K16" s="88"/>
      <c r="L16" s="88"/>
      <c r="M16" s="88"/>
      <c r="N16" s="88"/>
    </row>
    <row r="17" spans="1:14" ht="13.2" x14ac:dyDescent="0.2">
      <c r="A17" s="60" t="s">
        <v>144</v>
      </c>
      <c r="C17" s="62">
        <v>7.4999999999999997E-3</v>
      </c>
      <c r="E17" s="62">
        <v>7.4999999999999997E-3</v>
      </c>
      <c r="F17" s="88"/>
      <c r="G17" s="88"/>
      <c r="H17" s="88"/>
      <c r="I17" s="62">
        <v>0</v>
      </c>
      <c r="J17" s="88"/>
      <c r="K17" s="88"/>
      <c r="L17" s="88"/>
      <c r="M17" s="88"/>
      <c r="N17" s="88"/>
    </row>
    <row r="18" spans="1:14" ht="13.2" x14ac:dyDescent="0.2">
      <c r="A18" s="60" t="s">
        <v>139</v>
      </c>
      <c r="C18" s="62">
        <v>1.3299999999999999E-2</v>
      </c>
      <c r="E18" s="62">
        <v>1.3299999999999999E-2</v>
      </c>
      <c r="F18" s="88"/>
      <c r="G18" s="88" t="s">
        <v>292</v>
      </c>
      <c r="H18" s="88"/>
      <c r="I18" s="62">
        <v>1.5299999999999999E-2</v>
      </c>
      <c r="J18" s="88"/>
      <c r="K18" s="88"/>
      <c r="L18" s="88"/>
      <c r="M18" s="88"/>
      <c r="N18" s="88"/>
    </row>
    <row r="19" spans="1:14" ht="13.2" x14ac:dyDescent="0.2">
      <c r="A19" s="60" t="s">
        <v>140</v>
      </c>
      <c r="C19" s="62">
        <v>9.4000000000000004E-3</v>
      </c>
      <c r="E19" s="62">
        <v>9.4000000000000004E-3</v>
      </c>
      <c r="F19" s="88"/>
      <c r="G19" s="88" t="s">
        <v>141</v>
      </c>
      <c r="H19" s="88"/>
      <c r="I19" s="110">
        <v>1.6999999999999999E-3</v>
      </c>
      <c r="J19" s="88"/>
      <c r="K19" s="88"/>
      <c r="L19" s="88"/>
      <c r="M19" s="88"/>
      <c r="N19" s="88"/>
    </row>
    <row r="20" spans="1:14" ht="13.2" x14ac:dyDescent="0.2">
      <c r="A20" s="60" t="s">
        <v>141</v>
      </c>
      <c r="C20" s="110">
        <v>2.1839999999999998E-2</v>
      </c>
      <c r="E20" s="110">
        <v>2.1839999999999998E-2</v>
      </c>
      <c r="F20" s="88"/>
      <c r="G20" s="88"/>
      <c r="H20" s="88"/>
      <c r="I20" s="109">
        <f>ROUND(+I16/(1-I19)+I18,4)-I16</f>
        <v>2.4999999999999467E-2</v>
      </c>
      <c r="J20" s="88"/>
      <c r="K20" s="88"/>
      <c r="L20" s="88"/>
      <c r="M20" s="88"/>
      <c r="N20" s="88"/>
    </row>
    <row r="21" spans="1:14" ht="13.8" thickBot="1" x14ac:dyDescent="0.25">
      <c r="A21" s="60" t="s">
        <v>142</v>
      </c>
      <c r="C21" s="109">
        <f>ROUND(+C16/(1-C20)+(C18+C19),4)-C16</f>
        <v>0.14660000000000029</v>
      </c>
      <c r="E21" s="109">
        <f>ROUND(+E16/(1-E20)+(E18+E19),4)-E16</f>
        <v>0.13010000000000055</v>
      </c>
      <c r="F21" s="88"/>
      <c r="G21" s="88"/>
      <c r="H21" s="88"/>
      <c r="I21" s="99">
        <f>I16+I20</f>
        <v>5.7290999999999999</v>
      </c>
      <c r="J21" s="88" t="s">
        <v>350</v>
      </c>
      <c r="K21" s="88"/>
      <c r="L21" s="92"/>
      <c r="M21" s="88"/>
      <c r="N21" s="88"/>
    </row>
    <row r="22" spans="1:14" ht="14.4" thickTop="1" thickBot="1" x14ac:dyDescent="0.25">
      <c r="C22" s="99">
        <f>SUM(C16,C17,C21)</f>
        <v>5.7041000000000004</v>
      </c>
      <c r="D22" s="60" t="s">
        <v>379</v>
      </c>
      <c r="E22" s="109">
        <v>0.02</v>
      </c>
      <c r="F22" s="88"/>
      <c r="G22" s="88"/>
      <c r="H22" s="88"/>
      <c r="I22" s="66"/>
      <c r="J22" s="127"/>
      <c r="K22" s="88"/>
      <c r="L22" s="92"/>
      <c r="M22" s="88"/>
      <c r="N22" s="88"/>
    </row>
    <row r="23" spans="1:14" ht="14.4" thickTop="1" thickBot="1" x14ac:dyDescent="0.25">
      <c r="E23" s="99">
        <f>+E22+E21+E16</f>
        <v>4.9600999999999997</v>
      </c>
      <c r="F23" s="60" t="s">
        <v>351</v>
      </c>
      <c r="H23" s="88"/>
      <c r="I23" s="126"/>
      <c r="J23" s="127"/>
      <c r="K23" s="88"/>
      <c r="L23" s="92"/>
      <c r="M23" s="88"/>
      <c r="N23" s="88"/>
    </row>
    <row r="24" spans="1:14" ht="13.8" thickTop="1" x14ac:dyDescent="0.2">
      <c r="C24" s="89"/>
      <c r="E24" s="89"/>
      <c r="H24" s="88"/>
      <c r="I24" s="126"/>
      <c r="J24" s="127"/>
      <c r="K24" s="88"/>
      <c r="L24" s="92"/>
      <c r="M24" s="88"/>
      <c r="N24" s="88"/>
    </row>
    <row r="25" spans="1:14" ht="13.2" x14ac:dyDescent="0.2">
      <c r="A25" s="60" t="s">
        <v>352</v>
      </c>
      <c r="C25" s="89"/>
      <c r="E25" s="89"/>
      <c r="H25" s="88"/>
      <c r="I25" s="126"/>
      <c r="J25" s="127"/>
      <c r="K25" s="88"/>
      <c r="L25" s="92"/>
      <c r="M25" s="88"/>
      <c r="N25" s="88"/>
    </row>
    <row r="26" spans="1:14" ht="13.2" x14ac:dyDescent="0.2">
      <c r="B26" s="60" t="s">
        <v>353</v>
      </c>
      <c r="C26" s="89"/>
      <c r="E26" s="89"/>
      <c r="H26" s="88"/>
      <c r="I26" s="126"/>
      <c r="J26" s="127"/>
      <c r="K26" s="88"/>
      <c r="L26" s="92"/>
      <c r="M26" s="88"/>
      <c r="N26" s="88"/>
    </row>
    <row r="27" spans="1:14" ht="13.2" x14ac:dyDescent="0.2">
      <c r="C27" s="89" t="s">
        <v>354</v>
      </c>
      <c r="E27" s="89"/>
      <c r="H27" s="88"/>
      <c r="I27" s="126"/>
      <c r="J27" s="127"/>
      <c r="K27" s="88"/>
      <c r="L27" s="92"/>
      <c r="M27" s="88"/>
      <c r="N27" s="88"/>
    </row>
    <row r="28" spans="1:14" ht="13.2" x14ac:dyDescent="0.2">
      <c r="C28" s="89"/>
      <c r="E28" s="89"/>
      <c r="H28" s="88"/>
      <c r="I28" s="126"/>
      <c r="J28" s="127"/>
      <c r="K28" s="88"/>
      <c r="L28" s="92"/>
      <c r="M28" s="88"/>
      <c r="N28" s="88"/>
    </row>
    <row r="29" spans="1:14" ht="13.2" x14ac:dyDescent="0.2">
      <c r="B29" s="60" t="s">
        <v>355</v>
      </c>
      <c r="C29" s="89"/>
      <c r="E29" s="89"/>
      <c r="H29" s="88"/>
      <c r="I29" s="126"/>
      <c r="J29" s="127"/>
      <c r="K29" s="88"/>
      <c r="L29" s="92"/>
      <c r="M29" s="88"/>
      <c r="N29" s="88"/>
    </row>
    <row r="30" spans="1:14" ht="13.2" x14ac:dyDescent="0.2">
      <c r="C30" s="89" t="s">
        <v>356</v>
      </c>
      <c r="E30" s="89"/>
      <c r="H30" s="88"/>
      <c r="I30" s="126"/>
      <c r="J30" s="127"/>
      <c r="K30" s="88"/>
      <c r="L30" s="92"/>
      <c r="M30" s="88"/>
      <c r="N30" s="88"/>
    </row>
    <row r="31" spans="1:14" ht="13.2" x14ac:dyDescent="0.2">
      <c r="C31" s="89"/>
      <c r="E31" s="89"/>
      <c r="H31" s="88"/>
      <c r="I31" s="126"/>
      <c r="J31" s="127"/>
      <c r="K31" s="88"/>
      <c r="L31" s="92"/>
      <c r="M31" s="88"/>
      <c r="N31" s="88"/>
    </row>
    <row r="32" spans="1:14" ht="13.2" x14ac:dyDescent="0.2">
      <c r="B32" s="60" t="s">
        <v>357</v>
      </c>
      <c r="C32" s="89"/>
      <c r="E32" s="89"/>
      <c r="H32" s="88"/>
      <c r="I32" s="126"/>
      <c r="J32" s="127"/>
      <c r="K32" s="88"/>
      <c r="L32" s="92"/>
      <c r="M32" s="88"/>
      <c r="N32" s="88"/>
    </row>
    <row r="33" spans="1:14" ht="13.2" x14ac:dyDescent="0.2">
      <c r="C33" s="89" t="s">
        <v>356</v>
      </c>
      <c r="E33" s="89"/>
      <c r="H33" s="88"/>
      <c r="I33" s="126"/>
      <c r="J33" s="127"/>
      <c r="K33" s="88"/>
      <c r="L33" s="92"/>
      <c r="M33" s="88"/>
      <c r="N33" s="88"/>
    </row>
    <row r="34" spans="1:14" ht="13.2" x14ac:dyDescent="0.2">
      <c r="C34" s="89"/>
      <c r="E34" s="89"/>
      <c r="H34" s="88"/>
      <c r="I34" s="126"/>
      <c r="J34" s="127"/>
      <c r="K34" s="88"/>
      <c r="L34" s="92"/>
      <c r="M34" s="88"/>
      <c r="N34" s="88"/>
    </row>
    <row r="35" spans="1:14" ht="13.2" x14ac:dyDescent="0.2">
      <c r="C35" s="81"/>
      <c r="E35" s="81"/>
      <c r="H35" s="88"/>
      <c r="I35" s="88"/>
      <c r="J35" s="88"/>
      <c r="K35" s="88"/>
      <c r="L35" s="92"/>
      <c r="M35" s="88"/>
      <c r="N35" s="88"/>
    </row>
    <row r="36" spans="1:14" ht="13.2" x14ac:dyDescent="0.2">
      <c r="C36" s="81"/>
      <c r="E36" s="81"/>
      <c r="H36" s="88"/>
      <c r="I36" s="88"/>
      <c r="J36" s="88"/>
      <c r="K36" s="88"/>
      <c r="L36" s="92"/>
      <c r="M36" s="88"/>
      <c r="N36" s="88"/>
    </row>
    <row r="37" spans="1:14" ht="13.2" x14ac:dyDescent="0.2">
      <c r="C37" s="81"/>
      <c r="E37" s="81"/>
      <c r="H37" s="88"/>
      <c r="I37" s="88"/>
      <c r="J37" s="88"/>
      <c r="K37" s="88"/>
      <c r="L37" s="92"/>
      <c r="M37" s="88"/>
      <c r="N37" s="88"/>
    </row>
    <row r="38" spans="1:14" ht="13.2" x14ac:dyDescent="0.25">
      <c r="A38" s="64" t="s">
        <v>308</v>
      </c>
      <c r="C38" s="60" t="s">
        <v>51</v>
      </c>
      <c r="D38" s="65" t="s">
        <v>310</v>
      </c>
      <c r="E38" s="65"/>
      <c r="F38" s="101"/>
      <c r="G38" s="101"/>
      <c r="H38" s="101"/>
      <c r="I38" s="101"/>
      <c r="J38" s="88"/>
      <c r="K38" s="88"/>
      <c r="L38" s="88"/>
      <c r="M38" s="88"/>
      <c r="N38" s="88"/>
    </row>
    <row r="39" spans="1:14" ht="13.2" x14ac:dyDescent="0.2">
      <c r="A39" s="60" t="s">
        <v>138</v>
      </c>
      <c r="B39" s="60" t="s">
        <v>308</v>
      </c>
      <c r="C39" s="62">
        <v>4.59</v>
      </c>
      <c r="D39" s="61">
        <v>1142</v>
      </c>
      <c r="E39" s="65" t="s">
        <v>358</v>
      </c>
      <c r="F39" s="101"/>
      <c r="G39" s="101"/>
      <c r="H39" s="101"/>
      <c r="I39" s="66"/>
      <c r="J39" s="88"/>
      <c r="K39" s="88"/>
      <c r="L39" s="88"/>
      <c r="M39" s="88"/>
      <c r="N39" s="88"/>
    </row>
    <row r="40" spans="1:14" ht="13.2" x14ac:dyDescent="0.2">
      <c r="A40" s="60" t="s">
        <v>144</v>
      </c>
      <c r="C40" s="62">
        <v>0.05</v>
      </c>
      <c r="D40" s="65"/>
      <c r="E40" s="66"/>
      <c r="F40" s="101"/>
      <c r="G40" s="101"/>
      <c r="H40" s="101"/>
      <c r="I40" s="66"/>
      <c r="J40" s="88"/>
      <c r="K40" s="88"/>
      <c r="L40" s="88"/>
      <c r="M40" s="88"/>
      <c r="N40" s="88"/>
    </row>
    <row r="41" spans="1:14" ht="13.2" x14ac:dyDescent="0.2">
      <c r="A41" s="60" t="s">
        <v>139</v>
      </c>
      <c r="C41" s="62">
        <v>1.7000000000000001E-2</v>
      </c>
      <c r="D41" s="65"/>
      <c r="E41" s="66"/>
      <c r="F41" s="101"/>
      <c r="G41" s="101"/>
      <c r="H41" s="101"/>
      <c r="I41" s="66"/>
      <c r="J41" s="88"/>
      <c r="K41" s="88"/>
      <c r="L41" s="88"/>
      <c r="M41" s="88"/>
      <c r="N41" s="88"/>
    </row>
    <row r="42" spans="1:14" ht="13.2" x14ac:dyDescent="0.2">
      <c r="A42" s="60" t="s">
        <v>140</v>
      </c>
      <c r="C42" s="62">
        <v>2.2000000000000001E-3</v>
      </c>
      <c r="D42" s="65"/>
      <c r="E42" s="66"/>
      <c r="F42" s="101"/>
      <c r="G42" s="101"/>
      <c r="H42" s="101"/>
      <c r="I42" s="102"/>
      <c r="J42" s="88"/>
      <c r="K42" s="88"/>
      <c r="L42" s="88"/>
      <c r="M42" s="88"/>
      <c r="N42" s="88"/>
    </row>
    <row r="43" spans="1:14" ht="13.2" x14ac:dyDescent="0.2">
      <c r="A43" s="60" t="s">
        <v>141</v>
      </c>
      <c r="C43" s="110">
        <v>2.8199999999999999E-2</v>
      </c>
      <c r="D43" s="65">
        <f>ROUND(+D39*(1-C43),0)</f>
        <v>1110</v>
      </c>
      <c r="E43" s="102" t="s">
        <v>359</v>
      </c>
      <c r="F43" s="101"/>
      <c r="G43" s="101"/>
      <c r="H43" s="101"/>
      <c r="I43" s="66"/>
      <c r="J43" s="88"/>
      <c r="K43" s="88"/>
      <c r="L43" s="88"/>
      <c r="M43" s="88"/>
      <c r="N43" s="88"/>
    </row>
    <row r="44" spans="1:14" ht="13.2" x14ac:dyDescent="0.2">
      <c r="A44" s="60" t="s">
        <v>142</v>
      </c>
      <c r="C44" s="109">
        <f>ROUND((+C39+C40)/(1-C43)+(C41+C42),4)-C39-C40</f>
        <v>0.15380000000000021</v>
      </c>
      <c r="D44" s="65"/>
      <c r="E44" s="66"/>
      <c r="F44" s="101"/>
      <c r="G44" s="101"/>
      <c r="H44" s="101"/>
      <c r="I44" s="66"/>
      <c r="J44" s="88"/>
      <c r="K44" s="88"/>
      <c r="L44" s="92"/>
      <c r="M44" s="88"/>
      <c r="N44" s="88"/>
    </row>
    <row r="45" spans="1:14" ht="13.8" thickBot="1" x14ac:dyDescent="0.25">
      <c r="C45" s="99">
        <f>SUM(C39,C40,C44)</f>
        <v>4.7938000000000001</v>
      </c>
      <c r="D45" s="65"/>
      <c r="E45" s="66"/>
      <c r="F45" s="101"/>
      <c r="G45" s="101"/>
      <c r="H45" s="101"/>
      <c r="I45" s="66"/>
      <c r="J45" s="88"/>
      <c r="K45" s="88"/>
      <c r="L45" s="92"/>
      <c r="M45" s="88"/>
      <c r="N45" s="88"/>
    </row>
    <row r="46" spans="1:14" ht="13.8" thickTop="1" x14ac:dyDescent="0.2">
      <c r="A46" s="60" t="s">
        <v>293</v>
      </c>
      <c r="D46" s="65"/>
      <c r="E46" s="66"/>
      <c r="F46" s="65"/>
      <c r="G46" s="65"/>
      <c r="H46" s="101"/>
      <c r="I46" s="101"/>
      <c r="J46" s="88"/>
      <c r="K46" s="88"/>
      <c r="L46" s="92"/>
      <c r="M46" s="88"/>
      <c r="N46" s="88"/>
    </row>
    <row r="47" spans="1:14" ht="13.2" x14ac:dyDescent="0.2">
      <c r="C47" s="89"/>
      <c r="E47" s="89"/>
      <c r="H47" s="88"/>
      <c r="I47" s="88"/>
      <c r="J47" s="88"/>
      <c r="K47" s="88"/>
      <c r="L47" s="92"/>
      <c r="M47" s="88"/>
      <c r="N47" s="88"/>
    </row>
    <row r="48" spans="1:14" ht="13.2" x14ac:dyDescent="0.2">
      <c r="A48" s="60" t="s">
        <v>360</v>
      </c>
      <c r="C48" s="81"/>
      <c r="E48" s="81"/>
      <c r="H48" s="88"/>
      <c r="I48" s="88"/>
      <c r="J48" s="88"/>
      <c r="K48" s="88"/>
      <c r="L48" s="92"/>
      <c r="M48" s="88"/>
      <c r="N48" s="88"/>
    </row>
    <row r="49" spans="1:14" ht="13.2" x14ac:dyDescent="0.2">
      <c r="B49" s="60" t="s">
        <v>361</v>
      </c>
      <c r="C49" s="62"/>
      <c r="H49" s="88"/>
      <c r="I49" s="88"/>
      <c r="J49" s="88"/>
      <c r="K49" s="88"/>
      <c r="L49" s="92"/>
      <c r="M49" s="88"/>
      <c r="N49" s="88"/>
    </row>
    <row r="50" spans="1:14" ht="13.2" x14ac:dyDescent="0.2">
      <c r="A50" s="88"/>
      <c r="B50" s="88" t="s">
        <v>309</v>
      </c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</row>
    <row r="51" spans="1:14" ht="13.2" x14ac:dyDescent="0.2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</row>
    <row r="52" spans="1:14" ht="13.2" x14ac:dyDescent="0.2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</row>
    <row r="53" spans="1:14" ht="13.2" x14ac:dyDescent="0.2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</row>
    <row r="54" spans="1:14" ht="13.2" x14ac:dyDescent="0.2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</row>
    <row r="55" spans="1:14" ht="13.2" x14ac:dyDescent="0.2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</row>
    <row r="56" spans="1:14" ht="13.2" x14ac:dyDescent="0.25">
      <c r="A56" s="64" t="s">
        <v>181</v>
      </c>
      <c r="C56" s="100" t="s">
        <v>77</v>
      </c>
      <c r="E56" s="100" t="s">
        <v>182</v>
      </c>
      <c r="G56" s="88"/>
      <c r="H56" s="88"/>
      <c r="I56" s="88"/>
      <c r="J56" s="88"/>
      <c r="K56" s="88"/>
      <c r="L56" s="88"/>
      <c r="M56" s="88"/>
      <c r="N56" s="88"/>
    </row>
    <row r="57" spans="1:14" ht="13.2" x14ac:dyDescent="0.2">
      <c r="A57" s="60" t="s">
        <v>138</v>
      </c>
      <c r="B57" s="60" t="s">
        <v>52</v>
      </c>
      <c r="C57" s="62">
        <v>4.5599999999999996</v>
      </c>
      <c r="E57" s="62">
        <v>4.5599999999999996</v>
      </c>
      <c r="G57" s="88"/>
      <c r="H57" s="88"/>
      <c r="I57" s="88"/>
      <c r="J57" s="88"/>
      <c r="K57" s="88"/>
      <c r="L57" s="88"/>
      <c r="M57" s="88"/>
      <c r="N57" s="88"/>
    </row>
    <row r="58" spans="1:14" ht="13.2" x14ac:dyDescent="0.2">
      <c r="A58" s="60" t="s">
        <v>144</v>
      </c>
      <c r="C58" s="62">
        <v>2.75E-2</v>
      </c>
      <c r="E58" s="62">
        <v>2.75E-2</v>
      </c>
      <c r="G58" s="88"/>
      <c r="H58" s="88"/>
      <c r="I58" s="88"/>
      <c r="J58" s="88"/>
      <c r="K58" s="88"/>
      <c r="L58" s="88"/>
      <c r="M58" s="88"/>
      <c r="N58" s="88"/>
    </row>
    <row r="59" spans="1:14" ht="13.2" x14ac:dyDescent="0.2">
      <c r="A59" s="60" t="s">
        <v>139</v>
      </c>
      <c r="C59" s="62">
        <v>9.1999999999999998E-3</v>
      </c>
      <c r="E59" s="62">
        <v>0.2127</v>
      </c>
      <c r="G59" s="88"/>
      <c r="H59" s="88"/>
      <c r="I59" s="88"/>
      <c r="J59" s="88"/>
      <c r="K59" s="88"/>
      <c r="L59" s="88"/>
      <c r="M59" s="88"/>
      <c r="N59" s="88"/>
    </row>
    <row r="60" spans="1:14" ht="13.2" x14ac:dyDescent="0.2">
      <c r="A60" s="60" t="s">
        <v>140</v>
      </c>
      <c r="C60" s="62">
        <v>9.4000000000000004E-3</v>
      </c>
      <c r="E60" s="62">
        <v>9.4000000000000004E-3</v>
      </c>
      <c r="F60" s="88"/>
      <c r="G60" s="88"/>
      <c r="H60" s="88"/>
      <c r="I60" s="88"/>
      <c r="J60" s="88"/>
      <c r="K60" s="88"/>
      <c r="L60" s="88"/>
      <c r="M60" s="88"/>
      <c r="N60" s="88"/>
    </row>
    <row r="61" spans="1:14" ht="13.2" x14ac:dyDescent="0.2">
      <c r="A61" s="60" t="s">
        <v>141</v>
      </c>
      <c r="C61" s="108">
        <v>0.03</v>
      </c>
      <c r="E61" s="108">
        <v>0.03</v>
      </c>
      <c r="F61" s="88"/>
      <c r="G61" s="88"/>
      <c r="H61" s="88"/>
      <c r="I61" s="88"/>
      <c r="J61" s="88"/>
      <c r="K61" s="88"/>
      <c r="L61" s="88"/>
      <c r="M61" s="88"/>
      <c r="N61" s="88"/>
    </row>
    <row r="62" spans="1:14" ht="13.2" x14ac:dyDescent="0.2">
      <c r="A62" s="60" t="s">
        <v>142</v>
      </c>
      <c r="C62" s="109">
        <f>ROUND((+C57+C58)/(1-C61)-(C57+C58)+C59+C60,4)</f>
        <v>0.1605</v>
      </c>
      <c r="E62" s="109">
        <f>ROUND((+E57+E58)/(1-E61)-(E57+E58)+E59+E60,4)</f>
        <v>0.36399999999999999</v>
      </c>
      <c r="F62" s="88"/>
      <c r="G62" s="88"/>
      <c r="H62" s="88"/>
      <c r="I62" s="88"/>
      <c r="J62" s="88"/>
      <c r="K62" s="88"/>
      <c r="L62" s="88"/>
      <c r="M62" s="88"/>
      <c r="N62" s="88"/>
    </row>
    <row r="63" spans="1:14" ht="13.8" thickBot="1" x14ac:dyDescent="0.25">
      <c r="A63" s="60" t="s">
        <v>143</v>
      </c>
      <c r="C63" s="99">
        <f>SUM(C62,C57:C58)</f>
        <v>4.7479999999999993</v>
      </c>
      <c r="E63" s="99">
        <f>SUM(E62,E57:E58)</f>
        <v>4.9514999999999993</v>
      </c>
      <c r="F63" s="88"/>
      <c r="G63" s="88"/>
      <c r="H63" s="88"/>
      <c r="I63" s="88"/>
      <c r="J63" s="88"/>
      <c r="K63" s="88"/>
      <c r="L63" s="88"/>
      <c r="M63" s="88"/>
      <c r="N63" s="88"/>
    </row>
    <row r="64" spans="1:14" ht="13.8" thickTop="1" x14ac:dyDescent="0.2">
      <c r="F64" s="88"/>
      <c r="G64" s="88"/>
      <c r="H64" s="88"/>
      <c r="I64" s="88"/>
      <c r="J64" s="88"/>
      <c r="K64" s="88"/>
      <c r="L64" s="88"/>
      <c r="M64" s="88"/>
      <c r="N64" s="88"/>
    </row>
    <row r="65" spans="1:14" ht="13.2" x14ac:dyDescent="0.2">
      <c r="A65" s="60" t="s">
        <v>255</v>
      </c>
      <c r="F65" s="88"/>
      <c r="G65" s="88"/>
      <c r="H65" s="88"/>
      <c r="I65" s="88"/>
      <c r="J65" s="88"/>
      <c r="K65" s="88"/>
      <c r="L65" s="88"/>
      <c r="M65" s="88"/>
      <c r="N65" s="88"/>
    </row>
    <row r="66" spans="1:14" ht="13.2" x14ac:dyDescent="0.2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</row>
    <row r="67" spans="1:14" ht="13.2" x14ac:dyDescent="0.2">
      <c r="A67" s="88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</row>
    <row r="68" spans="1:14" ht="13.2" x14ac:dyDescent="0.25">
      <c r="A68" s="64" t="s">
        <v>183</v>
      </c>
      <c r="F68" s="88"/>
      <c r="G68" s="88"/>
      <c r="H68" s="88"/>
      <c r="I68" s="88"/>
      <c r="J68" s="88"/>
      <c r="K68" s="88"/>
      <c r="L68" s="88"/>
      <c r="M68" s="88"/>
      <c r="N68" s="88"/>
    </row>
    <row r="69" spans="1:14" ht="13.2" x14ac:dyDescent="0.2">
      <c r="A69" s="60" t="s">
        <v>138</v>
      </c>
      <c r="B69" s="60" t="s">
        <v>131</v>
      </c>
      <c r="C69" s="62">
        <v>4.29</v>
      </c>
      <c r="F69" s="88"/>
      <c r="G69" s="88"/>
      <c r="H69" s="88"/>
      <c r="I69" s="88"/>
      <c r="J69" s="88"/>
      <c r="K69" s="88"/>
      <c r="L69" s="88"/>
      <c r="M69" s="88"/>
      <c r="N69" s="88"/>
    </row>
    <row r="70" spans="1:14" ht="13.2" x14ac:dyDescent="0.2">
      <c r="A70" s="60" t="s">
        <v>144</v>
      </c>
      <c r="C70" s="62">
        <v>0.01</v>
      </c>
      <c r="F70" s="88"/>
      <c r="G70" s="88"/>
      <c r="H70" s="88"/>
      <c r="I70" s="88"/>
      <c r="J70" s="88"/>
      <c r="K70" s="88"/>
      <c r="L70" s="88"/>
      <c r="M70" s="88"/>
      <c r="N70" s="88"/>
    </row>
    <row r="71" spans="1:14" ht="13.2" x14ac:dyDescent="0.2">
      <c r="A71" s="60" t="s">
        <v>139</v>
      </c>
      <c r="C71" s="62">
        <v>0.11260000000000001</v>
      </c>
      <c r="F71" s="88"/>
      <c r="G71" s="88"/>
      <c r="H71" s="88"/>
      <c r="I71" s="88"/>
      <c r="J71" s="88"/>
      <c r="K71" s="88"/>
      <c r="L71" s="88"/>
      <c r="M71" s="88"/>
      <c r="N71" s="88"/>
    </row>
    <row r="72" spans="1:14" ht="13.2" x14ac:dyDescent="0.2">
      <c r="A72" s="60" t="s">
        <v>140</v>
      </c>
      <c r="C72" s="62">
        <v>9.4000000000000004E-3</v>
      </c>
      <c r="F72" s="88"/>
      <c r="G72" s="88"/>
      <c r="H72" s="88"/>
      <c r="I72" s="88"/>
      <c r="J72" s="88"/>
      <c r="K72" s="88"/>
      <c r="L72" s="88"/>
      <c r="M72" s="88"/>
      <c r="N72" s="88"/>
    </row>
    <row r="73" spans="1:14" ht="13.2" x14ac:dyDescent="0.2">
      <c r="A73" s="60" t="s">
        <v>141</v>
      </c>
      <c r="C73" s="108">
        <v>5.9700000000000003E-2</v>
      </c>
      <c r="F73" s="88"/>
      <c r="G73" s="88"/>
      <c r="H73" s="88"/>
      <c r="I73" s="88"/>
      <c r="J73" s="88"/>
      <c r="K73" s="88"/>
      <c r="L73" s="88"/>
      <c r="M73" s="88"/>
      <c r="N73" s="88"/>
    </row>
    <row r="74" spans="1:14" ht="13.2" x14ac:dyDescent="0.2">
      <c r="A74" s="60" t="s">
        <v>142</v>
      </c>
      <c r="C74" s="109">
        <f>ROUND((+C69+C70)/(1-C73)-(C69+C70)+C71+C72,4)</f>
        <v>0.39500000000000002</v>
      </c>
      <c r="F74" s="88"/>
      <c r="G74" s="88"/>
      <c r="H74" s="88"/>
      <c r="I74" s="88"/>
      <c r="J74" s="88"/>
      <c r="K74" s="88"/>
      <c r="L74" s="88"/>
      <c r="M74" s="88"/>
      <c r="N74" s="88"/>
    </row>
    <row r="75" spans="1:14" ht="13.8" thickBot="1" x14ac:dyDescent="0.25">
      <c r="C75" s="99">
        <f>SUM(C74,C69:C70)</f>
        <v>4.6950000000000003</v>
      </c>
      <c r="D75" s="60" t="s">
        <v>294</v>
      </c>
      <c r="F75" s="88"/>
      <c r="G75" s="88"/>
      <c r="H75" s="88"/>
      <c r="I75" s="88"/>
      <c r="J75" s="88"/>
      <c r="K75" s="88"/>
      <c r="L75" s="88"/>
      <c r="M75" s="88"/>
      <c r="N75" s="88"/>
    </row>
    <row r="76" spans="1:14" ht="13.8" thickTop="1" x14ac:dyDescent="0.2">
      <c r="E76" s="88"/>
      <c r="F76" s="88"/>
      <c r="G76" s="88"/>
      <c r="H76" s="88"/>
      <c r="I76" s="88"/>
      <c r="J76" s="88"/>
      <c r="K76" s="88"/>
      <c r="L76" s="88"/>
      <c r="M76" s="88"/>
      <c r="N76" s="88"/>
    </row>
    <row r="77" spans="1:14" ht="13.2" x14ac:dyDescent="0.2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</row>
    <row r="78" spans="1:14" ht="13.2" x14ac:dyDescent="0.25">
      <c r="A78" s="64" t="s">
        <v>184</v>
      </c>
      <c r="E78" s="88"/>
      <c r="F78" s="88"/>
      <c r="G78" s="88"/>
      <c r="H78" s="88"/>
      <c r="I78" s="88"/>
      <c r="J78" s="88"/>
      <c r="K78" s="88"/>
      <c r="L78" s="88"/>
      <c r="M78" s="88"/>
      <c r="N78" s="88"/>
    </row>
    <row r="79" spans="1:14" ht="13.2" x14ac:dyDescent="0.2">
      <c r="A79" s="60" t="s">
        <v>138</v>
      </c>
      <c r="B79" s="60" t="s">
        <v>185</v>
      </c>
      <c r="C79" s="62">
        <v>4.3</v>
      </c>
      <c r="E79" s="88"/>
      <c r="F79" s="88"/>
      <c r="G79" s="88"/>
      <c r="H79" s="88"/>
      <c r="I79" s="88"/>
      <c r="J79" s="88"/>
      <c r="K79" s="88"/>
      <c r="L79" s="88"/>
      <c r="M79" s="88"/>
      <c r="N79" s="88"/>
    </row>
    <row r="80" spans="1:14" ht="13.2" x14ac:dyDescent="0.2">
      <c r="A80" s="60" t="s">
        <v>144</v>
      </c>
      <c r="C80" s="62">
        <v>0.01</v>
      </c>
      <c r="E80" s="88"/>
      <c r="F80" s="88"/>
      <c r="G80" s="88"/>
      <c r="H80" s="88"/>
      <c r="I80" s="88"/>
      <c r="J80" s="88"/>
      <c r="K80" s="88"/>
      <c r="L80" s="88"/>
      <c r="M80" s="88"/>
      <c r="N80" s="88"/>
    </row>
    <row r="81" spans="1:14" ht="13.2" x14ac:dyDescent="0.2">
      <c r="A81" s="60" t="s">
        <v>139</v>
      </c>
      <c r="C81" s="62">
        <v>0.1012</v>
      </c>
      <c r="E81" s="88"/>
      <c r="F81" s="88"/>
      <c r="G81" s="88"/>
      <c r="H81" s="88"/>
      <c r="I81" s="88"/>
      <c r="J81" s="88"/>
      <c r="K81" s="88"/>
      <c r="L81" s="88"/>
      <c r="M81" s="88"/>
      <c r="N81" s="88"/>
    </row>
    <row r="82" spans="1:14" ht="13.2" x14ac:dyDescent="0.2">
      <c r="A82" s="60" t="s">
        <v>140</v>
      </c>
      <c r="C82" s="62">
        <v>9.4000000000000004E-3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</row>
    <row r="83" spans="1:14" ht="13.2" x14ac:dyDescent="0.2">
      <c r="A83" s="60" t="s">
        <v>141</v>
      </c>
      <c r="C83" s="108">
        <v>7.0499999999999993E-2</v>
      </c>
      <c r="E83" s="88"/>
      <c r="F83" s="88"/>
      <c r="G83" s="88"/>
      <c r="H83" s="88"/>
      <c r="I83" s="88"/>
      <c r="J83" s="88"/>
      <c r="K83" s="88"/>
      <c r="L83" s="88"/>
      <c r="M83" s="88"/>
      <c r="N83" s="88"/>
    </row>
    <row r="84" spans="1:14" ht="13.2" x14ac:dyDescent="0.2">
      <c r="A84" s="60" t="s">
        <v>142</v>
      </c>
      <c r="C84" s="109">
        <f>ROUND((+C79+C80)/(1-C83)-(C79+C80)+C81+C82,4)</f>
        <v>0.4375</v>
      </c>
      <c r="D84" s="60" t="s">
        <v>253</v>
      </c>
      <c r="E84" s="88"/>
      <c r="F84" s="88"/>
      <c r="G84" s="88"/>
      <c r="H84" s="88"/>
      <c r="I84" s="88"/>
      <c r="J84" s="88"/>
      <c r="K84" s="88"/>
      <c r="L84" s="88"/>
      <c r="M84" s="88"/>
      <c r="N84" s="88"/>
    </row>
    <row r="85" spans="1:14" ht="13.8" thickBot="1" x14ac:dyDescent="0.25">
      <c r="C85" s="99">
        <f>SUM(C84,C79:C80)</f>
        <v>4.7474999999999996</v>
      </c>
      <c r="D85" s="60" t="s">
        <v>254</v>
      </c>
      <c r="E85" s="88"/>
      <c r="F85" s="88"/>
      <c r="G85" s="88"/>
      <c r="H85" s="88"/>
      <c r="I85" s="88"/>
      <c r="J85" s="88"/>
      <c r="K85" s="88"/>
      <c r="L85" s="88"/>
      <c r="M85" s="88"/>
      <c r="N85" s="88"/>
    </row>
    <row r="86" spans="1:14" ht="13.8" thickTop="1" x14ac:dyDescent="0.2">
      <c r="E86" s="88"/>
      <c r="F86" s="88"/>
      <c r="G86" s="88"/>
      <c r="H86" s="88"/>
      <c r="I86" s="88"/>
      <c r="J86" s="88"/>
      <c r="K86" s="88"/>
      <c r="L86" s="88"/>
      <c r="M86" s="88"/>
      <c r="N86" s="88"/>
    </row>
    <row r="87" spans="1:14" ht="13.2" x14ac:dyDescent="0.2">
      <c r="A87" s="60" t="s">
        <v>252</v>
      </c>
      <c r="E87" s="88"/>
      <c r="F87" s="88"/>
      <c r="G87" s="88"/>
      <c r="H87" s="88"/>
      <c r="I87" s="88"/>
      <c r="J87" s="88"/>
      <c r="K87" s="88"/>
      <c r="L87" s="88"/>
      <c r="M87" s="88"/>
      <c r="N87" s="88"/>
    </row>
    <row r="88" spans="1:14" ht="13.2" x14ac:dyDescent="0.2">
      <c r="A88" s="88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</row>
    <row r="89" spans="1:14" ht="13.2" x14ac:dyDescent="0.2">
      <c r="A89" s="88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</row>
    <row r="90" spans="1:14" ht="13.2" x14ac:dyDescent="0.2">
      <c r="A90" s="88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</row>
    <row r="91" spans="1:14" ht="13.2" x14ac:dyDescent="0.2">
      <c r="A91" s="88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</row>
    <row r="92" spans="1:14" ht="13.2" x14ac:dyDescent="0.2">
      <c r="A92" s="88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</row>
    <row r="93" spans="1:14" ht="13.2" x14ac:dyDescent="0.2">
      <c r="A93" s="88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</row>
    <row r="94" spans="1:14" ht="13.2" x14ac:dyDescent="0.2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</row>
    <row r="95" spans="1:14" ht="13.2" x14ac:dyDescent="0.25">
      <c r="A95" s="63" t="s">
        <v>32</v>
      </c>
      <c r="G95" s="25"/>
      <c r="H95" s="25"/>
    </row>
    <row r="96" spans="1:14" ht="13.2" x14ac:dyDescent="0.25">
      <c r="D96" s="91"/>
      <c r="F96" s="90"/>
      <c r="G96" s="25"/>
    </row>
    <row r="97" spans="1:14" x14ac:dyDescent="0.2">
      <c r="A97" s="60" t="s">
        <v>137</v>
      </c>
      <c r="E97" s="65"/>
      <c r="F97" s="65"/>
      <c r="G97" s="65"/>
      <c r="H97" s="65"/>
      <c r="I97" s="65"/>
      <c r="J97" s="65"/>
      <c r="K97" s="65"/>
      <c r="L97" s="65"/>
    </row>
    <row r="98" spans="1:14" ht="13.2" x14ac:dyDescent="0.25">
      <c r="A98" s="60" t="s">
        <v>138</v>
      </c>
      <c r="B98" s="60" t="s">
        <v>122</v>
      </c>
      <c r="C98" s="62">
        <v>4.3600000000000003</v>
      </c>
      <c r="E98" s="65"/>
      <c r="F98" s="65"/>
      <c r="G98" s="66"/>
      <c r="H98" s="65"/>
      <c r="I98" s="65"/>
      <c r="J98" s="65"/>
      <c r="K98" s="66"/>
      <c r="L98" s="34"/>
    </row>
    <row r="99" spans="1:14" ht="13.2" x14ac:dyDescent="0.25">
      <c r="C99" s="62">
        <v>7.4999999999999997E-3</v>
      </c>
      <c r="E99" s="65"/>
      <c r="F99" s="65"/>
      <c r="G99" s="66"/>
      <c r="H99" s="65"/>
      <c r="I99" s="65"/>
      <c r="J99" s="65"/>
      <c r="K99" s="66"/>
      <c r="L99" s="34"/>
    </row>
    <row r="100" spans="1:14" ht="13.2" x14ac:dyDescent="0.25">
      <c r="A100" s="60" t="s">
        <v>139</v>
      </c>
      <c r="B100" s="25"/>
      <c r="C100" s="62">
        <v>2.7400000000000001E-2</v>
      </c>
      <c r="E100" s="65"/>
      <c r="F100" s="34"/>
      <c r="G100" s="66"/>
      <c r="H100" s="65"/>
      <c r="I100" s="65"/>
      <c r="J100" s="34"/>
      <c r="K100" s="66"/>
      <c r="L100" s="34"/>
    </row>
    <row r="101" spans="1:14" ht="13.2" x14ac:dyDescent="0.25">
      <c r="A101" s="60" t="s">
        <v>140</v>
      </c>
      <c r="B101" s="25"/>
      <c r="C101" s="62">
        <v>2.2499999999999999E-2</v>
      </c>
      <c r="E101" s="65"/>
      <c r="F101" s="34"/>
      <c r="G101" s="66"/>
      <c r="H101" s="65"/>
      <c r="I101" s="65"/>
      <c r="J101" s="34"/>
      <c r="K101" s="66"/>
      <c r="L101" s="34"/>
    </row>
    <row r="102" spans="1:14" ht="13.2" x14ac:dyDescent="0.25">
      <c r="A102" s="60" t="s">
        <v>141</v>
      </c>
      <c r="B102" s="84"/>
      <c r="C102" s="108">
        <v>4.7199999999999999E-2</v>
      </c>
      <c r="E102" s="65"/>
      <c r="F102" s="82"/>
      <c r="G102" s="67"/>
      <c r="H102" s="65"/>
      <c r="I102" s="65"/>
      <c r="J102" s="82"/>
      <c r="K102" s="67"/>
      <c r="L102" s="34"/>
    </row>
    <row r="103" spans="1:14" ht="13.2" x14ac:dyDescent="0.25">
      <c r="A103" s="60" t="s">
        <v>142</v>
      </c>
      <c r="C103" s="109">
        <f>ROUND((+C98+C99)/(1-C102)+(C100+C101),4)-C98-C99</f>
        <v>0.26629999999999959</v>
      </c>
      <c r="E103" s="65"/>
      <c r="F103" s="65"/>
      <c r="G103" s="66"/>
      <c r="H103" s="65"/>
      <c r="I103" s="65"/>
      <c r="J103" s="65"/>
      <c r="K103" s="66"/>
      <c r="L103" s="34"/>
    </row>
    <row r="104" spans="1:14" ht="13.8" thickBot="1" x14ac:dyDescent="0.3">
      <c r="C104" s="99">
        <f>SUM(C103,C98:C99)</f>
        <v>4.6337999999999999</v>
      </c>
      <c r="D104" s="60" t="s">
        <v>258</v>
      </c>
      <c r="E104" s="65"/>
      <c r="F104" s="65"/>
      <c r="G104" s="65"/>
      <c r="H104" s="65"/>
      <c r="I104" s="65"/>
      <c r="J104" s="65"/>
      <c r="K104" s="65"/>
      <c r="L104" s="34"/>
      <c r="M104" s="61"/>
      <c r="N104" s="62"/>
    </row>
    <row r="105" spans="1:14" ht="13.8" thickTop="1" x14ac:dyDescent="0.25">
      <c r="B105" s="25"/>
      <c r="C105" s="62"/>
      <c r="G105" s="61"/>
      <c r="H105" s="83"/>
    </row>
    <row r="106" spans="1:14" ht="13.2" x14ac:dyDescent="0.25">
      <c r="K106" s="25"/>
      <c r="L106" s="62"/>
    </row>
    <row r="107" spans="1:14" ht="13.2" x14ac:dyDescent="0.2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</row>
    <row r="108" spans="1:14" x14ac:dyDescent="0.2">
      <c r="A108" s="60" t="s">
        <v>186</v>
      </c>
      <c r="E108" s="65"/>
      <c r="F108" s="65"/>
      <c r="G108" s="65"/>
      <c r="H108" s="65"/>
      <c r="I108" s="65"/>
      <c r="J108" s="65"/>
      <c r="K108" s="65"/>
      <c r="L108" s="65"/>
    </row>
    <row r="109" spans="1:14" ht="13.2" x14ac:dyDescent="0.25">
      <c r="A109" s="60" t="s">
        <v>138</v>
      </c>
      <c r="B109" s="60" t="s">
        <v>122</v>
      </c>
      <c r="C109" s="62">
        <v>4.3600000000000003</v>
      </c>
      <c r="E109" s="65"/>
      <c r="F109" s="65"/>
      <c r="G109" s="66"/>
      <c r="H109" s="65"/>
      <c r="I109" s="65"/>
      <c r="J109" s="65"/>
      <c r="K109" s="66"/>
      <c r="L109" s="34"/>
    </row>
    <row r="110" spans="1:14" ht="13.2" x14ac:dyDescent="0.25">
      <c r="C110" s="62">
        <v>7.4999999999999997E-3</v>
      </c>
      <c r="E110" s="65"/>
      <c r="F110" s="65"/>
      <c r="G110" s="66"/>
      <c r="H110" s="65"/>
      <c r="I110" s="65"/>
      <c r="J110" s="65"/>
      <c r="K110" s="66"/>
      <c r="L110" s="34"/>
    </row>
    <row r="111" spans="1:14" ht="13.2" x14ac:dyDescent="0.25">
      <c r="A111" s="60" t="s">
        <v>139</v>
      </c>
      <c r="B111" s="25"/>
      <c r="C111" s="62">
        <v>1.4E-2</v>
      </c>
      <c r="E111" s="65"/>
      <c r="F111" s="34"/>
      <c r="G111" s="66"/>
      <c r="H111" s="65"/>
      <c r="I111" s="65"/>
      <c r="J111" s="34"/>
      <c r="K111" s="66"/>
      <c r="L111" s="34"/>
    </row>
    <row r="112" spans="1:14" ht="13.2" x14ac:dyDescent="0.25">
      <c r="A112" s="60" t="s">
        <v>140</v>
      </c>
      <c r="B112" s="25"/>
      <c r="C112" s="62">
        <v>2.2499999999999999E-2</v>
      </c>
      <c r="E112" s="65"/>
      <c r="F112" s="34"/>
      <c r="G112" s="66"/>
      <c r="H112" s="65"/>
      <c r="I112" s="65"/>
      <c r="J112" s="34"/>
      <c r="K112" s="66"/>
      <c r="L112" s="34"/>
    </row>
    <row r="113" spans="1:14" ht="13.2" x14ac:dyDescent="0.25">
      <c r="A113" s="60" t="s">
        <v>141</v>
      </c>
      <c r="B113" s="84"/>
      <c r="C113" s="108">
        <v>2.35E-2</v>
      </c>
      <c r="E113" s="65"/>
      <c r="F113" s="82"/>
      <c r="G113" s="67"/>
      <c r="H113" s="65"/>
      <c r="I113" s="65"/>
      <c r="J113" s="82"/>
      <c r="K113" s="67"/>
      <c r="L113" s="34"/>
    </row>
    <row r="114" spans="1:14" ht="13.2" x14ac:dyDescent="0.25">
      <c r="A114" s="60" t="s">
        <v>142</v>
      </c>
      <c r="C114" s="109">
        <f>ROUND((+C109+C110)/(1-C113)+(C111+C112),4)-C109-C110</f>
        <v>0.14159999999999978</v>
      </c>
      <c r="E114" s="65"/>
      <c r="F114" s="65"/>
      <c r="G114" s="66"/>
      <c r="H114" s="65"/>
      <c r="I114" s="65"/>
      <c r="J114" s="65"/>
      <c r="K114" s="66"/>
      <c r="L114" s="34"/>
    </row>
    <row r="115" spans="1:14" ht="13.8" thickBot="1" x14ac:dyDescent="0.3">
      <c r="C115" s="99">
        <f>SUM(C114,C109:C110)</f>
        <v>4.5091000000000001</v>
      </c>
      <c r="D115" s="60" t="s">
        <v>256</v>
      </c>
      <c r="E115" s="65"/>
      <c r="F115" s="65"/>
      <c r="G115" s="65"/>
      <c r="H115" s="65"/>
      <c r="I115" s="65"/>
      <c r="J115" s="65"/>
      <c r="K115" s="65"/>
      <c r="L115" s="34"/>
      <c r="M115" s="61"/>
      <c r="N115" s="62"/>
    </row>
    <row r="116" spans="1:14" ht="13.8" thickTop="1" x14ac:dyDescent="0.25">
      <c r="B116" s="25"/>
      <c r="C116" s="62"/>
      <c r="G116" s="61"/>
      <c r="H116" s="83"/>
    </row>
    <row r="117" spans="1:14" ht="13.2" x14ac:dyDescent="0.2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</row>
    <row r="118" spans="1:14" ht="13.2" x14ac:dyDescent="0.2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</row>
    <row r="119" spans="1:14" x14ac:dyDescent="0.2">
      <c r="A119" s="60" t="s">
        <v>187</v>
      </c>
      <c r="I119" s="60" t="s">
        <v>188</v>
      </c>
    </row>
    <row r="120" spans="1:14" ht="13.2" x14ac:dyDescent="0.25">
      <c r="A120" s="60" t="s">
        <v>138</v>
      </c>
      <c r="B120" s="60" t="s">
        <v>189</v>
      </c>
      <c r="C120" s="62">
        <v>4.37</v>
      </c>
      <c r="I120" s="60" t="s">
        <v>138</v>
      </c>
      <c r="J120" s="60" t="s">
        <v>189</v>
      </c>
      <c r="K120" s="62">
        <v>4.37</v>
      </c>
      <c r="L120" s="25"/>
    </row>
    <row r="121" spans="1:14" ht="13.2" x14ac:dyDescent="0.25">
      <c r="A121" s="60" t="s">
        <v>144</v>
      </c>
      <c r="C121" s="62">
        <v>1.7500000000000002E-2</v>
      </c>
      <c r="K121" s="62">
        <v>1.7500000000000002E-2</v>
      </c>
      <c r="L121" s="25"/>
    </row>
    <row r="122" spans="1:14" ht="13.2" x14ac:dyDescent="0.25">
      <c r="A122" s="60" t="s">
        <v>139</v>
      </c>
      <c r="B122" s="25"/>
      <c r="C122" s="62">
        <v>1.15E-2</v>
      </c>
      <c r="I122" s="60" t="s">
        <v>139</v>
      </c>
      <c r="J122" s="25"/>
      <c r="K122" s="62">
        <v>2.3E-3</v>
      </c>
      <c r="L122" s="25"/>
    </row>
    <row r="123" spans="1:14" ht="13.2" x14ac:dyDescent="0.25">
      <c r="A123" s="60" t="s">
        <v>140</v>
      </c>
      <c r="B123" s="25"/>
      <c r="C123" s="62">
        <v>9.4000000000000004E-3</v>
      </c>
      <c r="D123" s="60" t="s">
        <v>190</v>
      </c>
      <c r="I123" s="60" t="s">
        <v>140</v>
      </c>
      <c r="J123" s="25"/>
      <c r="K123" s="62">
        <v>9.4000000000000004E-3</v>
      </c>
      <c r="L123" s="60" t="s">
        <v>190</v>
      </c>
    </row>
    <row r="124" spans="1:14" ht="13.2" x14ac:dyDescent="0.25">
      <c r="A124" s="60" t="s">
        <v>141</v>
      </c>
      <c r="B124" s="84"/>
      <c r="C124" s="108">
        <v>1.9E-2</v>
      </c>
      <c r="I124" s="60" t="s">
        <v>141</v>
      </c>
      <c r="J124" s="84"/>
      <c r="K124" s="108">
        <v>1.9E-2</v>
      </c>
      <c r="L124" s="25"/>
    </row>
    <row r="125" spans="1:14" ht="13.2" x14ac:dyDescent="0.25">
      <c r="A125" s="60" t="s">
        <v>142</v>
      </c>
      <c r="C125" s="109">
        <f>ROUND((+C120+C121)/(1-C124)+(C122+C123),4)-C120-C121</f>
        <v>0.10590000000000017</v>
      </c>
      <c r="I125" s="60" t="s">
        <v>142</v>
      </c>
      <c r="K125" s="109">
        <f>ROUND((+K120+K121)/(1-K124)+(K122+K123),4)-K120-K121</f>
        <v>9.67000000000003E-2</v>
      </c>
      <c r="L125" s="25"/>
    </row>
    <row r="126" spans="1:14" ht="13.8" thickBot="1" x14ac:dyDescent="0.3">
      <c r="A126" s="60" t="s">
        <v>143</v>
      </c>
      <c r="C126" s="99">
        <f>SUM(C125,C120:C121)</f>
        <v>4.4934000000000003</v>
      </c>
      <c r="D126" s="60" t="s">
        <v>257</v>
      </c>
      <c r="I126" s="65" t="s">
        <v>143</v>
      </c>
      <c r="J126" s="65"/>
      <c r="K126" s="99">
        <f>SUM(K125,K120:K121)</f>
        <v>4.4842000000000004</v>
      </c>
      <c r="L126" s="25" t="s">
        <v>199</v>
      </c>
      <c r="M126" s="61"/>
      <c r="N126" s="62"/>
    </row>
    <row r="127" spans="1:14" ht="13.8" thickTop="1" x14ac:dyDescent="0.25">
      <c r="B127" s="25"/>
      <c r="C127" s="62"/>
      <c r="G127" s="61"/>
      <c r="H127" s="83"/>
    </row>
    <row r="128" spans="1:14" ht="13.2" x14ac:dyDescent="0.2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</row>
    <row r="129" spans="1:4" x14ac:dyDescent="0.2">
      <c r="A129" s="60" t="s">
        <v>191</v>
      </c>
    </row>
    <row r="130" spans="1:4" x14ac:dyDescent="0.2">
      <c r="A130" s="60" t="s">
        <v>138</v>
      </c>
      <c r="B130" s="60" t="s">
        <v>189</v>
      </c>
      <c r="C130" s="62">
        <v>4.37</v>
      </c>
      <c r="D130" s="60" t="s">
        <v>192</v>
      </c>
    </row>
    <row r="131" spans="1:4" ht="13.2" x14ac:dyDescent="0.25">
      <c r="A131" s="60" t="s">
        <v>139</v>
      </c>
      <c r="B131" s="25"/>
      <c r="C131" s="62">
        <v>2.0299999999999999E-2</v>
      </c>
    </row>
    <row r="132" spans="1:4" ht="13.2" x14ac:dyDescent="0.25">
      <c r="A132" s="60" t="s">
        <v>140</v>
      </c>
      <c r="B132" s="25"/>
      <c r="C132" s="62">
        <v>2.2499999999999999E-2</v>
      </c>
    </row>
    <row r="133" spans="1:4" x14ac:dyDescent="0.2">
      <c r="A133" s="60" t="s">
        <v>141</v>
      </c>
      <c r="B133" s="84"/>
      <c r="C133" s="108">
        <v>3.4299999999999997E-2</v>
      </c>
    </row>
    <row r="134" spans="1:4" x14ac:dyDescent="0.2">
      <c r="A134" s="60" t="s">
        <v>142</v>
      </c>
      <c r="C134" s="109">
        <v>0.14280000000000026</v>
      </c>
    </row>
    <row r="135" spans="1:4" x14ac:dyDescent="0.2">
      <c r="A135" s="60" t="s">
        <v>193</v>
      </c>
      <c r="C135" s="111">
        <v>0.27</v>
      </c>
    </row>
    <row r="136" spans="1:4" ht="12" thickBot="1" x14ac:dyDescent="0.25">
      <c r="A136" s="60" t="s">
        <v>143</v>
      </c>
      <c r="C136" s="99">
        <v>3.0428000000000002</v>
      </c>
      <c r="D136" s="60" t="s">
        <v>194</v>
      </c>
    </row>
    <row r="137" spans="1:4" ht="12" thickTop="1" x14ac:dyDescent="0.2">
      <c r="D137" s="60" t="s">
        <v>195</v>
      </c>
    </row>
    <row r="138" spans="1:4" x14ac:dyDescent="0.2">
      <c r="D138" s="60" t="s">
        <v>196</v>
      </c>
    </row>
    <row r="142" spans="1:4" x14ac:dyDescent="0.2">
      <c r="A142" s="60" t="s">
        <v>295</v>
      </c>
    </row>
    <row r="143" spans="1:4" x14ac:dyDescent="0.2">
      <c r="A143" s="60" t="s">
        <v>138</v>
      </c>
      <c r="B143" s="60" t="s">
        <v>122</v>
      </c>
      <c r="C143" s="62">
        <v>4.3600000000000003</v>
      </c>
    </row>
    <row r="144" spans="1:4" x14ac:dyDescent="0.2">
      <c r="C144" s="62">
        <v>7.4999999999999997E-3</v>
      </c>
    </row>
    <row r="145" spans="1:4" ht="13.2" x14ac:dyDescent="0.25">
      <c r="A145" s="60" t="s">
        <v>139</v>
      </c>
      <c r="B145" s="25"/>
      <c r="C145" s="62">
        <v>2.2800000000000001E-2</v>
      </c>
    </row>
    <row r="146" spans="1:4" ht="13.2" x14ac:dyDescent="0.25">
      <c r="A146" s="60" t="s">
        <v>140</v>
      </c>
      <c r="B146" s="25"/>
      <c r="C146" s="62">
        <v>2.2499999999999999E-2</v>
      </c>
    </row>
    <row r="147" spans="1:4" x14ac:dyDescent="0.2">
      <c r="A147" s="60" t="s">
        <v>141</v>
      </c>
      <c r="B147" s="84"/>
      <c r="C147" s="108">
        <v>3.8800000000000001E-2</v>
      </c>
    </row>
    <row r="148" spans="1:4" x14ac:dyDescent="0.2">
      <c r="A148" s="60" t="s">
        <v>142</v>
      </c>
      <c r="C148" s="109">
        <f>ROUND((+C143+C144)/(1-C147)+(C145+C146),4)-C143-C144</f>
        <v>0.22159999999999985</v>
      </c>
    </row>
    <row r="149" spans="1:4" ht="12" thickBot="1" x14ac:dyDescent="0.25">
      <c r="A149" s="60" t="s">
        <v>143</v>
      </c>
      <c r="C149" s="99">
        <f>SUM(C148,C143:C144)</f>
        <v>4.5891000000000002</v>
      </c>
      <c r="D149" s="60" t="s">
        <v>296</v>
      </c>
    </row>
    <row r="150" spans="1:4" ht="12" thickTop="1" x14ac:dyDescent="0.2"/>
    <row r="156" spans="1:4" ht="12" x14ac:dyDescent="0.25">
      <c r="A156" s="64" t="s">
        <v>114</v>
      </c>
    </row>
    <row r="157" spans="1:4" x14ac:dyDescent="0.2">
      <c r="A157" s="60" t="s">
        <v>138</v>
      </c>
      <c r="B157" s="60" t="s">
        <v>297</v>
      </c>
      <c r="C157" s="62">
        <v>4.33</v>
      </c>
    </row>
    <row r="158" spans="1:4" x14ac:dyDescent="0.2">
      <c r="A158" s="60" t="s">
        <v>144</v>
      </c>
      <c r="C158" s="62">
        <v>-0.01</v>
      </c>
    </row>
    <row r="159" spans="1:4" x14ac:dyDescent="0.2">
      <c r="A159" s="60" t="s">
        <v>139</v>
      </c>
      <c r="C159" s="62">
        <v>3.2300000000000002E-2</v>
      </c>
    </row>
    <row r="160" spans="1:4" x14ac:dyDescent="0.2">
      <c r="A160" s="60" t="s">
        <v>140</v>
      </c>
      <c r="C160" s="62">
        <v>9.4000000000000004E-3</v>
      </c>
    </row>
    <row r="161" spans="1:4" x14ac:dyDescent="0.2">
      <c r="A161" s="60" t="s">
        <v>141</v>
      </c>
      <c r="C161" s="108">
        <v>2.6800000000000001E-2</v>
      </c>
    </row>
    <row r="162" spans="1:4" x14ac:dyDescent="0.2">
      <c r="A162" s="60" t="s">
        <v>142</v>
      </c>
      <c r="C162" s="109">
        <f>ROUND((+C157+C158)/(1-C161)+(C159+C160),4)-C157-C158</f>
        <v>0.16069999999999962</v>
      </c>
    </row>
    <row r="163" spans="1:4" ht="12" thickBot="1" x14ac:dyDescent="0.25">
      <c r="A163" s="60" t="s">
        <v>143</v>
      </c>
      <c r="C163" s="99">
        <f>SUM(C162,C157:C158)</f>
        <v>4.4806999999999997</v>
      </c>
      <c r="D163" s="60" t="s">
        <v>34</v>
      </c>
    </row>
    <row r="164" spans="1:4" ht="12" thickTop="1" x14ac:dyDescent="0.2"/>
    <row r="166" spans="1:4" ht="12" x14ac:dyDescent="0.25">
      <c r="A166" s="64" t="s">
        <v>231</v>
      </c>
    </row>
    <row r="167" spans="1:4" x14ac:dyDescent="0.2">
      <c r="A167" s="60" t="s">
        <v>138</v>
      </c>
      <c r="B167" s="60" t="s">
        <v>298</v>
      </c>
      <c r="C167" s="62">
        <v>4.3499999999999996</v>
      </c>
    </row>
    <row r="168" spans="1:4" x14ac:dyDescent="0.2">
      <c r="A168" s="60" t="s">
        <v>144</v>
      </c>
      <c r="C168" s="62">
        <v>7.4999999999999997E-3</v>
      </c>
    </row>
    <row r="169" spans="1:4" x14ac:dyDescent="0.2">
      <c r="A169" s="60" t="s">
        <v>139</v>
      </c>
      <c r="C169" s="62">
        <v>2.1000000000000001E-2</v>
      </c>
    </row>
    <row r="170" spans="1:4" x14ac:dyDescent="0.2">
      <c r="A170" s="60" t="s">
        <v>140</v>
      </c>
      <c r="C170" s="62">
        <f>0.0022+0.0072</f>
        <v>9.4000000000000004E-3</v>
      </c>
    </row>
    <row r="171" spans="1:4" x14ac:dyDescent="0.2">
      <c r="A171" s="60" t="s">
        <v>141</v>
      </c>
      <c r="C171" s="108">
        <v>2.5999999999999999E-2</v>
      </c>
    </row>
    <row r="172" spans="1:4" x14ac:dyDescent="0.2">
      <c r="A172" s="60" t="s">
        <v>142</v>
      </c>
      <c r="C172" s="109">
        <f>ROUND((+C167+C168)/(1-C171)-(C167+C168)+C169+C170,4)</f>
        <v>0.1467</v>
      </c>
    </row>
    <row r="173" spans="1:4" ht="12" thickBot="1" x14ac:dyDescent="0.25">
      <c r="A173" s="60" t="s">
        <v>143</v>
      </c>
      <c r="C173" s="99">
        <f>SUM(C172,C167:C168)</f>
        <v>4.5042</v>
      </c>
      <c r="D173" s="60" t="s">
        <v>299</v>
      </c>
    </row>
    <row r="174" spans="1:4" ht="12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00"/>
  <sheetViews>
    <sheetView topLeftCell="F83" workbookViewId="0">
      <selection activeCell="U90" sqref="U90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4" style="27" customWidth="1"/>
    <col min="9" max="9" width="10.6640625" style="25" customWidth="1"/>
    <col min="10" max="10" width="7.664062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6640625" style="25" customWidth="1"/>
    <col min="18" max="18" width="9.4414062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0" t="s">
        <v>362</v>
      </c>
      <c r="C1" s="3"/>
      <c r="D1" s="3"/>
      <c r="E1" s="4"/>
      <c r="F1" s="4"/>
      <c r="G1" s="1"/>
      <c r="H1" s="1"/>
      <c r="I1" s="3" t="s">
        <v>50</v>
      </c>
      <c r="J1" s="7">
        <v>31</v>
      </c>
      <c r="K1" s="46" t="s">
        <v>62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5">
      <c r="B2" s="1" t="s">
        <v>57</v>
      </c>
      <c r="C2" s="1"/>
      <c r="D2" s="1"/>
      <c r="E2" s="4"/>
      <c r="F2" s="4"/>
      <c r="G2" s="1"/>
      <c r="H2" s="1"/>
      <c r="I2" s="3"/>
      <c r="J2" s="7"/>
      <c r="K2" s="46" t="s">
        <v>63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5">
      <c r="B3" s="1" t="s">
        <v>58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1"/>
      <c r="P3" s="31" t="s">
        <v>34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5">
      <c r="B5" s="1" t="s">
        <v>64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5">
      <c r="B6" s="1"/>
      <c r="C6" s="3" t="s">
        <v>149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5">
      <c r="B11" s="16" t="s">
        <v>35</v>
      </c>
      <c r="C11" s="17" t="s">
        <v>36</v>
      </c>
      <c r="D11" s="17" t="s">
        <v>37</v>
      </c>
      <c r="E11" s="18" t="s">
        <v>38</v>
      </c>
      <c r="F11" s="18"/>
      <c r="G11" s="16" t="s">
        <v>39</v>
      </c>
      <c r="H11" s="16" t="s">
        <v>40</v>
      </c>
      <c r="I11" s="17" t="s">
        <v>73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2" t="s">
        <v>46</v>
      </c>
      <c r="P11" s="17" t="s">
        <v>47</v>
      </c>
      <c r="Q11" s="20" t="s">
        <v>146</v>
      </c>
      <c r="R11" s="17" t="s">
        <v>48</v>
      </c>
      <c r="S11" s="16" t="s">
        <v>49</v>
      </c>
      <c r="T11" s="21" t="s">
        <v>72</v>
      </c>
      <c r="U11" s="21" t="s">
        <v>71</v>
      </c>
      <c r="V11" s="52" t="s">
        <v>147</v>
      </c>
      <c r="W11" s="56" t="e">
        <f>+#REF!</f>
        <v>#REF!</v>
      </c>
      <c r="X11" s="36"/>
      <c r="Y11" s="36"/>
    </row>
    <row r="12" spans="2:25" s="123" customFormat="1" x14ac:dyDescent="0.25">
      <c r="B12" s="112" t="s">
        <v>148</v>
      </c>
      <c r="C12" s="113" t="s">
        <v>60</v>
      </c>
      <c r="D12" s="113" t="s">
        <v>113</v>
      </c>
      <c r="E12" s="114">
        <v>36678</v>
      </c>
      <c r="F12" s="114">
        <v>37042</v>
      </c>
      <c r="G12" s="112" t="s">
        <v>61</v>
      </c>
      <c r="H12" s="112" t="s">
        <v>54</v>
      </c>
      <c r="I12" s="113" t="s">
        <v>112</v>
      </c>
      <c r="J12" s="116">
        <f>3.145/J$1</f>
        <v>0.10145161290322581</v>
      </c>
      <c r="K12" s="117">
        <v>1.32E-2</v>
      </c>
      <c r="L12" s="117">
        <v>2.2000000000000001E-3</v>
      </c>
      <c r="M12" s="117">
        <v>0</v>
      </c>
      <c r="N12" s="117">
        <v>0</v>
      </c>
      <c r="O12" s="118">
        <v>2.1160000000000002E-2</v>
      </c>
      <c r="P12" s="117">
        <f>SUM(J12:N12)</f>
        <v>0.11685161290322581</v>
      </c>
      <c r="Q12" s="119">
        <v>68360</v>
      </c>
      <c r="R12" s="113">
        <v>291</v>
      </c>
      <c r="S12" s="112"/>
      <c r="T12" s="120">
        <f t="shared" ref="T12:T17" si="0">J12*J$1*R12</f>
        <v>915.19500000000005</v>
      </c>
      <c r="U12" s="120"/>
      <c r="V12" s="121">
        <v>271311</v>
      </c>
      <c r="W12" s="112"/>
      <c r="X12" s="122"/>
      <c r="Y12" s="122"/>
    </row>
    <row r="13" spans="2:25" s="123" customFormat="1" x14ac:dyDescent="0.25">
      <c r="B13" s="112" t="s">
        <v>148</v>
      </c>
      <c r="C13" s="113" t="s">
        <v>60</v>
      </c>
      <c r="D13" s="113" t="s">
        <v>70</v>
      </c>
      <c r="E13" s="114">
        <v>36678</v>
      </c>
      <c r="F13" s="114">
        <v>37042</v>
      </c>
      <c r="G13" s="112" t="s">
        <v>61</v>
      </c>
      <c r="H13" s="112" t="s">
        <v>54</v>
      </c>
      <c r="I13" s="113" t="s">
        <v>112</v>
      </c>
      <c r="J13" s="116">
        <f t="shared" ref="J13:J25" si="1">3.145/J$1</f>
        <v>0.10145161290322581</v>
      </c>
      <c r="K13" s="117">
        <v>1.32E-2</v>
      </c>
      <c r="L13" s="117">
        <v>2.2000000000000001E-3</v>
      </c>
      <c r="M13" s="117">
        <v>0</v>
      </c>
      <c r="N13" s="117">
        <v>0</v>
      </c>
      <c r="O13" s="118">
        <v>2.1160000000000002E-2</v>
      </c>
      <c r="P13" s="117">
        <f>SUM(J13:N13)</f>
        <v>0.11685161290322581</v>
      </c>
      <c r="Q13" s="119">
        <v>68385</v>
      </c>
      <c r="R13" s="113">
        <v>223</v>
      </c>
      <c r="S13" s="112"/>
      <c r="T13" s="120">
        <f t="shared" si="0"/>
        <v>701.33500000000004</v>
      </c>
      <c r="U13" s="120"/>
      <c r="V13" s="121">
        <v>280550</v>
      </c>
      <c r="W13" s="112"/>
      <c r="X13" s="122"/>
      <c r="Y13" s="122"/>
    </row>
    <row r="14" spans="2:25" s="123" customFormat="1" x14ac:dyDescent="0.25">
      <c r="B14" s="112" t="s">
        <v>148</v>
      </c>
      <c r="C14" s="113" t="s">
        <v>60</v>
      </c>
      <c r="D14" s="113" t="s">
        <v>113</v>
      </c>
      <c r="E14" s="114">
        <v>36708</v>
      </c>
      <c r="F14" s="114">
        <v>37072</v>
      </c>
      <c r="G14" s="112" t="s">
        <v>61</v>
      </c>
      <c r="H14" s="112" t="s">
        <v>54</v>
      </c>
      <c r="I14" s="113" t="s">
        <v>112</v>
      </c>
      <c r="J14" s="116">
        <f t="shared" si="1"/>
        <v>0.10145161290322581</v>
      </c>
      <c r="K14" s="117">
        <v>1.32E-2</v>
      </c>
      <c r="L14" s="117">
        <v>2.2000000000000001E-3</v>
      </c>
      <c r="M14" s="117">
        <v>0</v>
      </c>
      <c r="N14" s="117">
        <v>0</v>
      </c>
      <c r="O14" s="118">
        <v>2.1160000000000002E-2</v>
      </c>
      <c r="P14" s="117">
        <f>SUM(J14:N14)</f>
        <v>0.11685161290322581</v>
      </c>
      <c r="Q14" s="119">
        <v>68615</v>
      </c>
      <c r="R14" s="113">
        <v>920</v>
      </c>
      <c r="S14" s="112"/>
      <c r="T14" s="120">
        <f t="shared" si="0"/>
        <v>2893.4</v>
      </c>
      <c r="U14" s="120"/>
      <c r="V14" s="121">
        <v>309873</v>
      </c>
      <c r="W14" s="112"/>
      <c r="X14" s="122"/>
      <c r="Y14" s="122"/>
    </row>
    <row r="15" spans="2:25" s="123" customFormat="1" x14ac:dyDescent="0.25">
      <c r="B15" s="112" t="s">
        <v>148</v>
      </c>
      <c r="C15" s="113" t="s">
        <v>60</v>
      </c>
      <c r="D15" s="113" t="s">
        <v>70</v>
      </c>
      <c r="E15" s="114">
        <v>36465</v>
      </c>
      <c r="F15" s="114">
        <v>36830</v>
      </c>
      <c r="G15" s="112" t="s">
        <v>61</v>
      </c>
      <c r="H15" s="112" t="s">
        <v>54</v>
      </c>
      <c r="I15" s="113" t="s">
        <v>112</v>
      </c>
      <c r="J15" s="116">
        <f t="shared" si="1"/>
        <v>0.10145161290322581</v>
      </c>
      <c r="K15" s="117">
        <v>1.32E-2</v>
      </c>
      <c r="L15" s="117">
        <v>2.2000000000000001E-3</v>
      </c>
      <c r="M15" s="117">
        <v>0</v>
      </c>
      <c r="N15" s="117">
        <v>0</v>
      </c>
      <c r="O15" s="118">
        <v>2.1160000000000002E-2</v>
      </c>
      <c r="P15" s="117">
        <f>SUM(J15:N15)</f>
        <v>0.11685161290322581</v>
      </c>
      <c r="Q15" s="119">
        <v>65027</v>
      </c>
      <c r="R15" s="113">
        <v>131</v>
      </c>
      <c r="S15" s="112" t="s">
        <v>67</v>
      </c>
      <c r="T15" s="120">
        <f t="shared" si="0"/>
        <v>411.995</v>
      </c>
      <c r="U15" s="120"/>
      <c r="V15" s="121">
        <v>156666</v>
      </c>
      <c r="W15" s="112" t="s">
        <v>66</v>
      </c>
      <c r="X15" s="122"/>
      <c r="Y15" s="122"/>
    </row>
    <row r="16" spans="2:25" s="123" customFormat="1" x14ac:dyDescent="0.25">
      <c r="B16" s="112" t="s">
        <v>148</v>
      </c>
      <c r="C16" s="113" t="s">
        <v>60</v>
      </c>
      <c r="D16" s="113" t="s">
        <v>70</v>
      </c>
      <c r="E16" s="114">
        <v>36495</v>
      </c>
      <c r="F16" s="114">
        <v>36860</v>
      </c>
      <c r="G16" s="112" t="s">
        <v>61</v>
      </c>
      <c r="H16" s="112" t="s">
        <v>54</v>
      </c>
      <c r="I16" s="113" t="s">
        <v>112</v>
      </c>
      <c r="J16" s="116">
        <f t="shared" si="1"/>
        <v>0.10145161290322581</v>
      </c>
      <c r="K16" s="117">
        <v>1.32E-2</v>
      </c>
      <c r="L16" s="117">
        <v>2.2000000000000001E-3</v>
      </c>
      <c r="M16" s="117">
        <v>0</v>
      </c>
      <c r="N16" s="117">
        <v>0</v>
      </c>
      <c r="O16" s="118">
        <v>2.1160000000000002E-2</v>
      </c>
      <c r="P16" s="117">
        <f>SUM(J16:N16)</f>
        <v>0.11685161290322581</v>
      </c>
      <c r="Q16" s="119">
        <v>65557</v>
      </c>
      <c r="R16" s="113">
        <v>3</v>
      </c>
      <c r="S16" s="115" t="s">
        <v>376</v>
      </c>
      <c r="T16" s="120">
        <f t="shared" si="0"/>
        <v>9.4350000000000005</v>
      </c>
      <c r="U16" s="120"/>
      <c r="V16" s="121">
        <v>156669</v>
      </c>
      <c r="W16" s="112"/>
      <c r="X16" s="122"/>
      <c r="Y16" s="122"/>
    </row>
    <row r="17" spans="2:25" s="123" customFormat="1" x14ac:dyDescent="0.25">
      <c r="B17" s="112" t="s">
        <v>148</v>
      </c>
      <c r="C17" s="113" t="s">
        <v>60</v>
      </c>
      <c r="D17" s="113" t="s">
        <v>113</v>
      </c>
      <c r="E17" s="114">
        <v>36708</v>
      </c>
      <c r="F17" s="114" t="s">
        <v>314</v>
      </c>
      <c r="G17" s="112" t="s">
        <v>61</v>
      </c>
      <c r="H17" s="112" t="s">
        <v>54</v>
      </c>
      <c r="I17" s="113" t="s">
        <v>112</v>
      </c>
      <c r="J17" s="116">
        <f t="shared" si="1"/>
        <v>0.10145161290322581</v>
      </c>
      <c r="K17" s="117"/>
      <c r="L17" s="117"/>
      <c r="M17" s="117"/>
      <c r="N17" s="117"/>
      <c r="O17" s="118"/>
      <c r="P17" s="117"/>
      <c r="Q17" s="119">
        <v>68634</v>
      </c>
      <c r="R17" s="113">
        <v>1</v>
      </c>
      <c r="S17" s="112"/>
      <c r="T17" s="120">
        <f t="shared" si="0"/>
        <v>3.145</v>
      </c>
      <c r="U17" s="120"/>
      <c r="V17" s="121">
        <v>312338</v>
      </c>
      <c r="W17" s="112"/>
      <c r="X17" s="122"/>
      <c r="Y17" s="122"/>
    </row>
    <row r="18" spans="2:25" s="123" customFormat="1" x14ac:dyDescent="0.25">
      <c r="B18" s="112" t="s">
        <v>148</v>
      </c>
      <c r="C18" s="113" t="s">
        <v>60</v>
      </c>
      <c r="D18" s="113" t="s">
        <v>70</v>
      </c>
      <c r="E18" s="114">
        <v>36557</v>
      </c>
      <c r="F18" s="114">
        <v>36922</v>
      </c>
      <c r="G18" s="112" t="s">
        <v>61</v>
      </c>
      <c r="H18" s="112" t="s">
        <v>54</v>
      </c>
      <c r="I18" s="113" t="s">
        <v>112</v>
      </c>
      <c r="J18" s="116">
        <f t="shared" si="1"/>
        <v>0.10145161290322581</v>
      </c>
      <c r="K18" s="117"/>
      <c r="L18" s="117"/>
      <c r="M18" s="117"/>
      <c r="N18" s="117"/>
      <c r="O18" s="118"/>
      <c r="P18" s="117"/>
      <c r="Q18" s="119">
        <v>66283</v>
      </c>
      <c r="R18" s="113">
        <v>5</v>
      </c>
      <c r="S18" s="115" t="s">
        <v>377</v>
      </c>
      <c r="T18" s="167">
        <f>+J18*R18*31</f>
        <v>15.725000000000001</v>
      </c>
      <c r="U18" s="120"/>
      <c r="V18" s="121">
        <v>156674</v>
      </c>
      <c r="W18" s="112"/>
      <c r="X18" s="122"/>
      <c r="Y18" s="122"/>
    </row>
    <row r="19" spans="2:25" s="123" customFormat="1" x14ac:dyDescent="0.25">
      <c r="B19" s="112" t="s">
        <v>148</v>
      </c>
      <c r="C19" s="113" t="s">
        <v>60</v>
      </c>
      <c r="D19" s="113" t="s">
        <v>70</v>
      </c>
      <c r="E19" s="114">
        <v>36617</v>
      </c>
      <c r="F19" s="114">
        <v>36981</v>
      </c>
      <c r="G19" s="112" t="s">
        <v>61</v>
      </c>
      <c r="H19" s="112" t="s">
        <v>54</v>
      </c>
      <c r="I19" s="113" t="s">
        <v>112</v>
      </c>
      <c r="J19" s="116">
        <f t="shared" si="1"/>
        <v>0.10145161290322581</v>
      </c>
      <c r="K19" s="117"/>
      <c r="L19" s="117"/>
      <c r="M19" s="117"/>
      <c r="N19" s="117"/>
      <c r="O19" s="118"/>
      <c r="P19" s="117"/>
      <c r="Q19" s="119">
        <v>66941</v>
      </c>
      <c r="R19" s="113">
        <v>53</v>
      </c>
      <c r="S19" s="115" t="s">
        <v>378</v>
      </c>
      <c r="T19" s="167">
        <f>+J19*R19*31</f>
        <v>166.685</v>
      </c>
      <c r="U19" s="120"/>
      <c r="V19" s="121">
        <v>228122</v>
      </c>
      <c r="W19" s="112"/>
      <c r="X19" s="122"/>
      <c r="Y19" s="122"/>
    </row>
    <row r="20" spans="2:25" s="123" customFormat="1" x14ac:dyDescent="0.25">
      <c r="B20" s="112" t="s">
        <v>148</v>
      </c>
      <c r="C20" s="113" t="s">
        <v>60</v>
      </c>
      <c r="D20" s="113" t="s">
        <v>70</v>
      </c>
      <c r="E20" s="114">
        <v>36656</v>
      </c>
      <c r="F20" s="114">
        <v>36950</v>
      </c>
      <c r="G20" s="112" t="s">
        <v>61</v>
      </c>
      <c r="H20" s="112" t="s">
        <v>54</v>
      </c>
      <c r="I20" s="113" t="s">
        <v>112</v>
      </c>
      <c r="J20" s="116">
        <f t="shared" si="1"/>
        <v>0.10145161290322581</v>
      </c>
      <c r="K20" s="117"/>
      <c r="L20" s="117"/>
      <c r="M20" s="117"/>
      <c r="N20" s="117"/>
      <c r="O20" s="118"/>
      <c r="P20" s="117"/>
      <c r="Q20" s="119">
        <v>68309</v>
      </c>
      <c r="R20" s="113">
        <v>9</v>
      </c>
      <c r="S20" s="112"/>
      <c r="T20" s="120">
        <f>+R20*J20*$J$1</f>
        <v>28.305</v>
      </c>
      <c r="U20" s="120"/>
      <c r="V20" s="121">
        <v>262090</v>
      </c>
      <c r="W20" s="112" t="s">
        <v>160</v>
      </c>
      <c r="X20" s="122"/>
      <c r="Y20" s="122"/>
    </row>
    <row r="21" spans="2:25" s="123" customFormat="1" x14ac:dyDescent="0.25">
      <c r="B21" s="112" t="s">
        <v>148</v>
      </c>
      <c r="C21" s="113" t="s">
        <v>60</v>
      </c>
      <c r="D21" s="113" t="s">
        <v>70</v>
      </c>
      <c r="E21" s="114">
        <v>36739</v>
      </c>
      <c r="F21" s="114">
        <v>37103</v>
      </c>
      <c r="G21" s="112" t="s">
        <v>61</v>
      </c>
      <c r="H21" s="112" t="s">
        <v>54</v>
      </c>
      <c r="I21" s="113" t="s">
        <v>112</v>
      </c>
      <c r="J21" s="116">
        <f t="shared" si="1"/>
        <v>0.10145161290322581</v>
      </c>
      <c r="K21" s="117"/>
      <c r="L21" s="117"/>
      <c r="M21" s="117"/>
      <c r="N21" s="117"/>
      <c r="O21" s="118"/>
      <c r="P21" s="117"/>
      <c r="Q21" s="119">
        <v>68929</v>
      </c>
      <c r="R21" s="113">
        <v>48</v>
      </c>
      <c r="S21" s="112" t="s">
        <v>2</v>
      </c>
      <c r="T21" s="120">
        <f>+R21*J21*$J$1</f>
        <v>150.96</v>
      </c>
      <c r="U21" s="120"/>
      <c r="V21" s="121">
        <v>345091</v>
      </c>
      <c r="W21" s="112"/>
      <c r="X21" s="122"/>
      <c r="Y21" s="122"/>
    </row>
    <row r="22" spans="2:25" s="123" customFormat="1" x14ac:dyDescent="0.25">
      <c r="B22" s="112" t="s">
        <v>148</v>
      </c>
      <c r="C22" s="113" t="s">
        <v>60</v>
      </c>
      <c r="D22" s="113" t="s">
        <v>70</v>
      </c>
      <c r="E22" s="114">
        <v>36739</v>
      </c>
      <c r="F22" s="114">
        <v>37103</v>
      </c>
      <c r="G22" s="112" t="s">
        <v>61</v>
      </c>
      <c r="H22" s="112" t="s">
        <v>54</v>
      </c>
      <c r="I22" s="113" t="s">
        <v>112</v>
      </c>
      <c r="J22" s="116">
        <f t="shared" si="1"/>
        <v>0.10145161290322581</v>
      </c>
      <c r="K22" s="117"/>
      <c r="L22" s="117"/>
      <c r="M22" s="117"/>
      <c r="N22" s="117"/>
      <c r="O22" s="118"/>
      <c r="P22" s="117"/>
      <c r="Q22" s="119">
        <v>68927</v>
      </c>
      <c r="R22" s="113">
        <v>4</v>
      </c>
      <c r="S22" s="112" t="s">
        <v>1</v>
      </c>
      <c r="T22" s="120">
        <f>+R22*J22*$J$1</f>
        <v>12.58</v>
      </c>
      <c r="U22" s="120"/>
      <c r="V22" s="121">
        <v>345112</v>
      </c>
      <c r="W22" s="112"/>
      <c r="X22" s="122"/>
      <c r="Y22" s="122"/>
    </row>
    <row r="23" spans="2:25" s="123" customFormat="1" x14ac:dyDescent="0.25">
      <c r="B23" s="112" t="s">
        <v>148</v>
      </c>
      <c r="C23" s="113" t="s">
        <v>60</v>
      </c>
      <c r="D23" s="113" t="s">
        <v>70</v>
      </c>
      <c r="E23" s="114">
        <v>36770</v>
      </c>
      <c r="F23" s="114">
        <v>37104</v>
      </c>
      <c r="G23" s="112" t="s">
        <v>61</v>
      </c>
      <c r="H23" s="112" t="s">
        <v>54</v>
      </c>
      <c r="I23" s="113" t="s">
        <v>112</v>
      </c>
      <c r="J23" s="116">
        <f t="shared" si="1"/>
        <v>0.10145161290322581</v>
      </c>
      <c r="K23" s="117"/>
      <c r="L23" s="117"/>
      <c r="M23" s="117"/>
      <c r="N23" s="117"/>
      <c r="O23" s="118"/>
      <c r="P23" s="117"/>
      <c r="Q23" s="119">
        <v>69145</v>
      </c>
      <c r="R23" s="113">
        <v>63</v>
      </c>
      <c r="S23" s="112" t="s">
        <v>318</v>
      </c>
      <c r="T23" s="120">
        <f>+R23*J23*J1</f>
        <v>198.13499999999999</v>
      </c>
      <c r="U23" s="120"/>
      <c r="V23" s="121">
        <v>372169</v>
      </c>
      <c r="W23" s="112"/>
      <c r="X23" s="122"/>
      <c r="Y23" s="122"/>
    </row>
    <row r="24" spans="2:25" s="123" customFormat="1" x14ac:dyDescent="0.25">
      <c r="B24" s="112" t="s">
        <v>148</v>
      </c>
      <c r="C24" s="113" t="s">
        <v>60</v>
      </c>
      <c r="D24" s="113" t="s">
        <v>70</v>
      </c>
      <c r="E24" s="114">
        <v>36800</v>
      </c>
      <c r="F24" s="114">
        <v>37164</v>
      </c>
      <c r="G24" s="112" t="s">
        <v>61</v>
      </c>
      <c r="H24" s="112" t="s">
        <v>54</v>
      </c>
      <c r="I24" s="113" t="s">
        <v>112</v>
      </c>
      <c r="J24" s="116">
        <f t="shared" si="1"/>
        <v>0.10145161290322581</v>
      </c>
      <c r="K24" s="117"/>
      <c r="L24" s="117"/>
      <c r="M24" s="117"/>
      <c r="N24" s="117"/>
      <c r="O24" s="118"/>
      <c r="P24" s="117"/>
      <c r="Q24" s="119">
        <v>69357</v>
      </c>
      <c r="R24" s="113">
        <v>13</v>
      </c>
      <c r="S24" s="112" t="s">
        <v>343</v>
      </c>
      <c r="T24" s="120">
        <f>+R24*J24*J1</f>
        <v>40.884999999999998</v>
      </c>
      <c r="U24" s="120"/>
      <c r="V24" s="121">
        <v>418249</v>
      </c>
      <c r="W24" s="112"/>
      <c r="X24" s="122"/>
      <c r="Y24" s="122"/>
    </row>
    <row r="25" spans="2:25" s="123" customFormat="1" x14ac:dyDescent="0.25">
      <c r="B25" s="112" t="s">
        <v>148</v>
      </c>
      <c r="C25" s="113" t="s">
        <v>60</v>
      </c>
      <c r="D25" s="113" t="s">
        <v>113</v>
      </c>
      <c r="E25" s="114">
        <v>36647</v>
      </c>
      <c r="F25" s="114">
        <v>37011</v>
      </c>
      <c r="G25" s="112" t="s">
        <v>61</v>
      </c>
      <c r="H25" s="112" t="s">
        <v>54</v>
      </c>
      <c r="I25" s="113" t="s">
        <v>112</v>
      </c>
      <c r="J25" s="116">
        <f t="shared" si="1"/>
        <v>0.10145161290322581</v>
      </c>
      <c r="K25" s="117"/>
      <c r="L25" s="117"/>
      <c r="M25" s="117"/>
      <c r="N25" s="117"/>
      <c r="O25" s="118"/>
      <c r="P25" s="117"/>
      <c r="Q25" s="119">
        <v>68281</v>
      </c>
      <c r="R25" s="113">
        <v>21</v>
      </c>
      <c r="S25" s="112" t="s">
        <v>267</v>
      </c>
      <c r="T25" s="120">
        <f>+R25*J25*$J$1</f>
        <v>66.045000000000002</v>
      </c>
      <c r="U25" s="120"/>
      <c r="V25" s="121">
        <v>256413</v>
      </c>
      <c r="W25" s="112"/>
      <c r="X25" s="122"/>
      <c r="Y25" s="122"/>
    </row>
    <row r="27" spans="2:25" s="59" customFormat="1" x14ac:dyDescent="0.25">
      <c r="B27" s="1"/>
      <c r="C27" s="3"/>
      <c r="D27" s="3"/>
      <c r="E27" s="4"/>
      <c r="F27" s="4"/>
      <c r="G27" s="1"/>
      <c r="H27" s="1"/>
      <c r="I27" s="3"/>
      <c r="J27" s="8"/>
      <c r="K27" s="5"/>
      <c r="L27" s="5"/>
      <c r="M27" s="5"/>
      <c r="N27" s="5"/>
      <c r="O27" s="41"/>
      <c r="P27" s="5"/>
      <c r="Q27" s="24"/>
      <c r="R27" s="3"/>
      <c r="S27" s="1"/>
      <c r="T27" s="9"/>
      <c r="U27" s="9"/>
      <c r="V27" s="54"/>
      <c r="W27" s="1"/>
      <c r="X27" s="36"/>
      <c r="Y27" s="36"/>
    </row>
    <row r="28" spans="2:25" x14ac:dyDescent="0.25">
      <c r="B28" s="1"/>
      <c r="C28" s="3"/>
      <c r="D28" s="3"/>
      <c r="E28" s="4"/>
      <c r="F28" s="4"/>
      <c r="G28" s="1"/>
      <c r="H28" s="1"/>
      <c r="I28" s="3"/>
      <c r="J28" s="8"/>
      <c r="K28" s="5"/>
      <c r="L28" s="23"/>
      <c r="M28" s="5"/>
      <c r="N28" s="5"/>
      <c r="O28" s="41"/>
      <c r="P28" s="5"/>
      <c r="Q28" s="24"/>
      <c r="R28" s="2">
        <f>SUM(R12:R26)</f>
        <v>1785</v>
      </c>
      <c r="S28" s="3"/>
      <c r="T28" s="9">
        <f>SUM(T12:T27)</f>
        <v>5613.8250000000025</v>
      </c>
      <c r="U28" s="9"/>
      <c r="V28" s="54"/>
      <c r="W28" s="1"/>
      <c r="X28" s="36"/>
      <c r="Y28" s="36"/>
    </row>
    <row r="29" spans="2:25" x14ac:dyDescent="0.25">
      <c r="B29" s="16" t="s">
        <v>35</v>
      </c>
      <c r="C29" s="17" t="s">
        <v>36</v>
      </c>
      <c r="D29" s="17" t="s">
        <v>37</v>
      </c>
      <c r="E29" s="18" t="s">
        <v>38</v>
      </c>
      <c r="F29" s="18"/>
      <c r="G29" s="16" t="s">
        <v>39</v>
      </c>
      <c r="H29" s="16" t="s">
        <v>40</v>
      </c>
      <c r="I29" s="17" t="s">
        <v>73</v>
      </c>
      <c r="J29" s="19" t="s">
        <v>41</v>
      </c>
      <c r="K29" s="17" t="s">
        <v>42</v>
      </c>
      <c r="L29" s="17" t="s">
        <v>43</v>
      </c>
      <c r="M29" s="17" t="s">
        <v>44</v>
      </c>
      <c r="N29" s="17" t="s">
        <v>45</v>
      </c>
      <c r="O29" s="42" t="s">
        <v>46</v>
      </c>
      <c r="P29" s="17" t="s">
        <v>47</v>
      </c>
      <c r="Q29" s="20" t="s">
        <v>146</v>
      </c>
      <c r="R29" s="17" t="s">
        <v>48</v>
      </c>
      <c r="S29" s="16" t="s">
        <v>49</v>
      </c>
      <c r="T29" s="21" t="s">
        <v>72</v>
      </c>
      <c r="U29" s="21" t="s">
        <v>71</v>
      </c>
      <c r="V29" s="52" t="s">
        <v>147</v>
      </c>
      <c r="W29" s="56" t="e">
        <f>+#REF!</f>
        <v>#REF!</v>
      </c>
      <c r="X29" s="36"/>
      <c r="Y29" s="36"/>
    </row>
    <row r="30" spans="2:25" s="150" customFormat="1" ht="12" customHeight="1" x14ac:dyDescent="0.25">
      <c r="B30" s="139" t="s">
        <v>148</v>
      </c>
      <c r="C30" s="140" t="s">
        <v>155</v>
      </c>
      <c r="D30" s="140" t="s">
        <v>156</v>
      </c>
      <c r="E30" s="141">
        <v>36800</v>
      </c>
      <c r="F30" s="141">
        <v>36830</v>
      </c>
      <c r="G30" s="151"/>
      <c r="H30" s="151"/>
      <c r="I30" s="140" t="s">
        <v>157</v>
      </c>
      <c r="J30" s="142">
        <v>2.8340000000000001E-2</v>
      </c>
      <c r="K30" s="143">
        <v>0</v>
      </c>
      <c r="L30" s="143">
        <v>2.2000000000000001E-3</v>
      </c>
      <c r="M30" s="143">
        <v>7.1999999999999998E-3</v>
      </c>
      <c r="N30" s="143">
        <v>0</v>
      </c>
      <c r="O30" s="144">
        <v>0</v>
      </c>
      <c r="P30" s="143">
        <f t="shared" ref="P30:P35" si="2">SUM(J30:N30)</f>
        <v>3.7740000000000003E-2</v>
      </c>
      <c r="Q30" s="145" t="s">
        <v>251</v>
      </c>
      <c r="R30" s="140">
        <v>250697</v>
      </c>
      <c r="S30" s="139" t="s">
        <v>84</v>
      </c>
      <c r="T30" s="147">
        <f>+J30*R30</f>
        <v>7104.7529800000002</v>
      </c>
      <c r="U30" s="147"/>
      <c r="V30" s="148">
        <v>418306</v>
      </c>
      <c r="W30" s="146" t="s">
        <v>332</v>
      </c>
      <c r="X30" s="149"/>
      <c r="Y30" s="149"/>
    </row>
    <row r="31" spans="2:25" s="150" customFormat="1" ht="12" customHeight="1" x14ac:dyDescent="0.25">
      <c r="B31" s="139" t="s">
        <v>148</v>
      </c>
      <c r="C31" s="140" t="s">
        <v>155</v>
      </c>
      <c r="D31" s="140" t="s">
        <v>156</v>
      </c>
      <c r="E31" s="141">
        <v>36800</v>
      </c>
      <c r="F31" s="141">
        <v>36830</v>
      </c>
      <c r="G31" s="151"/>
      <c r="H31" s="151"/>
      <c r="I31" s="140" t="s">
        <v>157</v>
      </c>
      <c r="J31" s="142">
        <f>1.544/J1</f>
        <v>4.980645161290323E-2</v>
      </c>
      <c r="K31" s="143">
        <v>0</v>
      </c>
      <c r="L31" s="143">
        <v>2.2000000000000001E-3</v>
      </c>
      <c r="M31" s="143">
        <v>7.1999999999999998E-3</v>
      </c>
      <c r="N31" s="143">
        <v>0</v>
      </c>
      <c r="O31" s="144">
        <v>0</v>
      </c>
      <c r="P31" s="143">
        <f t="shared" si="2"/>
        <v>5.9206451612903228E-2</v>
      </c>
      <c r="Q31" s="145" t="s">
        <v>251</v>
      </c>
      <c r="R31" s="140">
        <v>5061</v>
      </c>
      <c r="S31" s="139" t="s">
        <v>85</v>
      </c>
      <c r="T31" s="147">
        <f>+J31*R31*30</f>
        <v>7562.1135483870976</v>
      </c>
      <c r="U31" s="147"/>
      <c r="V31" s="148">
        <v>418306</v>
      </c>
      <c r="W31" s="146" t="s">
        <v>332</v>
      </c>
      <c r="X31" s="149"/>
      <c r="Y31" s="149"/>
    </row>
    <row r="32" spans="2:25" s="150" customFormat="1" ht="12" customHeight="1" x14ac:dyDescent="0.25">
      <c r="B32" s="139" t="s">
        <v>148</v>
      </c>
      <c r="C32" s="140" t="s">
        <v>155</v>
      </c>
      <c r="D32" s="140" t="s">
        <v>156</v>
      </c>
      <c r="E32" s="141">
        <v>36800</v>
      </c>
      <c r="F32" s="141">
        <v>36830</v>
      </c>
      <c r="G32" s="151"/>
      <c r="H32" s="151"/>
      <c r="I32" s="140" t="s">
        <v>157</v>
      </c>
      <c r="J32" s="142">
        <v>2.8340000000000001E-2</v>
      </c>
      <c r="K32" s="143">
        <v>0</v>
      </c>
      <c r="L32" s="143">
        <v>2.2000000000000001E-3</v>
      </c>
      <c r="M32" s="143">
        <v>7.1999999999999998E-3</v>
      </c>
      <c r="N32" s="143">
        <v>0</v>
      </c>
      <c r="O32" s="144">
        <v>0</v>
      </c>
      <c r="P32" s="143">
        <f t="shared" si="2"/>
        <v>3.7740000000000003E-2</v>
      </c>
      <c r="Q32" s="145" t="s">
        <v>251</v>
      </c>
      <c r="R32" s="140">
        <v>3819</v>
      </c>
      <c r="S32" s="139" t="s">
        <v>84</v>
      </c>
      <c r="T32" s="147">
        <f>+J32*R32</f>
        <v>108.23046000000001</v>
      </c>
      <c r="U32" s="147"/>
      <c r="V32" s="148">
        <v>418314</v>
      </c>
      <c r="W32" s="146" t="s">
        <v>335</v>
      </c>
      <c r="X32" s="149"/>
      <c r="Y32" s="149"/>
    </row>
    <row r="33" spans="2:25" s="150" customFormat="1" ht="12" customHeight="1" x14ac:dyDescent="0.25">
      <c r="B33" s="139" t="s">
        <v>148</v>
      </c>
      <c r="C33" s="140" t="s">
        <v>155</v>
      </c>
      <c r="D33" s="140" t="s">
        <v>156</v>
      </c>
      <c r="E33" s="141">
        <v>36800</v>
      </c>
      <c r="F33" s="141">
        <v>36830</v>
      </c>
      <c r="G33" s="151"/>
      <c r="H33" s="151"/>
      <c r="I33" s="140" t="s">
        <v>157</v>
      </c>
      <c r="J33" s="142">
        <f>1.544/J1</f>
        <v>4.980645161290323E-2</v>
      </c>
      <c r="K33" s="143">
        <v>0</v>
      </c>
      <c r="L33" s="143">
        <v>2.2000000000000001E-3</v>
      </c>
      <c r="M33" s="143">
        <v>7.1999999999999998E-3</v>
      </c>
      <c r="N33" s="143">
        <v>0</v>
      </c>
      <c r="O33" s="144">
        <v>0</v>
      </c>
      <c r="P33" s="143">
        <f t="shared" si="2"/>
        <v>5.9206451612903228E-2</v>
      </c>
      <c r="Q33" s="145" t="s">
        <v>251</v>
      </c>
      <c r="R33" s="140">
        <v>78</v>
      </c>
      <c r="S33" s="139" t="s">
        <v>85</v>
      </c>
      <c r="T33" s="147">
        <f>+J33*R33*30</f>
        <v>116.54709677419355</v>
      </c>
      <c r="U33" s="147"/>
      <c r="V33" s="148">
        <v>418314</v>
      </c>
      <c r="W33" s="146" t="s">
        <v>335</v>
      </c>
      <c r="X33" s="149"/>
      <c r="Y33" s="149"/>
    </row>
    <row r="34" spans="2:25" s="150" customFormat="1" ht="12" customHeight="1" x14ac:dyDescent="0.25">
      <c r="B34" s="139" t="s">
        <v>148</v>
      </c>
      <c r="C34" s="140" t="s">
        <v>155</v>
      </c>
      <c r="D34" s="140" t="s">
        <v>156</v>
      </c>
      <c r="E34" s="141">
        <v>36770</v>
      </c>
      <c r="F34" s="141">
        <v>37864</v>
      </c>
      <c r="G34" s="151"/>
      <c r="H34" s="151"/>
      <c r="I34" s="140" t="s">
        <v>157</v>
      </c>
      <c r="J34" s="142">
        <v>2.8340000000000001E-2</v>
      </c>
      <c r="K34" s="143">
        <v>0</v>
      </c>
      <c r="L34" s="143">
        <v>2.2000000000000001E-3</v>
      </c>
      <c r="M34" s="143">
        <v>7.1999999999999998E-3</v>
      </c>
      <c r="N34" s="143">
        <v>0</v>
      </c>
      <c r="O34" s="144">
        <v>0</v>
      </c>
      <c r="P34" s="143">
        <f t="shared" si="2"/>
        <v>3.7740000000000003E-2</v>
      </c>
      <c r="Q34" s="145" t="s">
        <v>251</v>
      </c>
      <c r="R34" s="140">
        <f>+(33135+524690)*1.02</f>
        <v>568981.5</v>
      </c>
      <c r="S34" s="139" t="s">
        <v>84</v>
      </c>
      <c r="T34" s="147">
        <f>+J34*R34</f>
        <v>16124.93571</v>
      </c>
      <c r="U34" s="147"/>
      <c r="V34" s="148">
        <v>380799</v>
      </c>
      <c r="W34" s="139"/>
      <c r="X34" s="149"/>
      <c r="Y34" s="149"/>
    </row>
    <row r="35" spans="2:25" s="150" customFormat="1" ht="12" customHeight="1" x14ac:dyDescent="0.25">
      <c r="B35" s="139" t="s">
        <v>148</v>
      </c>
      <c r="C35" s="140" t="s">
        <v>155</v>
      </c>
      <c r="D35" s="140" t="s">
        <v>156</v>
      </c>
      <c r="E35" s="141">
        <v>36770</v>
      </c>
      <c r="F35" s="141">
        <v>37864</v>
      </c>
      <c r="G35" s="151"/>
      <c r="H35" s="151"/>
      <c r="I35" s="140" t="s">
        <v>157</v>
      </c>
      <c r="J35" s="142">
        <f>1.544/31</f>
        <v>4.980645161290323E-2</v>
      </c>
      <c r="K35" s="143">
        <v>0</v>
      </c>
      <c r="L35" s="143">
        <v>2.2000000000000001E-3</v>
      </c>
      <c r="M35" s="143">
        <v>7.1999999999999998E-3</v>
      </c>
      <c r="N35" s="143">
        <v>0</v>
      </c>
      <c r="O35" s="144">
        <v>0</v>
      </c>
      <c r="P35" s="143">
        <f t="shared" si="2"/>
        <v>5.9206451612903228E-2</v>
      </c>
      <c r="Q35" s="145" t="s">
        <v>251</v>
      </c>
      <c r="R35" s="140">
        <f>(669+10594)*1.02</f>
        <v>11488.26</v>
      </c>
      <c r="S35" s="139" t="s">
        <v>85</v>
      </c>
      <c r="T35" s="147">
        <f>+J35*R35*30</f>
        <v>17165.683974193551</v>
      </c>
      <c r="U35" s="147"/>
      <c r="V35" s="148">
        <v>380799</v>
      </c>
      <c r="W35" s="139"/>
      <c r="X35" s="149"/>
      <c r="Y35" s="149"/>
    </row>
    <row r="36" spans="2:25" s="150" customFormat="1" ht="12" customHeight="1" x14ac:dyDescent="0.25">
      <c r="B36" s="139" t="s">
        <v>148</v>
      </c>
      <c r="C36" s="140" t="s">
        <v>155</v>
      </c>
      <c r="D36" s="140" t="s">
        <v>156</v>
      </c>
      <c r="E36" s="141">
        <v>36770</v>
      </c>
      <c r="F36" s="141">
        <v>37864</v>
      </c>
      <c r="G36" s="139" t="s">
        <v>131</v>
      </c>
      <c r="H36" s="139" t="s">
        <v>118</v>
      </c>
      <c r="I36" s="140" t="s">
        <v>115</v>
      </c>
      <c r="J36" s="142">
        <f>10.913/J1</f>
        <v>0.35203225806451616</v>
      </c>
      <c r="K36" s="143"/>
      <c r="L36" s="143"/>
      <c r="M36" s="143"/>
      <c r="N36" s="143"/>
      <c r="O36" s="144"/>
      <c r="P36" s="143"/>
      <c r="Q36" s="145" t="s">
        <v>205</v>
      </c>
      <c r="R36" s="140">
        <f>4477*1.02</f>
        <v>4566.54</v>
      </c>
      <c r="S36" s="152">
        <v>2000001592</v>
      </c>
      <c r="T36" s="147">
        <f>+J36*R36*30</f>
        <v>48227.081632258065</v>
      </c>
      <c r="U36" s="147"/>
      <c r="V36" s="148">
        <v>380785</v>
      </c>
      <c r="W36" s="139"/>
      <c r="X36" s="149"/>
      <c r="Y36" s="149"/>
    </row>
    <row r="37" spans="2:25" s="150" customFormat="1" ht="12" customHeight="1" x14ac:dyDescent="0.25">
      <c r="B37" s="139" t="s">
        <v>148</v>
      </c>
      <c r="C37" s="140" t="s">
        <v>155</v>
      </c>
      <c r="D37" s="140" t="s">
        <v>156</v>
      </c>
      <c r="E37" s="141">
        <v>36800</v>
      </c>
      <c r="F37" s="141">
        <v>36830</v>
      </c>
      <c r="G37" s="139" t="s">
        <v>131</v>
      </c>
      <c r="H37" s="139" t="s">
        <v>118</v>
      </c>
      <c r="I37" s="140" t="s">
        <v>115</v>
      </c>
      <c r="J37" s="142">
        <f>10.913/J1</f>
        <v>0.35203225806451616</v>
      </c>
      <c r="K37" s="143"/>
      <c r="L37" s="143"/>
      <c r="M37" s="143"/>
      <c r="N37" s="143"/>
      <c r="O37" s="144"/>
      <c r="P37" s="143"/>
      <c r="Q37" s="145" t="s">
        <v>205</v>
      </c>
      <c r="R37" s="140">
        <v>9090</v>
      </c>
      <c r="S37" s="146" t="s">
        <v>329</v>
      </c>
      <c r="T37" s="147">
        <f>+R37*J37*30</f>
        <v>95999.196774193551</v>
      </c>
      <c r="U37" s="147"/>
      <c r="V37" s="148">
        <v>418602</v>
      </c>
      <c r="W37" s="139"/>
      <c r="X37" s="149"/>
      <c r="Y37" s="149"/>
    </row>
    <row r="38" spans="2:25" s="150" customFormat="1" ht="12" customHeight="1" x14ac:dyDescent="0.25">
      <c r="B38" s="139" t="s">
        <v>148</v>
      </c>
      <c r="C38" s="140" t="s">
        <v>155</v>
      </c>
      <c r="D38" s="140" t="s">
        <v>156</v>
      </c>
      <c r="E38" s="141">
        <v>36770</v>
      </c>
      <c r="F38" s="141">
        <v>37864</v>
      </c>
      <c r="G38" s="139" t="s">
        <v>131</v>
      </c>
      <c r="H38" s="139" t="s">
        <v>118</v>
      </c>
      <c r="I38" s="140" t="s">
        <v>115</v>
      </c>
      <c r="J38" s="142">
        <f>10.913/J1</f>
        <v>0.35203225806451616</v>
      </c>
      <c r="K38" s="143"/>
      <c r="L38" s="143"/>
      <c r="M38" s="143"/>
      <c r="N38" s="143"/>
      <c r="O38" s="144"/>
      <c r="P38" s="143"/>
      <c r="Q38" s="145" t="s">
        <v>205</v>
      </c>
      <c r="R38" s="140">
        <f>(16156+4118)*1.021</f>
        <v>20699.753999999997</v>
      </c>
      <c r="S38" s="146" t="s">
        <v>325</v>
      </c>
      <c r="T38" s="147">
        <f>+R38*J38*30</f>
        <v>218609.43425999998</v>
      </c>
      <c r="U38" s="147"/>
      <c r="V38" s="148">
        <v>380770</v>
      </c>
      <c r="W38" s="139"/>
      <c r="X38" s="149"/>
      <c r="Y38" s="149"/>
    </row>
    <row r="39" spans="2:25" s="150" customFormat="1" ht="12" customHeight="1" x14ac:dyDescent="0.25">
      <c r="B39" s="139" t="s">
        <v>148</v>
      </c>
      <c r="C39" s="140" t="s">
        <v>155</v>
      </c>
      <c r="D39" s="140" t="s">
        <v>156</v>
      </c>
      <c r="E39" s="141">
        <v>36770</v>
      </c>
      <c r="F39" s="141">
        <v>37864</v>
      </c>
      <c r="G39" s="139" t="s">
        <v>131</v>
      </c>
      <c r="H39" s="139" t="s">
        <v>326</v>
      </c>
      <c r="I39" s="140" t="s">
        <v>115</v>
      </c>
      <c r="J39" s="142">
        <f>8.223/J1</f>
        <v>0.26525806451612904</v>
      </c>
      <c r="K39" s="143"/>
      <c r="L39" s="143"/>
      <c r="M39" s="143"/>
      <c r="N39" s="143"/>
      <c r="O39" s="144"/>
      <c r="P39" s="143"/>
      <c r="Q39" s="145" t="s">
        <v>205</v>
      </c>
      <c r="R39" s="140">
        <f>340*1.02</f>
        <v>346.8</v>
      </c>
      <c r="S39" s="153">
        <v>2000001604</v>
      </c>
      <c r="T39" s="147">
        <f>+R39*J39*30</f>
        <v>2759.7449032258064</v>
      </c>
      <c r="U39" s="147"/>
      <c r="V39" s="148">
        <v>380777</v>
      </c>
      <c r="W39" s="139"/>
      <c r="X39" s="149"/>
      <c r="Y39" s="149"/>
    </row>
    <row r="40" spans="2:25" s="150" customFormat="1" ht="12" customHeight="1" x14ac:dyDescent="0.25">
      <c r="B40" s="139" t="s">
        <v>148</v>
      </c>
      <c r="C40" s="140" t="s">
        <v>155</v>
      </c>
      <c r="D40" s="140" t="s">
        <v>156</v>
      </c>
      <c r="E40" s="141">
        <v>36770</v>
      </c>
      <c r="F40" s="141">
        <v>36830</v>
      </c>
      <c r="G40" s="139" t="s">
        <v>131</v>
      </c>
      <c r="H40" s="139" t="s">
        <v>327</v>
      </c>
      <c r="I40" s="140" t="s">
        <v>115</v>
      </c>
      <c r="J40" s="142">
        <f>10.913/J1</f>
        <v>0.35203225806451616</v>
      </c>
      <c r="K40" s="143"/>
      <c r="L40" s="143"/>
      <c r="M40" s="143"/>
      <c r="N40" s="143"/>
      <c r="O40" s="144"/>
      <c r="P40" s="143"/>
      <c r="Q40" s="145" t="s">
        <v>205</v>
      </c>
      <c r="R40" s="140">
        <f>457*1.02</f>
        <v>466.14</v>
      </c>
      <c r="S40" s="153">
        <v>2000001640</v>
      </c>
      <c r="T40" s="147">
        <f>+R40*J40*30</f>
        <v>4922.8895032258069</v>
      </c>
      <c r="U40" s="147"/>
      <c r="V40" s="148">
        <v>380789</v>
      </c>
      <c r="W40" s="139"/>
      <c r="X40" s="149"/>
      <c r="Y40" s="149"/>
    </row>
    <row r="41" spans="2:25" s="150" customFormat="1" ht="12" customHeight="1" x14ac:dyDescent="0.25">
      <c r="B41" s="139" t="s">
        <v>148</v>
      </c>
      <c r="C41" s="140" t="s">
        <v>155</v>
      </c>
      <c r="D41" s="140" t="s">
        <v>156</v>
      </c>
      <c r="E41" s="141">
        <v>36800</v>
      </c>
      <c r="F41" s="141">
        <v>36830</v>
      </c>
      <c r="G41" s="151"/>
      <c r="H41" s="151"/>
      <c r="I41" s="140" t="s">
        <v>115</v>
      </c>
      <c r="J41" s="142">
        <f>10.913/J1</f>
        <v>0.35203225806451616</v>
      </c>
      <c r="K41" s="143"/>
      <c r="L41" s="143"/>
      <c r="M41" s="143"/>
      <c r="N41" s="143"/>
      <c r="O41" s="144"/>
      <c r="P41" s="143"/>
      <c r="Q41" s="145" t="s">
        <v>205</v>
      </c>
      <c r="R41" s="140">
        <v>201</v>
      </c>
      <c r="S41" s="151" t="s">
        <v>330</v>
      </c>
      <c r="T41" s="147">
        <f>J41*J$1*R41</f>
        <v>2193.5129999999999</v>
      </c>
      <c r="U41" s="147"/>
      <c r="V41" s="148">
        <v>418558</v>
      </c>
      <c r="W41" s="139"/>
      <c r="X41" s="149"/>
      <c r="Y41" s="149"/>
    </row>
    <row r="42" spans="2:25" s="150" customFormat="1" ht="12" customHeight="1" x14ac:dyDescent="0.25">
      <c r="B42" s="139" t="s">
        <v>148</v>
      </c>
      <c r="C42" s="140" t="s">
        <v>155</v>
      </c>
      <c r="D42" s="140" t="s">
        <v>156</v>
      </c>
      <c r="E42" s="141">
        <v>36800</v>
      </c>
      <c r="F42" s="141">
        <v>36830</v>
      </c>
      <c r="G42" s="151"/>
      <c r="H42" s="151"/>
      <c r="I42" s="140" t="s">
        <v>115</v>
      </c>
      <c r="J42" s="142">
        <f>10.913/31</f>
        <v>0.35203225806451616</v>
      </c>
      <c r="K42" s="143"/>
      <c r="L42" s="143"/>
      <c r="M42" s="143"/>
      <c r="N42" s="143"/>
      <c r="O42" s="144"/>
      <c r="P42" s="143"/>
      <c r="Q42" s="145" t="s">
        <v>205</v>
      </c>
      <c r="R42" s="140">
        <v>1979</v>
      </c>
      <c r="S42" s="151" t="s">
        <v>336</v>
      </c>
      <c r="T42" s="147">
        <f>J42*J$1*R42</f>
        <v>21596.827000000001</v>
      </c>
      <c r="U42" s="147"/>
      <c r="V42" s="148">
        <v>418286</v>
      </c>
      <c r="W42" s="139"/>
      <c r="X42" s="149"/>
      <c r="Y42" s="149"/>
    </row>
    <row r="43" spans="2:25" s="150" customFormat="1" ht="12" customHeight="1" x14ac:dyDescent="0.25">
      <c r="B43" s="139" t="s">
        <v>148</v>
      </c>
      <c r="C43" s="140" t="s">
        <v>155</v>
      </c>
      <c r="D43" s="140" t="s">
        <v>156</v>
      </c>
      <c r="E43" s="141">
        <v>36800</v>
      </c>
      <c r="F43" s="141">
        <v>36830</v>
      </c>
      <c r="G43" s="151"/>
      <c r="H43" s="151"/>
      <c r="I43" s="140" t="s">
        <v>115</v>
      </c>
      <c r="J43" s="142">
        <f>8.223/J1</f>
        <v>0.26525806451612904</v>
      </c>
      <c r="K43" s="143"/>
      <c r="L43" s="143"/>
      <c r="M43" s="143"/>
      <c r="N43" s="143"/>
      <c r="O43" s="144"/>
      <c r="P43" s="143"/>
      <c r="Q43" s="145" t="s">
        <v>205</v>
      </c>
      <c r="R43" s="140">
        <v>54</v>
      </c>
      <c r="S43" s="146" t="s">
        <v>337</v>
      </c>
      <c r="T43" s="147">
        <f>J43*J$1*R43</f>
        <v>444.04200000000003</v>
      </c>
      <c r="U43" s="147"/>
      <c r="V43" s="148">
        <v>418279</v>
      </c>
      <c r="W43" s="139"/>
      <c r="X43" s="149"/>
      <c r="Y43" s="149"/>
    </row>
    <row r="44" spans="2:25" s="150" customFormat="1" ht="12" customHeight="1" x14ac:dyDescent="0.25">
      <c r="B44" s="139" t="s">
        <v>148</v>
      </c>
      <c r="C44" s="140" t="s">
        <v>161</v>
      </c>
      <c r="D44" s="140" t="s">
        <v>156</v>
      </c>
      <c r="E44" s="141">
        <v>36804</v>
      </c>
      <c r="F44" s="141">
        <v>36830</v>
      </c>
      <c r="G44" s="139" t="s">
        <v>131</v>
      </c>
      <c r="H44" s="139" t="s">
        <v>131</v>
      </c>
      <c r="I44" s="140" t="s">
        <v>115</v>
      </c>
      <c r="J44" s="142">
        <f>4.75/J1</f>
        <v>0.15322580645161291</v>
      </c>
      <c r="K44" s="143"/>
      <c r="L44" s="143"/>
      <c r="M44" s="143"/>
      <c r="N44" s="143"/>
      <c r="O44" s="144"/>
      <c r="P44" s="143"/>
      <c r="Q44" s="145" t="s">
        <v>271</v>
      </c>
      <c r="R44" s="140">
        <v>70</v>
      </c>
      <c r="S44" s="146" t="s">
        <v>333</v>
      </c>
      <c r="T44" s="147">
        <f>J44*J$1*R44</f>
        <v>332.5</v>
      </c>
      <c r="U44" s="147"/>
      <c r="V44" s="148">
        <v>425333</v>
      </c>
      <c r="W44" s="139"/>
      <c r="X44" s="149"/>
      <c r="Y44" s="149"/>
    </row>
    <row r="45" spans="2:25" s="150" customFormat="1" ht="12" customHeight="1" x14ac:dyDescent="0.25">
      <c r="B45" s="139" t="s">
        <v>148</v>
      </c>
      <c r="C45" s="140" t="s">
        <v>161</v>
      </c>
      <c r="D45" s="140" t="s">
        <v>156</v>
      </c>
      <c r="E45" s="141">
        <v>11597</v>
      </c>
      <c r="F45" s="141">
        <v>36830</v>
      </c>
      <c r="G45" s="139" t="s">
        <v>131</v>
      </c>
      <c r="H45" s="139" t="s">
        <v>131</v>
      </c>
      <c r="I45" s="140" t="s">
        <v>115</v>
      </c>
      <c r="J45" s="142">
        <f>4.75/31</f>
        <v>0.15322580645161291</v>
      </c>
      <c r="K45" s="143"/>
      <c r="L45" s="143"/>
      <c r="M45" s="143"/>
      <c r="N45" s="143"/>
      <c r="O45" s="144"/>
      <c r="P45" s="143"/>
      <c r="Q45" s="145" t="s">
        <v>271</v>
      </c>
      <c r="R45" s="140">
        <v>154</v>
      </c>
      <c r="S45" s="146" t="s">
        <v>334</v>
      </c>
      <c r="T45" s="147">
        <f>+J45*R45*31</f>
        <v>731.5</v>
      </c>
      <c r="U45" s="147"/>
      <c r="V45" s="148">
        <v>418293</v>
      </c>
      <c r="W45" s="139"/>
      <c r="X45" s="149"/>
      <c r="Y45" s="149"/>
    </row>
    <row r="46" spans="2:25" s="138" customFormat="1" ht="12" customHeight="1" x14ac:dyDescent="0.25">
      <c r="B46" s="128" t="s">
        <v>148</v>
      </c>
      <c r="C46" s="129" t="s">
        <v>161</v>
      </c>
      <c r="D46" s="129" t="s">
        <v>156</v>
      </c>
      <c r="E46" s="130">
        <v>36739</v>
      </c>
      <c r="F46" s="130">
        <v>36769</v>
      </c>
      <c r="G46" s="128" t="s">
        <v>131</v>
      </c>
      <c r="H46" s="128" t="s">
        <v>131</v>
      </c>
      <c r="I46" s="129" t="s">
        <v>115</v>
      </c>
      <c r="J46" s="131">
        <f>10.913/31</f>
        <v>0.35203225806451616</v>
      </c>
      <c r="K46" s="132"/>
      <c r="L46" s="132"/>
      <c r="M46" s="132"/>
      <c r="N46" s="132"/>
      <c r="O46" s="133"/>
      <c r="P46" s="132"/>
      <c r="Q46" s="134" t="s">
        <v>271</v>
      </c>
      <c r="R46" s="129">
        <f>431+67</f>
        <v>498</v>
      </c>
      <c r="S46" s="128"/>
      <c r="T46" s="135">
        <f>J46*J$1*R46</f>
        <v>5434.674</v>
      </c>
      <c r="U46" s="135"/>
      <c r="V46" s="136">
        <v>345006</v>
      </c>
      <c r="W46" s="128"/>
      <c r="X46" s="137"/>
      <c r="Y46" s="137"/>
    </row>
    <row r="47" spans="2:25" s="59" customFormat="1" ht="12" customHeight="1" x14ac:dyDescent="0.25">
      <c r="B47" s="1"/>
      <c r="C47" s="3"/>
      <c r="D47" s="3"/>
      <c r="E47" s="4"/>
      <c r="F47" s="4"/>
      <c r="G47" s="1"/>
      <c r="H47" s="1"/>
      <c r="I47" s="3"/>
      <c r="J47" s="8"/>
      <c r="K47" s="5"/>
      <c r="L47" s="5"/>
      <c r="M47" s="5"/>
      <c r="N47" s="5"/>
      <c r="O47" s="41"/>
      <c r="P47" s="5"/>
      <c r="Q47" s="24"/>
      <c r="R47" s="3"/>
      <c r="S47" s="1"/>
      <c r="T47" s="9"/>
      <c r="U47" s="9"/>
      <c r="V47" s="54"/>
      <c r="W47" s="1"/>
      <c r="X47" s="36"/>
      <c r="Y47" s="36"/>
    </row>
    <row r="48" spans="2:25" s="59" customFormat="1" x14ac:dyDescent="0.25">
      <c r="B48" s="1"/>
      <c r="C48" s="3"/>
      <c r="D48" s="3"/>
      <c r="E48" s="4"/>
      <c r="F48" s="4"/>
      <c r="G48" s="29"/>
      <c r="H48" s="29"/>
      <c r="I48" s="3"/>
      <c r="J48" s="8"/>
      <c r="K48" s="5"/>
      <c r="L48" s="5"/>
      <c r="M48" s="5"/>
      <c r="N48" s="5"/>
      <c r="O48" s="41"/>
      <c r="P48" s="5"/>
      <c r="Q48" s="24"/>
      <c r="R48" s="3"/>
      <c r="S48" s="1"/>
      <c r="T48" s="9">
        <f>SUM(T30:T47)</f>
        <v>449433.66684225807</v>
      </c>
      <c r="U48" s="9"/>
      <c r="V48" s="54"/>
      <c r="W48" s="1"/>
      <c r="X48" s="36"/>
      <c r="Y48" s="36"/>
    </row>
    <row r="49" spans="2:25" x14ac:dyDescent="0.25">
      <c r="B49" s="16" t="s">
        <v>35</v>
      </c>
      <c r="C49" s="17" t="s">
        <v>36</v>
      </c>
      <c r="D49" s="17" t="s">
        <v>37</v>
      </c>
      <c r="E49" s="18" t="s">
        <v>38</v>
      </c>
      <c r="F49" s="18"/>
      <c r="G49" s="16" t="s">
        <v>39</v>
      </c>
      <c r="H49" s="16" t="s">
        <v>40</v>
      </c>
      <c r="I49" s="17" t="s">
        <v>73</v>
      </c>
      <c r="J49" s="19" t="s">
        <v>41</v>
      </c>
      <c r="K49" s="17" t="s">
        <v>42</v>
      </c>
      <c r="L49" s="17" t="s">
        <v>43</v>
      </c>
      <c r="M49" s="17" t="s">
        <v>44</v>
      </c>
      <c r="N49" s="17" t="s">
        <v>45</v>
      </c>
      <c r="O49" s="42" t="s">
        <v>46</v>
      </c>
      <c r="P49" s="17" t="s">
        <v>47</v>
      </c>
      <c r="Q49" s="20" t="s">
        <v>146</v>
      </c>
      <c r="R49" s="17" t="s">
        <v>48</v>
      </c>
      <c r="S49" s="16" t="s">
        <v>49</v>
      </c>
      <c r="T49" s="21" t="s">
        <v>72</v>
      </c>
      <c r="U49" s="21" t="s">
        <v>71</v>
      </c>
      <c r="V49" s="52" t="s">
        <v>147</v>
      </c>
      <c r="W49" s="56" t="e">
        <f>+#REF!</f>
        <v>#REF!</v>
      </c>
      <c r="X49" s="36"/>
      <c r="Y49" s="36"/>
    </row>
    <row r="50" spans="2:25" s="123" customFormat="1" x14ac:dyDescent="0.25">
      <c r="B50" s="112" t="s">
        <v>148</v>
      </c>
      <c r="C50" s="113" t="s">
        <v>33</v>
      </c>
      <c r="D50" s="113" t="s">
        <v>108</v>
      </c>
      <c r="E50" s="114">
        <v>36800</v>
      </c>
      <c r="F50" s="114" t="s">
        <v>331</v>
      </c>
      <c r="G50" s="112" t="s">
        <v>109</v>
      </c>
      <c r="H50" s="115" t="s">
        <v>110</v>
      </c>
      <c r="I50" s="113" t="s">
        <v>107</v>
      </c>
      <c r="J50" s="116">
        <f>5.17/+J1</f>
        <v>0.1667741935483871</v>
      </c>
      <c r="K50" s="117">
        <v>7.6300000000000007E-2</v>
      </c>
      <c r="L50" s="117">
        <v>2.2000000000000001E-3</v>
      </c>
      <c r="M50" s="117">
        <v>7.1999999999999998E-3</v>
      </c>
      <c r="N50" s="117">
        <v>0</v>
      </c>
      <c r="O50" s="118">
        <v>2.7900000000000001E-2</v>
      </c>
      <c r="P50" s="117">
        <f>SUM(J50:N50)</f>
        <v>0.25247419354838713</v>
      </c>
      <c r="Q50" s="119">
        <v>34852</v>
      </c>
      <c r="R50" s="113">
        <v>1052</v>
      </c>
      <c r="S50" s="112" t="s">
        <v>53</v>
      </c>
      <c r="T50" s="120">
        <f>J50*J$1*R50</f>
        <v>5438.84</v>
      </c>
      <c r="U50" s="120"/>
      <c r="V50" s="121">
        <v>418340</v>
      </c>
      <c r="W50" s="112" t="s">
        <v>111</v>
      </c>
      <c r="X50" s="122"/>
      <c r="Y50" s="122"/>
    </row>
    <row r="51" spans="2:25" s="123" customFormat="1" x14ac:dyDescent="0.25">
      <c r="B51" s="112" t="s">
        <v>148</v>
      </c>
      <c r="C51" s="113" t="s">
        <v>33</v>
      </c>
      <c r="D51" s="113" t="s">
        <v>108</v>
      </c>
      <c r="E51" s="114">
        <v>36770</v>
      </c>
      <c r="F51" s="114">
        <v>36829</v>
      </c>
      <c r="G51" s="112" t="s">
        <v>109</v>
      </c>
      <c r="H51" s="115" t="s">
        <v>110</v>
      </c>
      <c r="I51" s="113" t="s">
        <v>107</v>
      </c>
      <c r="J51" s="116">
        <f>4.92/J1</f>
        <v>0.15870967741935485</v>
      </c>
      <c r="K51" s="117">
        <v>7.6300000000000007E-2</v>
      </c>
      <c r="L51" s="117">
        <v>2.2000000000000001E-3</v>
      </c>
      <c r="M51" s="117">
        <v>7.1999999999999998E-3</v>
      </c>
      <c r="N51" s="117">
        <v>0</v>
      </c>
      <c r="O51" s="118">
        <v>2.7900000000000001E-2</v>
      </c>
      <c r="P51" s="117">
        <f>SUM(J51:N51)</f>
        <v>0.24440967741935488</v>
      </c>
      <c r="Q51" s="119">
        <v>34608</v>
      </c>
      <c r="R51" s="113">
        <v>2455</v>
      </c>
      <c r="S51" s="112" t="s">
        <v>53</v>
      </c>
      <c r="T51" s="120">
        <f>J51*J$1*R51</f>
        <v>12078.6</v>
      </c>
      <c r="U51" s="120"/>
      <c r="V51" s="121">
        <v>379572</v>
      </c>
      <c r="W51" s="112"/>
      <c r="X51" s="122"/>
      <c r="Y51" s="122"/>
    </row>
    <row r="52" spans="2:25" s="123" customFormat="1" x14ac:dyDescent="0.25">
      <c r="B52" s="112" t="s">
        <v>148</v>
      </c>
      <c r="C52" s="113" t="s">
        <v>129</v>
      </c>
      <c r="D52" s="113" t="s">
        <v>108</v>
      </c>
      <c r="E52" s="114">
        <v>36800</v>
      </c>
      <c r="F52" s="114">
        <v>36830</v>
      </c>
      <c r="G52" s="112" t="s">
        <v>130</v>
      </c>
      <c r="H52" s="112" t="s">
        <v>108</v>
      </c>
      <c r="I52" s="113" t="s">
        <v>107</v>
      </c>
      <c r="J52" s="116">
        <f>11.95/J1</f>
        <v>0.38548387096774189</v>
      </c>
      <c r="K52" s="117">
        <v>0</v>
      </c>
      <c r="L52" s="117">
        <v>2.2000000000000001E-3</v>
      </c>
      <c r="M52" s="117">
        <v>7.1999999999999998E-3</v>
      </c>
      <c r="N52" s="117">
        <v>0</v>
      </c>
      <c r="O52" s="118">
        <v>2.2200000000000001E-2</v>
      </c>
      <c r="P52" s="117">
        <f>SUM(J52:N52)</f>
        <v>0.39488387096774186</v>
      </c>
      <c r="Q52" s="119">
        <v>34862</v>
      </c>
      <c r="R52" s="113">
        <v>1187</v>
      </c>
      <c r="S52" s="112" t="s">
        <v>53</v>
      </c>
      <c r="T52" s="120">
        <f>J52*J$1*R52</f>
        <v>14184.65</v>
      </c>
      <c r="U52" s="120"/>
      <c r="V52" s="121">
        <v>418362</v>
      </c>
      <c r="W52" s="112" t="s">
        <v>111</v>
      </c>
      <c r="X52" s="122"/>
      <c r="Y52" s="122"/>
    </row>
    <row r="53" spans="2:25" s="123" customFormat="1" x14ac:dyDescent="0.25">
      <c r="B53" s="112" t="s">
        <v>148</v>
      </c>
      <c r="C53" s="113" t="s">
        <v>129</v>
      </c>
      <c r="D53" s="113" t="s">
        <v>108</v>
      </c>
      <c r="E53" s="114">
        <v>36770</v>
      </c>
      <c r="F53" s="114">
        <v>36829</v>
      </c>
      <c r="G53" s="112" t="s">
        <v>130</v>
      </c>
      <c r="H53" s="112" t="s">
        <v>108</v>
      </c>
      <c r="I53" s="113" t="s">
        <v>107</v>
      </c>
      <c r="J53" s="116">
        <f>7.36/J1</f>
        <v>0.23741935483870968</v>
      </c>
      <c r="K53" s="117">
        <v>0</v>
      </c>
      <c r="L53" s="117">
        <v>2.2000000000000001E-3</v>
      </c>
      <c r="M53" s="117">
        <v>7.1999999999999998E-3</v>
      </c>
      <c r="N53" s="117">
        <v>0</v>
      </c>
      <c r="O53" s="118">
        <v>2.2200000000000001E-2</v>
      </c>
      <c r="P53" s="117">
        <f>SUM(J53:N53)</f>
        <v>0.2468193548387097</v>
      </c>
      <c r="Q53" s="119">
        <v>34594</v>
      </c>
      <c r="R53" s="113">
        <v>2738</v>
      </c>
      <c r="S53" s="112" t="s">
        <v>53</v>
      </c>
      <c r="T53" s="120">
        <f>J53*J$1*R53</f>
        <v>20151.68</v>
      </c>
      <c r="U53" s="120"/>
      <c r="V53" s="121">
        <v>379663</v>
      </c>
      <c r="W53" s="112"/>
      <c r="X53" s="122"/>
      <c r="Y53" s="122"/>
    </row>
    <row r="54" spans="2:25" s="123" customFormat="1" x14ac:dyDescent="0.25">
      <c r="B54" s="112" t="s">
        <v>148</v>
      </c>
      <c r="C54" s="113" t="s">
        <v>33</v>
      </c>
      <c r="D54" s="113" t="s">
        <v>108</v>
      </c>
      <c r="E54" s="114">
        <v>36770</v>
      </c>
      <c r="F54" s="114">
        <v>36830</v>
      </c>
      <c r="G54" s="112" t="s">
        <v>158</v>
      </c>
      <c r="H54" s="112"/>
      <c r="I54" s="113" t="s">
        <v>159</v>
      </c>
      <c r="J54" s="116">
        <v>2.4799999999999999E-2</v>
      </c>
      <c r="K54" s="117"/>
      <c r="L54" s="117"/>
      <c r="M54" s="117"/>
      <c r="N54" s="117"/>
      <c r="O54" s="118"/>
      <c r="P54" s="117"/>
      <c r="Q54" s="119">
        <v>34614</v>
      </c>
      <c r="R54" s="113">
        <v>146488</v>
      </c>
      <c r="S54" s="112"/>
      <c r="T54" s="120">
        <f>J54*R54</f>
        <v>3632.9023999999999</v>
      </c>
      <c r="U54" s="120"/>
      <c r="V54" s="121">
        <v>379889</v>
      </c>
      <c r="W54" s="112"/>
      <c r="X54" s="122"/>
      <c r="Y54" s="122"/>
    </row>
    <row r="55" spans="2:25" s="123" customFormat="1" ht="13.5" customHeight="1" x14ac:dyDescent="0.25">
      <c r="B55" s="112" t="s">
        <v>148</v>
      </c>
      <c r="C55" s="113" t="s">
        <v>33</v>
      </c>
      <c r="D55" s="113" t="s">
        <v>108</v>
      </c>
      <c r="E55" s="114">
        <v>36770</v>
      </c>
      <c r="F55" s="114">
        <v>36830</v>
      </c>
      <c r="G55" s="112" t="s">
        <v>158</v>
      </c>
      <c r="H55" s="112"/>
      <c r="I55" s="113" t="s">
        <v>159</v>
      </c>
      <c r="J55" s="116">
        <f>2.02/J1</f>
        <v>6.5161290322580639E-2</v>
      </c>
      <c r="K55" s="117"/>
      <c r="L55" s="117"/>
      <c r="M55" s="117"/>
      <c r="N55" s="117"/>
      <c r="O55" s="118"/>
      <c r="P55" s="117"/>
      <c r="Q55" s="119">
        <v>34614</v>
      </c>
      <c r="R55" s="113">
        <v>979</v>
      </c>
      <c r="S55" s="112"/>
      <c r="T55" s="120">
        <f>J55*J$1*R55</f>
        <v>1977.58</v>
      </c>
      <c r="U55" s="120"/>
      <c r="V55" s="121">
        <v>379889</v>
      </c>
      <c r="W55" s="112"/>
      <c r="X55" s="122"/>
      <c r="Y55" s="122"/>
    </row>
    <row r="56" spans="2:25" s="123" customFormat="1" x14ac:dyDescent="0.25">
      <c r="B56" s="112" t="s">
        <v>148</v>
      </c>
      <c r="C56" s="113" t="s">
        <v>33</v>
      </c>
      <c r="D56" s="113" t="s">
        <v>108</v>
      </c>
      <c r="E56" s="114">
        <v>36800</v>
      </c>
      <c r="F56" s="114">
        <v>36830</v>
      </c>
      <c r="G56" s="112" t="s">
        <v>158</v>
      </c>
      <c r="H56" s="112"/>
      <c r="I56" s="113" t="s">
        <v>159</v>
      </c>
      <c r="J56" s="116">
        <v>2.4799999999999999E-2</v>
      </c>
      <c r="K56" s="117"/>
      <c r="L56" s="117"/>
      <c r="M56" s="117"/>
      <c r="N56" s="117"/>
      <c r="O56" s="118"/>
      <c r="P56" s="117"/>
      <c r="Q56" s="119">
        <v>34889</v>
      </c>
      <c r="R56" s="113">
        <v>63495</v>
      </c>
      <c r="S56" s="112"/>
      <c r="T56" s="120">
        <f>J56*R56</f>
        <v>1574.6759999999999</v>
      </c>
      <c r="U56" s="120"/>
      <c r="V56" s="121">
        <v>441742</v>
      </c>
      <c r="W56" s="112" t="s">
        <v>111</v>
      </c>
      <c r="X56" s="122"/>
      <c r="Y56" s="122"/>
    </row>
    <row r="57" spans="2:25" s="123" customFormat="1" x14ac:dyDescent="0.25">
      <c r="B57" s="112" t="s">
        <v>148</v>
      </c>
      <c r="C57" s="113" t="s">
        <v>33</v>
      </c>
      <c r="D57" s="113" t="s">
        <v>108</v>
      </c>
      <c r="E57" s="114">
        <v>36800</v>
      </c>
      <c r="F57" s="114">
        <v>36830</v>
      </c>
      <c r="G57" s="112" t="s">
        <v>158</v>
      </c>
      <c r="H57" s="112"/>
      <c r="I57" s="113" t="s">
        <v>159</v>
      </c>
      <c r="J57" s="116">
        <f>2.02/J1</f>
        <v>6.5161290322580639E-2</v>
      </c>
      <c r="K57" s="117"/>
      <c r="L57" s="117"/>
      <c r="M57" s="117"/>
      <c r="N57" s="117"/>
      <c r="O57" s="118"/>
      <c r="P57" s="117"/>
      <c r="Q57" s="119">
        <v>34889</v>
      </c>
      <c r="R57" s="113">
        <v>423</v>
      </c>
      <c r="S57" s="112"/>
      <c r="T57" s="120">
        <f>J57*J$1*R57</f>
        <v>854.46</v>
      </c>
      <c r="U57" s="120"/>
      <c r="V57" s="121">
        <v>441742</v>
      </c>
      <c r="W57" s="112" t="s">
        <v>111</v>
      </c>
      <c r="X57" s="122"/>
      <c r="Y57" s="122"/>
    </row>
    <row r="58" spans="2:25" s="123" customFormat="1" x14ac:dyDescent="0.25">
      <c r="B58" s="112" t="s">
        <v>148</v>
      </c>
      <c r="C58" s="113" t="s">
        <v>33</v>
      </c>
      <c r="D58" s="113" t="s">
        <v>108</v>
      </c>
      <c r="E58" s="114">
        <v>36800</v>
      </c>
      <c r="F58" s="114">
        <v>36830</v>
      </c>
      <c r="G58" s="112" t="s">
        <v>174</v>
      </c>
      <c r="H58" s="112"/>
      <c r="I58" s="113" t="s">
        <v>175</v>
      </c>
      <c r="J58" s="116">
        <v>1.8700000000000001E-2</v>
      </c>
      <c r="K58" s="117"/>
      <c r="L58" s="117"/>
      <c r="M58" s="117"/>
      <c r="N58" s="117"/>
      <c r="O58" s="118"/>
      <c r="P58" s="117"/>
      <c r="Q58" s="119">
        <v>34871</v>
      </c>
      <c r="R58" s="125">
        <v>22787</v>
      </c>
      <c r="S58" s="112"/>
      <c r="T58" s="120">
        <f>+R58*J58</f>
        <v>426.11690000000004</v>
      </c>
      <c r="U58" s="120"/>
      <c r="V58" s="121">
        <v>387950</v>
      </c>
      <c r="W58" s="112" t="s">
        <v>111</v>
      </c>
      <c r="X58" s="122"/>
      <c r="Y58" s="122"/>
    </row>
    <row r="59" spans="2:25" s="123" customFormat="1" x14ac:dyDescent="0.25">
      <c r="B59" s="112" t="s">
        <v>148</v>
      </c>
      <c r="C59" s="113" t="s">
        <v>33</v>
      </c>
      <c r="D59" s="113" t="s">
        <v>108</v>
      </c>
      <c r="E59" s="114">
        <v>36800</v>
      </c>
      <c r="F59" s="114">
        <v>36830</v>
      </c>
      <c r="G59" s="112" t="s">
        <v>174</v>
      </c>
      <c r="H59" s="112"/>
      <c r="I59" s="113" t="s">
        <v>175</v>
      </c>
      <c r="J59" s="116">
        <f>1.17/J1</f>
        <v>3.7741935483870968E-2</v>
      </c>
      <c r="K59" s="117"/>
      <c r="L59" s="117"/>
      <c r="M59" s="117"/>
      <c r="N59" s="117"/>
      <c r="O59" s="118"/>
      <c r="P59" s="117"/>
      <c r="Q59" s="119">
        <v>34871</v>
      </c>
      <c r="R59" s="125">
        <v>152</v>
      </c>
      <c r="S59" s="112"/>
      <c r="T59" s="120">
        <f>+R59*J59*31</f>
        <v>177.84</v>
      </c>
      <c r="U59" s="120"/>
      <c r="V59" s="121">
        <v>387950</v>
      </c>
      <c r="W59" s="112" t="s">
        <v>111</v>
      </c>
      <c r="X59" s="122"/>
      <c r="Y59" s="122"/>
    </row>
    <row r="60" spans="2:25" s="123" customFormat="1" x14ac:dyDescent="0.25">
      <c r="B60" s="112" t="s">
        <v>148</v>
      </c>
      <c r="C60" s="113" t="s">
        <v>33</v>
      </c>
      <c r="D60" s="113" t="s">
        <v>108</v>
      </c>
      <c r="E60" s="114">
        <v>36770</v>
      </c>
      <c r="F60" s="114">
        <v>36830</v>
      </c>
      <c r="G60" s="112" t="s">
        <v>174</v>
      </c>
      <c r="H60" s="112"/>
      <c r="I60" s="113" t="s">
        <v>175</v>
      </c>
      <c r="J60" s="116">
        <v>1.8700000000000001E-2</v>
      </c>
      <c r="K60" s="117"/>
      <c r="L60" s="117"/>
      <c r="M60" s="117"/>
      <c r="N60" s="117"/>
      <c r="O60" s="118"/>
      <c r="P60" s="117"/>
      <c r="Q60" s="119">
        <v>34576</v>
      </c>
      <c r="R60" s="125">
        <v>52573</v>
      </c>
      <c r="S60" s="112"/>
      <c r="T60" s="120">
        <f>+R60*J60</f>
        <v>983.1151000000001</v>
      </c>
      <c r="U60" s="120"/>
      <c r="V60" s="121">
        <v>379856</v>
      </c>
      <c r="W60" s="112"/>
      <c r="X60" s="122"/>
      <c r="Y60" s="122"/>
    </row>
    <row r="61" spans="2:25" s="123" customFormat="1" x14ac:dyDescent="0.25">
      <c r="B61" s="112" t="s">
        <v>148</v>
      </c>
      <c r="C61" s="113" t="s">
        <v>33</v>
      </c>
      <c r="D61" s="113" t="s">
        <v>108</v>
      </c>
      <c r="E61" s="114">
        <v>36770</v>
      </c>
      <c r="F61" s="114">
        <v>36830</v>
      </c>
      <c r="G61" s="112" t="s">
        <v>174</v>
      </c>
      <c r="H61" s="112"/>
      <c r="I61" s="113" t="s">
        <v>175</v>
      </c>
      <c r="J61" s="116">
        <v>1.17</v>
      </c>
      <c r="K61" s="117"/>
      <c r="L61" s="117"/>
      <c r="M61" s="117"/>
      <c r="N61" s="117"/>
      <c r="O61" s="118"/>
      <c r="P61" s="117"/>
      <c r="Q61" s="119">
        <v>34576</v>
      </c>
      <c r="R61" s="125">
        <v>389</v>
      </c>
      <c r="S61" s="112"/>
      <c r="T61" s="120">
        <f>+R61*J61</f>
        <v>455.13</v>
      </c>
      <c r="U61" s="120"/>
      <c r="V61" s="121">
        <v>379856</v>
      </c>
      <c r="W61" s="112"/>
      <c r="X61" s="122"/>
      <c r="Y61" s="122"/>
    </row>
    <row r="62" spans="2:25" x14ac:dyDescent="0.25">
      <c r="B62" s="1"/>
      <c r="C62" s="3"/>
      <c r="D62" s="3"/>
      <c r="E62" s="4"/>
      <c r="F62" s="4"/>
      <c r="G62" s="1"/>
      <c r="H62" s="1"/>
      <c r="I62" s="3"/>
      <c r="J62" s="8"/>
      <c r="K62" s="5"/>
      <c r="L62" s="23"/>
      <c r="M62" s="5"/>
      <c r="N62" s="5"/>
      <c r="O62" s="41"/>
      <c r="P62" s="5"/>
      <c r="Q62" s="24"/>
      <c r="R62" s="2"/>
      <c r="S62" s="3"/>
      <c r="T62" s="9"/>
      <c r="U62" s="9"/>
      <c r="V62" s="54"/>
      <c r="W62" s="1"/>
      <c r="X62" s="36"/>
      <c r="Y62" s="36"/>
    </row>
    <row r="63" spans="2:25" x14ac:dyDescent="0.25">
      <c r="B63" s="1"/>
      <c r="C63" s="3"/>
      <c r="D63" s="3"/>
      <c r="E63" s="4"/>
      <c r="F63" s="4"/>
      <c r="G63" s="1"/>
      <c r="H63" s="1"/>
      <c r="I63" s="3"/>
      <c r="J63" s="8"/>
      <c r="K63" s="5"/>
      <c r="L63" s="23"/>
      <c r="M63" s="5"/>
      <c r="N63" s="5"/>
      <c r="O63" s="44"/>
      <c r="P63" s="5"/>
      <c r="Q63" s="24"/>
      <c r="R63" s="3"/>
      <c r="S63" s="3"/>
      <c r="T63" s="68">
        <f>SUM(T50:T62)</f>
        <v>61935.590400000001</v>
      </c>
      <c r="W63" s="29"/>
      <c r="X63" s="37"/>
      <c r="Y63" s="37"/>
    </row>
    <row r="64" spans="2:25" ht="11.25" customHeight="1" x14ac:dyDescent="0.25">
      <c r="B64" s="16" t="s">
        <v>35</v>
      </c>
      <c r="C64" s="17" t="s">
        <v>36</v>
      </c>
      <c r="D64" s="17" t="s">
        <v>37</v>
      </c>
      <c r="E64" s="18" t="s">
        <v>38</v>
      </c>
      <c r="F64" s="18"/>
      <c r="G64" s="16" t="s">
        <v>39</v>
      </c>
      <c r="H64" s="16" t="s">
        <v>40</v>
      </c>
      <c r="I64" s="17" t="s">
        <v>73</v>
      </c>
      <c r="J64" s="19" t="s">
        <v>41</v>
      </c>
      <c r="K64" s="17" t="s">
        <v>42</v>
      </c>
      <c r="L64" s="17" t="s">
        <v>43</v>
      </c>
      <c r="M64" s="17" t="s">
        <v>44</v>
      </c>
      <c r="N64" s="17" t="s">
        <v>45</v>
      </c>
      <c r="O64" s="42" t="s">
        <v>46</v>
      </c>
      <c r="P64" s="17" t="s">
        <v>47</v>
      </c>
      <c r="Q64" s="20" t="s">
        <v>146</v>
      </c>
      <c r="R64" s="17" t="s">
        <v>48</v>
      </c>
      <c r="S64" s="16" t="s">
        <v>49</v>
      </c>
      <c r="T64" s="21" t="s">
        <v>72</v>
      </c>
      <c r="U64" s="21" t="s">
        <v>71</v>
      </c>
      <c r="V64" s="52" t="s">
        <v>147</v>
      </c>
      <c r="W64" s="56" t="e">
        <f>+#REF!</f>
        <v>#REF!</v>
      </c>
      <c r="X64" s="36"/>
      <c r="Y64" s="36"/>
    </row>
    <row r="65" spans="2:25" s="150" customFormat="1" x14ac:dyDescent="0.25">
      <c r="B65" s="139" t="s">
        <v>148</v>
      </c>
      <c r="C65" s="140" t="s">
        <v>32</v>
      </c>
      <c r="D65" s="140" t="s">
        <v>108</v>
      </c>
      <c r="E65" s="141">
        <v>36770</v>
      </c>
      <c r="F65" s="141">
        <v>37894</v>
      </c>
      <c r="G65" s="139" t="s">
        <v>56</v>
      </c>
      <c r="H65" s="151" t="s">
        <v>119</v>
      </c>
      <c r="I65" s="140" t="s">
        <v>116</v>
      </c>
      <c r="J65" s="142">
        <f>7.5654/J$1</f>
        <v>0.24404516129032258</v>
      </c>
      <c r="K65" s="143">
        <v>0</v>
      </c>
      <c r="L65" s="143">
        <v>2.2000000000000001E-3</v>
      </c>
      <c r="M65" s="143">
        <v>0</v>
      </c>
      <c r="N65" s="143">
        <v>0</v>
      </c>
      <c r="O65" s="144">
        <v>0</v>
      </c>
      <c r="P65" s="143">
        <f t="shared" ref="P65:P74" si="3">SUM(J65:N65)</f>
        <v>0.24624516129032259</v>
      </c>
      <c r="Q65" s="166">
        <v>3.6673</v>
      </c>
      <c r="R65" s="140">
        <v>764</v>
      </c>
      <c r="S65" s="139" t="s">
        <v>322</v>
      </c>
      <c r="T65" s="147">
        <f t="shared" ref="T65:T74" si="4">J65*J$1*R65</f>
        <v>5779.9656000000004</v>
      </c>
      <c r="U65" s="147"/>
      <c r="V65" s="148">
        <v>375520</v>
      </c>
      <c r="W65" s="139"/>
      <c r="X65" s="149"/>
      <c r="Y65" s="149"/>
    </row>
    <row r="66" spans="2:25" s="150" customFormat="1" x14ac:dyDescent="0.25">
      <c r="B66" s="139" t="s">
        <v>148</v>
      </c>
      <c r="C66" s="140" t="s">
        <v>32</v>
      </c>
      <c r="D66" s="140" t="s">
        <v>108</v>
      </c>
      <c r="E66" s="141">
        <v>36770</v>
      </c>
      <c r="F66" s="141">
        <v>37894</v>
      </c>
      <c r="G66" s="139" t="s">
        <v>117</v>
      </c>
      <c r="H66" s="151" t="s">
        <v>119</v>
      </c>
      <c r="I66" s="140" t="s">
        <v>116</v>
      </c>
      <c r="J66" s="142">
        <f>+J65</f>
        <v>0.24404516129032258</v>
      </c>
      <c r="K66" s="143">
        <v>0</v>
      </c>
      <c r="L66" s="143">
        <v>2.2000000000000001E-3</v>
      </c>
      <c r="M66" s="143">
        <v>0</v>
      </c>
      <c r="N66" s="143">
        <v>0</v>
      </c>
      <c r="O66" s="144">
        <v>0</v>
      </c>
      <c r="P66" s="143">
        <f t="shared" si="3"/>
        <v>0.24624516129032259</v>
      </c>
      <c r="Q66" s="166">
        <f>+Q65</f>
        <v>3.6673</v>
      </c>
      <c r="R66" s="140">
        <v>1123</v>
      </c>
      <c r="S66" s="139" t="str">
        <f>+S65</f>
        <v>#021351</v>
      </c>
      <c r="T66" s="147">
        <f t="shared" si="4"/>
        <v>8495.9441999999999</v>
      </c>
      <c r="U66" s="147"/>
      <c r="V66" s="148">
        <f>+V65</f>
        <v>375520</v>
      </c>
      <c r="W66" s="139"/>
      <c r="X66" s="149"/>
      <c r="Y66" s="149"/>
    </row>
    <row r="67" spans="2:25" s="150" customFormat="1" x14ac:dyDescent="0.25">
      <c r="B67" s="139" t="s">
        <v>148</v>
      </c>
      <c r="C67" s="140" t="s">
        <v>32</v>
      </c>
      <c r="D67" s="140" t="s">
        <v>108</v>
      </c>
      <c r="E67" s="141">
        <v>36770</v>
      </c>
      <c r="F67" s="141">
        <v>37894</v>
      </c>
      <c r="G67" s="139" t="s">
        <v>118</v>
      </c>
      <c r="H67" s="151" t="s">
        <v>119</v>
      </c>
      <c r="I67" s="140" t="s">
        <v>116</v>
      </c>
      <c r="J67" s="142">
        <f>+J66</f>
        <v>0.24404516129032258</v>
      </c>
      <c r="K67" s="143">
        <v>0</v>
      </c>
      <c r="L67" s="143">
        <v>2.2000000000000001E-3</v>
      </c>
      <c r="M67" s="143">
        <v>0</v>
      </c>
      <c r="N67" s="143">
        <v>0</v>
      </c>
      <c r="O67" s="144">
        <v>0</v>
      </c>
      <c r="P67" s="143">
        <f t="shared" si="3"/>
        <v>0.24624516129032259</v>
      </c>
      <c r="Q67" s="166">
        <f>+Q66</f>
        <v>3.6673</v>
      </c>
      <c r="R67" s="140">
        <f>853+1752</f>
        <v>2605</v>
      </c>
      <c r="S67" s="139" t="str">
        <f>+S66</f>
        <v>#021351</v>
      </c>
      <c r="T67" s="147">
        <f t="shared" si="4"/>
        <v>19707.867000000002</v>
      </c>
      <c r="U67" s="147"/>
      <c r="V67" s="148">
        <f>+V66</f>
        <v>375520</v>
      </c>
      <c r="W67" s="139"/>
      <c r="X67" s="149"/>
      <c r="Y67" s="149"/>
    </row>
    <row r="68" spans="2:25" s="150" customFormat="1" x14ac:dyDescent="0.25">
      <c r="B68" s="139" t="s">
        <v>148</v>
      </c>
      <c r="C68" s="140" t="s">
        <v>32</v>
      </c>
      <c r="D68" s="140" t="s">
        <v>108</v>
      </c>
      <c r="E68" s="141">
        <v>36800</v>
      </c>
      <c r="F68" s="141">
        <v>36830</v>
      </c>
      <c r="G68" s="139" t="s">
        <v>56</v>
      </c>
      <c r="H68" s="151" t="s">
        <v>119</v>
      </c>
      <c r="I68" s="140" t="s">
        <v>116</v>
      </c>
      <c r="J68" s="142">
        <f t="shared" ref="J68:J73" si="5">7.5654/J$1</f>
        <v>0.24404516129032258</v>
      </c>
      <c r="K68" s="143">
        <v>0</v>
      </c>
      <c r="L68" s="143">
        <v>2.2000000000000001E-3</v>
      </c>
      <c r="M68" s="143">
        <v>0</v>
      </c>
      <c r="N68" s="143">
        <v>0</v>
      </c>
      <c r="O68" s="144">
        <v>0</v>
      </c>
      <c r="P68" s="143">
        <f>SUM(J68:N68)</f>
        <v>0.24624516129032259</v>
      </c>
      <c r="Q68" s="166">
        <v>3.6945999999999999</v>
      </c>
      <c r="R68" s="158">
        <v>20</v>
      </c>
      <c r="S68" s="139" t="s">
        <v>345</v>
      </c>
      <c r="T68" s="147">
        <f>J68*J$1*R68</f>
        <v>151.30799999999999</v>
      </c>
      <c r="U68" s="147"/>
      <c r="V68" s="148">
        <v>418202</v>
      </c>
      <c r="W68" s="139"/>
      <c r="X68" s="149"/>
      <c r="Y68" s="149"/>
    </row>
    <row r="69" spans="2:25" s="150" customFormat="1" x14ac:dyDescent="0.25">
      <c r="B69" s="139" t="s">
        <v>148</v>
      </c>
      <c r="C69" s="140" t="s">
        <v>32</v>
      </c>
      <c r="D69" s="140" t="s">
        <v>108</v>
      </c>
      <c r="E69" s="141">
        <v>36800</v>
      </c>
      <c r="F69" s="141">
        <v>36830</v>
      </c>
      <c r="G69" s="139" t="s">
        <v>117</v>
      </c>
      <c r="H69" s="151" t="s">
        <v>119</v>
      </c>
      <c r="I69" s="140" t="s">
        <v>116</v>
      </c>
      <c r="J69" s="142">
        <f t="shared" si="5"/>
        <v>0.24404516129032258</v>
      </c>
      <c r="K69" s="143">
        <v>0</v>
      </c>
      <c r="L69" s="143">
        <v>2.2000000000000001E-3</v>
      </c>
      <c r="M69" s="143">
        <v>0</v>
      </c>
      <c r="N69" s="143">
        <v>0</v>
      </c>
      <c r="O69" s="144">
        <v>0</v>
      </c>
      <c r="P69" s="143">
        <f>SUM(J69:N69)</f>
        <v>0.24624516129032259</v>
      </c>
      <c r="Q69" s="166">
        <v>3.6945999999999999</v>
      </c>
      <c r="R69" s="140">
        <v>29</v>
      </c>
      <c r="S69" s="139" t="str">
        <f>+S68</f>
        <v>#021608</v>
      </c>
      <c r="T69" s="147">
        <f>J69*J$1*R69</f>
        <v>219.39660000000001</v>
      </c>
      <c r="U69" s="147"/>
      <c r="V69" s="148">
        <v>418202</v>
      </c>
      <c r="W69" s="139"/>
      <c r="X69" s="149"/>
      <c r="Y69" s="149"/>
    </row>
    <row r="70" spans="2:25" s="150" customFormat="1" x14ac:dyDescent="0.25">
      <c r="B70" s="139" t="s">
        <v>148</v>
      </c>
      <c r="C70" s="140" t="s">
        <v>32</v>
      </c>
      <c r="D70" s="140" t="s">
        <v>108</v>
      </c>
      <c r="E70" s="141">
        <v>36800</v>
      </c>
      <c r="F70" s="141" t="s">
        <v>344</v>
      </c>
      <c r="G70" s="139" t="s">
        <v>118</v>
      </c>
      <c r="H70" s="151" t="s">
        <v>119</v>
      </c>
      <c r="I70" s="140" t="s">
        <v>116</v>
      </c>
      <c r="J70" s="142">
        <f t="shared" si="5"/>
        <v>0.24404516129032258</v>
      </c>
      <c r="K70" s="143">
        <v>0</v>
      </c>
      <c r="L70" s="143">
        <v>2.2000000000000001E-3</v>
      </c>
      <c r="M70" s="143">
        <v>0</v>
      </c>
      <c r="N70" s="143">
        <v>0</v>
      </c>
      <c r="O70" s="144">
        <v>0</v>
      </c>
      <c r="P70" s="143">
        <f>SUM(J70:N70)</f>
        <v>0.24624516129032259</v>
      </c>
      <c r="Q70" s="166">
        <v>3.6945999999999999</v>
      </c>
      <c r="R70" s="140">
        <f>22+46</f>
        <v>68</v>
      </c>
      <c r="S70" s="139" t="str">
        <f>+S69</f>
        <v>#021608</v>
      </c>
      <c r="T70" s="147">
        <f>J70*J$1*R70</f>
        <v>514.44720000000007</v>
      </c>
      <c r="U70" s="147"/>
      <c r="V70" s="148">
        <v>418202</v>
      </c>
      <c r="W70" s="139"/>
      <c r="X70" s="149"/>
      <c r="Y70" s="149"/>
    </row>
    <row r="71" spans="2:25" s="150" customFormat="1" x14ac:dyDescent="0.25">
      <c r="B71" s="139" t="s">
        <v>148</v>
      </c>
      <c r="C71" s="140" t="s">
        <v>32</v>
      </c>
      <c r="D71" s="140" t="s">
        <v>108</v>
      </c>
      <c r="E71" s="141">
        <v>36770</v>
      </c>
      <c r="F71" s="141">
        <v>37864</v>
      </c>
      <c r="G71" s="139" t="s">
        <v>56</v>
      </c>
      <c r="H71" s="151" t="s">
        <v>119</v>
      </c>
      <c r="I71" s="140" t="s">
        <v>116</v>
      </c>
      <c r="J71" s="142">
        <f t="shared" si="5"/>
        <v>0.24404516129032258</v>
      </c>
      <c r="K71" s="143">
        <v>0</v>
      </c>
      <c r="L71" s="143">
        <v>2.2000000000000001E-3</v>
      </c>
      <c r="M71" s="143">
        <v>0</v>
      </c>
      <c r="N71" s="143">
        <v>0</v>
      </c>
      <c r="O71" s="144">
        <v>0</v>
      </c>
      <c r="P71" s="143">
        <f t="shared" si="3"/>
        <v>0.24624516129032259</v>
      </c>
      <c r="Q71" s="166">
        <v>3.6675</v>
      </c>
      <c r="R71" s="158">
        <v>46</v>
      </c>
      <c r="S71" s="139" t="s">
        <v>320</v>
      </c>
      <c r="T71" s="147">
        <f t="shared" si="4"/>
        <v>348.00839999999999</v>
      </c>
      <c r="U71" s="147"/>
      <c r="V71" s="148">
        <v>375532</v>
      </c>
      <c r="W71" s="139"/>
      <c r="X71" s="149"/>
      <c r="Y71" s="149"/>
    </row>
    <row r="72" spans="2:25" s="150" customFormat="1" x14ac:dyDescent="0.25">
      <c r="B72" s="139" t="s">
        <v>148</v>
      </c>
      <c r="C72" s="140" t="s">
        <v>32</v>
      </c>
      <c r="D72" s="140" t="s">
        <v>108</v>
      </c>
      <c r="E72" s="141">
        <v>36770</v>
      </c>
      <c r="F72" s="141">
        <v>37864</v>
      </c>
      <c r="G72" s="139" t="s">
        <v>117</v>
      </c>
      <c r="H72" s="151" t="s">
        <v>119</v>
      </c>
      <c r="I72" s="140" t="s">
        <v>116</v>
      </c>
      <c r="J72" s="142">
        <f t="shared" si="5"/>
        <v>0.24404516129032258</v>
      </c>
      <c r="K72" s="143">
        <v>0</v>
      </c>
      <c r="L72" s="143">
        <v>2.2000000000000001E-3</v>
      </c>
      <c r="M72" s="143">
        <v>0</v>
      </c>
      <c r="N72" s="143">
        <v>0</v>
      </c>
      <c r="O72" s="144">
        <v>0</v>
      </c>
      <c r="P72" s="143">
        <f t="shared" si="3"/>
        <v>0.24624516129032259</v>
      </c>
      <c r="Q72" s="166">
        <f>+Q71</f>
        <v>3.6675</v>
      </c>
      <c r="R72" s="140">
        <v>68</v>
      </c>
      <c r="S72" s="139" t="str">
        <f>+S71</f>
        <v>#021349</v>
      </c>
      <c r="T72" s="147">
        <f t="shared" si="4"/>
        <v>514.44720000000007</v>
      </c>
      <c r="U72" s="147"/>
      <c r="V72" s="148">
        <v>375532</v>
      </c>
      <c r="W72" s="139"/>
      <c r="X72" s="149"/>
      <c r="Y72" s="149"/>
    </row>
    <row r="73" spans="2:25" s="150" customFormat="1" x14ac:dyDescent="0.25">
      <c r="B73" s="139" t="s">
        <v>148</v>
      </c>
      <c r="C73" s="140" t="s">
        <v>32</v>
      </c>
      <c r="D73" s="140" t="s">
        <v>108</v>
      </c>
      <c r="E73" s="141">
        <v>36770</v>
      </c>
      <c r="F73" s="141">
        <v>37864</v>
      </c>
      <c r="G73" s="139" t="s">
        <v>118</v>
      </c>
      <c r="H73" s="151" t="s">
        <v>119</v>
      </c>
      <c r="I73" s="140" t="s">
        <v>116</v>
      </c>
      <c r="J73" s="142">
        <f t="shared" si="5"/>
        <v>0.24404516129032258</v>
      </c>
      <c r="K73" s="143">
        <v>0</v>
      </c>
      <c r="L73" s="143">
        <v>2.2000000000000001E-3</v>
      </c>
      <c r="M73" s="143">
        <v>0</v>
      </c>
      <c r="N73" s="143">
        <v>0</v>
      </c>
      <c r="O73" s="144">
        <v>0</v>
      </c>
      <c r="P73" s="143">
        <f t="shared" si="3"/>
        <v>0.24624516129032259</v>
      </c>
      <c r="Q73" s="166">
        <f>+Q72</f>
        <v>3.6675</v>
      </c>
      <c r="R73" s="140">
        <f>51+105</f>
        <v>156</v>
      </c>
      <c r="S73" s="139" t="str">
        <f>+S72</f>
        <v>#021349</v>
      </c>
      <c r="T73" s="147">
        <f t="shared" si="4"/>
        <v>1180.2024000000001</v>
      </c>
      <c r="U73" s="147"/>
      <c r="V73" s="148">
        <v>375532</v>
      </c>
      <c r="W73" s="139"/>
      <c r="X73" s="149"/>
      <c r="Y73" s="149"/>
    </row>
    <row r="74" spans="2:25" s="150" customFormat="1" x14ac:dyDescent="0.25">
      <c r="B74" s="139" t="s">
        <v>148</v>
      </c>
      <c r="C74" s="140" t="s">
        <v>32</v>
      </c>
      <c r="D74" s="140" t="s">
        <v>108</v>
      </c>
      <c r="E74" s="141">
        <v>36770</v>
      </c>
      <c r="F74" s="141">
        <v>37864</v>
      </c>
      <c r="G74" s="139" t="s">
        <v>120</v>
      </c>
      <c r="H74" s="151" t="s">
        <v>119</v>
      </c>
      <c r="I74" s="140" t="s">
        <v>121</v>
      </c>
      <c r="J74" s="142">
        <f>14.1875/30</f>
        <v>0.47291666666666665</v>
      </c>
      <c r="K74" s="143">
        <v>0</v>
      </c>
      <c r="L74" s="143">
        <v>2.2000000000000001E-3</v>
      </c>
      <c r="M74" s="143">
        <v>0</v>
      </c>
      <c r="N74" s="143">
        <v>0</v>
      </c>
      <c r="O74" s="144">
        <v>0</v>
      </c>
      <c r="P74" s="143">
        <f t="shared" si="3"/>
        <v>0.47511666666666663</v>
      </c>
      <c r="Q74" s="155">
        <v>3.6674000000000002</v>
      </c>
      <c r="R74" s="140">
        <v>3575</v>
      </c>
      <c r="S74" s="139" t="s">
        <v>321</v>
      </c>
      <c r="T74" s="147">
        <f t="shared" si="4"/>
        <v>52410.989583333336</v>
      </c>
      <c r="U74" s="147"/>
      <c r="V74" s="148">
        <v>375527</v>
      </c>
      <c r="W74" s="139"/>
      <c r="X74" s="149"/>
      <c r="Y74" s="149"/>
    </row>
    <row r="75" spans="2:25" s="150" customFormat="1" x14ac:dyDescent="0.25">
      <c r="B75" s="139" t="s">
        <v>148</v>
      </c>
      <c r="C75" s="140" t="s">
        <v>32</v>
      </c>
      <c r="D75" s="140" t="s">
        <v>108</v>
      </c>
      <c r="E75" s="141">
        <v>36800</v>
      </c>
      <c r="F75" s="141">
        <v>36830</v>
      </c>
      <c r="G75" s="139" t="s">
        <v>120</v>
      </c>
      <c r="H75" s="151" t="s">
        <v>119</v>
      </c>
      <c r="I75" s="140" t="s">
        <v>121</v>
      </c>
      <c r="J75" s="142">
        <f>14.1875/30</f>
        <v>0.47291666666666665</v>
      </c>
      <c r="K75" s="143">
        <v>0</v>
      </c>
      <c r="L75" s="143">
        <v>2.2000000000000001E-3</v>
      </c>
      <c r="M75" s="143">
        <v>0</v>
      </c>
      <c r="N75" s="143">
        <v>0</v>
      </c>
      <c r="O75" s="144">
        <v>0</v>
      </c>
      <c r="P75" s="143">
        <f t="shared" ref="P75:P86" si="6">SUM(J75:N75)</f>
        <v>0.47511666666666663</v>
      </c>
      <c r="Q75" s="155">
        <v>3.6945000000000001</v>
      </c>
      <c r="R75" s="140">
        <v>1535</v>
      </c>
      <c r="S75" s="139" t="s">
        <v>346</v>
      </c>
      <c r="T75" s="147">
        <f>J75*J$1*R75</f>
        <v>22503.739583333332</v>
      </c>
      <c r="U75" s="147"/>
      <c r="V75" s="148">
        <v>413290</v>
      </c>
      <c r="W75" s="139"/>
      <c r="X75" s="149"/>
      <c r="Y75" s="149"/>
    </row>
    <row r="76" spans="2:25" s="150" customFormat="1" x14ac:dyDescent="0.25">
      <c r="B76" s="139" t="s">
        <v>148</v>
      </c>
      <c r="C76" s="140" t="s">
        <v>32</v>
      </c>
      <c r="D76" s="140" t="s">
        <v>108</v>
      </c>
      <c r="E76" s="141">
        <v>36800</v>
      </c>
      <c r="F76" s="141">
        <v>36830</v>
      </c>
      <c r="G76" s="139" t="s">
        <v>56</v>
      </c>
      <c r="H76" s="151" t="s">
        <v>119</v>
      </c>
      <c r="I76" s="140" t="s">
        <v>116</v>
      </c>
      <c r="J76" s="142">
        <f>7.5654/J$1</f>
        <v>0.24404516129032258</v>
      </c>
      <c r="K76" s="143">
        <v>0</v>
      </c>
      <c r="L76" s="143">
        <v>2.2000000000000001E-3</v>
      </c>
      <c r="M76" s="143">
        <v>0</v>
      </c>
      <c r="N76" s="143">
        <v>0</v>
      </c>
      <c r="O76" s="144">
        <v>0</v>
      </c>
      <c r="P76" s="143">
        <f t="shared" si="6"/>
        <v>0.24624516129032259</v>
      </c>
      <c r="Q76" s="166">
        <v>3.6943999999999999</v>
      </c>
      <c r="R76" s="158">
        <v>326</v>
      </c>
      <c r="S76" s="139" t="s">
        <v>347</v>
      </c>
      <c r="T76" s="147">
        <f>J76*J$1*R76</f>
        <v>2466.3204000000001</v>
      </c>
      <c r="U76" s="147"/>
      <c r="V76" s="148">
        <v>413530</v>
      </c>
      <c r="W76" s="139"/>
      <c r="X76" s="149"/>
      <c r="Y76" s="149"/>
    </row>
    <row r="77" spans="2:25" s="150" customFormat="1" x14ac:dyDescent="0.25">
      <c r="B77" s="139" t="s">
        <v>148</v>
      </c>
      <c r="C77" s="140" t="s">
        <v>32</v>
      </c>
      <c r="D77" s="140" t="s">
        <v>108</v>
      </c>
      <c r="E77" s="141">
        <v>36800</v>
      </c>
      <c r="F77" s="141">
        <v>36830</v>
      </c>
      <c r="G77" s="139" t="s">
        <v>117</v>
      </c>
      <c r="H77" s="151" t="s">
        <v>119</v>
      </c>
      <c r="I77" s="140" t="s">
        <v>116</v>
      </c>
      <c r="J77" s="142">
        <f>7.5654/J$1</f>
        <v>0.24404516129032258</v>
      </c>
      <c r="K77" s="143">
        <v>0</v>
      </c>
      <c r="L77" s="143">
        <v>2.2000000000000001E-3</v>
      </c>
      <c r="M77" s="143">
        <v>0</v>
      </c>
      <c r="N77" s="143">
        <v>0</v>
      </c>
      <c r="O77" s="144">
        <v>0</v>
      </c>
      <c r="P77" s="143">
        <f t="shared" si="6"/>
        <v>0.24624516129032259</v>
      </c>
      <c r="Q77" s="166">
        <f>+Q76</f>
        <v>3.6943999999999999</v>
      </c>
      <c r="R77" s="140">
        <v>480</v>
      </c>
      <c r="S77" s="139" t="str">
        <f>+S76</f>
        <v>#021610</v>
      </c>
      <c r="T77" s="147">
        <f>J77*J$1*R77</f>
        <v>3631.3920000000003</v>
      </c>
      <c r="U77" s="147"/>
      <c r="V77" s="148">
        <f>+V76</f>
        <v>413530</v>
      </c>
      <c r="W77" s="139"/>
      <c r="X77" s="149"/>
      <c r="Y77" s="149"/>
    </row>
    <row r="78" spans="2:25" s="150" customFormat="1" x14ac:dyDescent="0.25">
      <c r="B78" s="139" t="s">
        <v>148</v>
      </c>
      <c r="C78" s="140" t="s">
        <v>32</v>
      </c>
      <c r="D78" s="140" t="s">
        <v>108</v>
      </c>
      <c r="E78" s="141">
        <v>36800</v>
      </c>
      <c r="F78" s="141">
        <v>36830</v>
      </c>
      <c r="G78" s="139" t="s">
        <v>118</v>
      </c>
      <c r="H78" s="151" t="s">
        <v>119</v>
      </c>
      <c r="I78" s="140" t="s">
        <v>116</v>
      </c>
      <c r="J78" s="142">
        <f>7.5654/J$1</f>
        <v>0.24404516129032258</v>
      </c>
      <c r="K78" s="143">
        <v>0</v>
      </c>
      <c r="L78" s="143">
        <v>2.2000000000000001E-3</v>
      </c>
      <c r="M78" s="143">
        <v>0</v>
      </c>
      <c r="N78" s="143">
        <v>0</v>
      </c>
      <c r="O78" s="144">
        <v>0</v>
      </c>
      <c r="P78" s="143">
        <f t="shared" si="6"/>
        <v>0.24624516129032259</v>
      </c>
      <c r="Q78" s="166">
        <f>+Q77</f>
        <v>3.6943999999999999</v>
      </c>
      <c r="R78" s="140">
        <f>364+748</f>
        <v>1112</v>
      </c>
      <c r="S78" s="139" t="str">
        <f>+S77</f>
        <v>#021610</v>
      </c>
      <c r="T78" s="147">
        <f>J78*J$1*R78</f>
        <v>8412.7248</v>
      </c>
      <c r="U78" s="147"/>
      <c r="V78" s="148">
        <f>+V77</f>
        <v>413530</v>
      </c>
      <c r="W78" s="139"/>
      <c r="X78" s="149"/>
      <c r="Y78" s="149"/>
    </row>
    <row r="79" spans="2:25" s="150" customFormat="1" x14ac:dyDescent="0.25">
      <c r="B79" s="139" t="s">
        <v>148</v>
      </c>
      <c r="C79" s="140" t="s">
        <v>32</v>
      </c>
      <c r="D79" s="140" t="s">
        <v>108</v>
      </c>
      <c r="E79" s="141">
        <v>36800</v>
      </c>
      <c r="F79" s="141">
        <v>36830</v>
      </c>
      <c r="G79" s="139" t="s">
        <v>125</v>
      </c>
      <c r="H79" s="151"/>
      <c r="I79" s="140" t="s">
        <v>124</v>
      </c>
      <c r="J79" s="142">
        <v>7.9000000000000008E-3</v>
      </c>
      <c r="K79" s="143">
        <v>0</v>
      </c>
      <c r="L79" s="143">
        <v>2.2000000000000001E-3</v>
      </c>
      <c r="M79" s="143">
        <v>0</v>
      </c>
      <c r="N79" s="143">
        <v>0</v>
      </c>
      <c r="O79" s="144">
        <v>0</v>
      </c>
      <c r="P79" s="143">
        <f t="shared" si="6"/>
        <v>1.0100000000000001E-2</v>
      </c>
      <c r="Q79" s="155">
        <v>3.6955</v>
      </c>
      <c r="R79" s="140">
        <v>112190</v>
      </c>
      <c r="S79" s="139" t="s">
        <v>338</v>
      </c>
      <c r="T79" s="154">
        <f>+R79*J79</f>
        <v>886.30100000000004</v>
      </c>
      <c r="U79" s="147"/>
      <c r="V79" s="148">
        <v>418272</v>
      </c>
      <c r="W79" s="139"/>
      <c r="X79" s="149"/>
      <c r="Y79" s="149"/>
    </row>
    <row r="80" spans="2:25" s="150" customFormat="1" x14ac:dyDescent="0.25">
      <c r="B80" s="139" t="s">
        <v>148</v>
      </c>
      <c r="C80" s="140" t="s">
        <v>32</v>
      </c>
      <c r="D80" s="140" t="s">
        <v>108</v>
      </c>
      <c r="E80" s="141">
        <v>36800</v>
      </c>
      <c r="F80" s="141">
        <v>36830</v>
      </c>
      <c r="G80" s="139" t="s">
        <v>123</v>
      </c>
      <c r="H80" s="151"/>
      <c r="I80" s="140" t="s">
        <v>124</v>
      </c>
      <c r="J80" s="142">
        <v>0.6673</v>
      </c>
      <c r="K80" s="143">
        <v>0</v>
      </c>
      <c r="L80" s="143">
        <v>2.2000000000000001E-3</v>
      </c>
      <c r="M80" s="143">
        <v>0</v>
      </c>
      <c r="N80" s="143">
        <v>0</v>
      </c>
      <c r="O80" s="144">
        <v>0</v>
      </c>
      <c r="P80" s="143">
        <f t="shared" si="6"/>
        <v>0.66949999999999998</v>
      </c>
      <c r="Q80" s="155">
        <v>3.6955</v>
      </c>
      <c r="R80" s="140">
        <v>1320</v>
      </c>
      <c r="S80" s="139" t="s">
        <v>338</v>
      </c>
      <c r="T80" s="154">
        <f>+R80*J80</f>
        <v>880.83600000000001</v>
      </c>
      <c r="U80" s="147"/>
      <c r="V80" s="148">
        <v>418272</v>
      </c>
      <c r="W80" s="139"/>
      <c r="X80" s="149"/>
      <c r="Y80" s="149"/>
    </row>
    <row r="81" spans="2:25" s="150" customFormat="1" x14ac:dyDescent="0.25">
      <c r="B81" s="139" t="s">
        <v>148</v>
      </c>
      <c r="C81" s="140" t="s">
        <v>32</v>
      </c>
      <c r="D81" s="140" t="s">
        <v>108</v>
      </c>
      <c r="E81" s="141">
        <v>36770</v>
      </c>
      <c r="F81" s="141">
        <v>37864</v>
      </c>
      <c r="G81" s="139" t="s">
        <v>125</v>
      </c>
      <c r="H81" s="151"/>
      <c r="I81" s="140" t="s">
        <v>124</v>
      </c>
      <c r="J81" s="142">
        <v>7.9000000000000008E-3</v>
      </c>
      <c r="K81" s="143">
        <v>0</v>
      </c>
      <c r="L81" s="143">
        <v>2.2000000000000001E-3</v>
      </c>
      <c r="M81" s="143">
        <v>0</v>
      </c>
      <c r="N81" s="143">
        <v>0</v>
      </c>
      <c r="O81" s="144">
        <v>0</v>
      </c>
      <c r="P81" s="143">
        <f t="shared" si="6"/>
        <v>1.0100000000000001E-2</v>
      </c>
      <c r="Q81" s="166">
        <v>3.6686000000000001</v>
      </c>
      <c r="R81" s="140">
        <v>261182</v>
      </c>
      <c r="S81" s="139" t="s">
        <v>319</v>
      </c>
      <c r="T81" s="154">
        <f>+R81*J81</f>
        <v>2063.3378000000002</v>
      </c>
      <c r="U81" s="147"/>
      <c r="V81" s="148">
        <v>377146</v>
      </c>
      <c r="W81" s="139"/>
      <c r="X81" s="149"/>
      <c r="Y81" s="149"/>
    </row>
    <row r="82" spans="2:25" s="150" customFormat="1" x14ac:dyDescent="0.25">
      <c r="B82" s="139" t="s">
        <v>148</v>
      </c>
      <c r="C82" s="140" t="s">
        <v>32</v>
      </c>
      <c r="D82" s="140" t="s">
        <v>108</v>
      </c>
      <c r="E82" s="141">
        <v>36770</v>
      </c>
      <c r="F82" s="141">
        <v>37864</v>
      </c>
      <c r="G82" s="139" t="s">
        <v>123</v>
      </c>
      <c r="H82" s="151"/>
      <c r="I82" s="140" t="s">
        <v>124</v>
      </c>
      <c r="J82" s="142">
        <v>0.6673</v>
      </c>
      <c r="K82" s="143">
        <v>0</v>
      </c>
      <c r="L82" s="143">
        <v>2.2000000000000001E-3</v>
      </c>
      <c r="M82" s="143">
        <v>0</v>
      </c>
      <c r="N82" s="143">
        <v>0</v>
      </c>
      <c r="O82" s="144">
        <v>0</v>
      </c>
      <c r="P82" s="143">
        <f t="shared" si="6"/>
        <v>0.66949999999999998</v>
      </c>
      <c r="Q82" s="166">
        <v>3.6686000000000001</v>
      </c>
      <c r="R82" s="140">
        <v>3073</v>
      </c>
      <c r="S82" s="139" t="s">
        <v>319</v>
      </c>
      <c r="T82" s="154">
        <f>+R82*J82</f>
        <v>2050.6129000000001</v>
      </c>
      <c r="U82" s="147"/>
      <c r="V82" s="148">
        <v>377146</v>
      </c>
      <c r="W82" s="139"/>
      <c r="X82" s="149"/>
      <c r="Y82" s="149"/>
    </row>
    <row r="83" spans="2:25" s="150" customFormat="1" x14ac:dyDescent="0.25">
      <c r="B83" s="139" t="s">
        <v>148</v>
      </c>
      <c r="C83" s="140" t="s">
        <v>32</v>
      </c>
      <c r="D83" s="140" t="s">
        <v>108</v>
      </c>
      <c r="E83" s="141">
        <v>36770</v>
      </c>
      <c r="F83" s="141" t="s">
        <v>323</v>
      </c>
      <c r="G83" s="139" t="s">
        <v>126</v>
      </c>
      <c r="H83" s="151"/>
      <c r="I83" s="140" t="s">
        <v>128</v>
      </c>
      <c r="J83" s="142">
        <v>4.8099999999999997E-2</v>
      </c>
      <c r="K83" s="143">
        <v>0</v>
      </c>
      <c r="L83" s="143">
        <v>2.2000000000000001E-3</v>
      </c>
      <c r="M83" s="143">
        <v>0</v>
      </c>
      <c r="N83" s="143">
        <v>0</v>
      </c>
      <c r="O83" s="144">
        <v>0</v>
      </c>
      <c r="P83" s="143">
        <f t="shared" si="6"/>
        <v>5.0299999999999997E-2</v>
      </c>
      <c r="Q83" s="155">
        <v>3.6684999999999999</v>
      </c>
      <c r="R83" s="140">
        <v>13269</v>
      </c>
      <c r="S83" s="139" t="s">
        <v>324</v>
      </c>
      <c r="T83" s="154">
        <f>+J83*R83</f>
        <v>638.23889999999994</v>
      </c>
      <c r="U83" s="147"/>
      <c r="V83" s="148">
        <v>377157</v>
      </c>
      <c r="W83" s="139"/>
      <c r="X83" s="149"/>
      <c r="Y83" s="149"/>
    </row>
    <row r="84" spans="2:25" s="150" customFormat="1" x14ac:dyDescent="0.25">
      <c r="B84" s="139" t="s">
        <v>148</v>
      </c>
      <c r="C84" s="140" t="s">
        <v>32</v>
      </c>
      <c r="D84" s="140" t="s">
        <v>108</v>
      </c>
      <c r="E84" s="141">
        <v>36770</v>
      </c>
      <c r="F84" s="141" t="s">
        <v>323</v>
      </c>
      <c r="G84" s="139" t="s">
        <v>127</v>
      </c>
      <c r="H84" s="151"/>
      <c r="I84" s="140" t="s">
        <v>128</v>
      </c>
      <c r="J84" s="142">
        <v>0.48399999999999999</v>
      </c>
      <c r="K84" s="143">
        <v>0</v>
      </c>
      <c r="L84" s="143">
        <v>2.2000000000000001E-3</v>
      </c>
      <c r="M84" s="143">
        <v>0</v>
      </c>
      <c r="N84" s="143">
        <v>0</v>
      </c>
      <c r="O84" s="144">
        <v>0</v>
      </c>
      <c r="P84" s="143">
        <f t="shared" si="6"/>
        <v>0.48619999999999997</v>
      </c>
      <c r="Q84" s="155">
        <v>3.6684999999999999</v>
      </c>
      <c r="R84" s="140">
        <v>1319</v>
      </c>
      <c r="S84" s="139" t="s">
        <v>324</v>
      </c>
      <c r="T84" s="154">
        <f>+J84*R84</f>
        <v>638.39599999999996</v>
      </c>
      <c r="U84" s="147"/>
      <c r="V84" s="148">
        <v>377157</v>
      </c>
      <c r="W84" s="139"/>
      <c r="X84" s="149"/>
      <c r="Y84" s="149"/>
    </row>
    <row r="85" spans="2:25" s="150" customFormat="1" x14ac:dyDescent="0.25">
      <c r="B85" s="139" t="s">
        <v>148</v>
      </c>
      <c r="C85" s="140" t="s">
        <v>32</v>
      </c>
      <c r="D85" s="140" t="s">
        <v>108</v>
      </c>
      <c r="E85" s="141">
        <v>36800</v>
      </c>
      <c r="F85" s="141">
        <v>36830</v>
      </c>
      <c r="G85" s="139" t="s">
        <v>126</v>
      </c>
      <c r="H85" s="151"/>
      <c r="I85" s="140" t="s">
        <v>128</v>
      </c>
      <c r="J85" s="142">
        <v>4.8099999999999997E-2</v>
      </c>
      <c r="K85" s="143">
        <v>0</v>
      </c>
      <c r="L85" s="143">
        <v>2.2000000000000001E-3</v>
      </c>
      <c r="M85" s="143">
        <v>0</v>
      </c>
      <c r="N85" s="143">
        <v>0</v>
      </c>
      <c r="O85" s="144">
        <v>0</v>
      </c>
      <c r="P85" s="143">
        <f t="shared" si="6"/>
        <v>5.0299999999999997E-2</v>
      </c>
      <c r="Q85" s="155"/>
      <c r="R85" s="140">
        <v>5700</v>
      </c>
      <c r="S85" s="139" t="s">
        <v>339</v>
      </c>
      <c r="T85" s="154">
        <f>+J85*R85</f>
        <v>274.16999999999996</v>
      </c>
      <c r="U85" s="147"/>
      <c r="V85" s="148">
        <v>418258</v>
      </c>
      <c r="W85" s="139"/>
      <c r="X85" s="149"/>
      <c r="Y85" s="149"/>
    </row>
    <row r="86" spans="2:25" s="150" customFormat="1" x14ac:dyDescent="0.25">
      <c r="B86" s="139" t="s">
        <v>148</v>
      </c>
      <c r="C86" s="140" t="s">
        <v>32</v>
      </c>
      <c r="D86" s="140" t="s">
        <v>108</v>
      </c>
      <c r="E86" s="141">
        <v>36800</v>
      </c>
      <c r="F86" s="141">
        <v>36830</v>
      </c>
      <c r="G86" s="139" t="s">
        <v>127</v>
      </c>
      <c r="H86" s="151"/>
      <c r="I86" s="140" t="s">
        <v>128</v>
      </c>
      <c r="J86" s="142">
        <v>0.48399999999999999</v>
      </c>
      <c r="K86" s="143">
        <v>0</v>
      </c>
      <c r="L86" s="143">
        <v>2.2000000000000001E-3</v>
      </c>
      <c r="M86" s="143">
        <v>0</v>
      </c>
      <c r="N86" s="143">
        <v>0</v>
      </c>
      <c r="O86" s="144">
        <v>0</v>
      </c>
      <c r="P86" s="143">
        <f t="shared" si="6"/>
        <v>0.48619999999999997</v>
      </c>
      <c r="Q86" s="155"/>
      <c r="R86" s="140">
        <v>567</v>
      </c>
      <c r="S86" s="139" t="s">
        <v>340</v>
      </c>
      <c r="T86" s="154">
        <f>+J86*R86</f>
        <v>274.428</v>
      </c>
      <c r="U86" s="147"/>
      <c r="V86" s="148">
        <v>418258</v>
      </c>
      <c r="W86" s="139"/>
      <c r="X86" s="149"/>
      <c r="Y86" s="149"/>
    </row>
    <row r="87" spans="2:25" x14ac:dyDescent="0.25">
      <c r="B87" s="27"/>
      <c r="C87" s="3"/>
      <c r="D87" s="3"/>
      <c r="E87" s="4"/>
      <c r="F87" s="4"/>
      <c r="G87" s="1"/>
      <c r="H87" s="1"/>
      <c r="I87" s="3"/>
      <c r="J87" s="8"/>
      <c r="K87" s="5"/>
      <c r="L87" s="5"/>
      <c r="M87" s="5"/>
      <c r="N87" s="5"/>
      <c r="O87" s="41"/>
      <c r="P87" s="5"/>
      <c r="Q87" s="47"/>
      <c r="R87" s="48"/>
      <c r="S87" s="28"/>
      <c r="T87" s="28">
        <f>SUM(T65:T86)</f>
        <v>134043.07356666672</v>
      </c>
      <c r="U87" s="28"/>
      <c r="V87" s="50"/>
      <c r="W87" s="55"/>
      <c r="X87" s="35"/>
      <c r="Y87" s="35"/>
    </row>
    <row r="88" spans="2:25" x14ac:dyDescent="0.25">
      <c r="B88" s="27"/>
      <c r="C88" s="3"/>
      <c r="D88" s="3"/>
      <c r="E88" s="4"/>
      <c r="F88" s="4"/>
      <c r="G88" s="1"/>
      <c r="H88" s="1"/>
      <c r="I88" s="3"/>
      <c r="J88" s="5"/>
      <c r="K88" s="5"/>
      <c r="L88" s="5"/>
      <c r="M88" s="5"/>
      <c r="N88" s="5"/>
      <c r="O88" s="41"/>
      <c r="P88" s="5"/>
      <c r="Q88" s="47"/>
      <c r="R88" s="48"/>
      <c r="S88" s="28"/>
      <c r="T88" s="28"/>
      <c r="U88" s="28"/>
      <c r="V88" s="50"/>
      <c r="W88" s="55"/>
      <c r="X88" s="35"/>
      <c r="Y88" s="35"/>
    </row>
    <row r="89" spans="2:25" x14ac:dyDescent="0.25">
      <c r="B89" s="27"/>
      <c r="C89" s="3"/>
      <c r="D89" s="3"/>
      <c r="E89" s="4"/>
      <c r="F89" s="4"/>
      <c r="G89" s="1"/>
      <c r="H89" s="1"/>
      <c r="I89" s="3"/>
      <c r="J89" s="8"/>
      <c r="K89" s="5"/>
      <c r="L89" s="5"/>
      <c r="M89" s="5"/>
      <c r="N89" s="5"/>
      <c r="O89" s="41"/>
      <c r="P89" s="5"/>
      <c r="Q89" s="47"/>
      <c r="R89" s="48"/>
      <c r="S89" s="28"/>
      <c r="T89" s="28"/>
      <c r="U89" s="28"/>
      <c r="V89" s="50"/>
      <c r="W89" s="55"/>
      <c r="X89" s="35"/>
      <c r="Y89" s="35"/>
    </row>
    <row r="90" spans="2:25" ht="13.8" thickBot="1" x14ac:dyDescent="0.3">
      <c r="B90" s="27"/>
      <c r="C90" s="3"/>
      <c r="D90" s="3"/>
      <c r="E90" s="4"/>
      <c r="F90" s="4"/>
      <c r="G90" s="1"/>
      <c r="H90" s="1"/>
      <c r="I90" s="3"/>
      <c r="J90" s="5"/>
      <c r="K90" s="5"/>
      <c r="L90" s="5"/>
      <c r="M90" s="5"/>
      <c r="N90" s="5"/>
      <c r="O90" s="41"/>
      <c r="P90" s="5"/>
      <c r="Q90" s="47"/>
      <c r="R90" s="48"/>
      <c r="S90" s="28"/>
      <c r="T90" s="80">
        <f>SUM(T87,T63,T48,T28)</f>
        <v>651026.1558089247</v>
      </c>
      <c r="U90" s="28" t="s">
        <v>380</v>
      </c>
      <c r="V90" s="50"/>
      <c r="W90" s="55"/>
      <c r="X90" s="35"/>
      <c r="Y90" s="35"/>
    </row>
    <row r="91" spans="2:25" ht="13.8" thickTop="1" x14ac:dyDescent="0.25">
      <c r="B91" s="27"/>
      <c r="C91" s="3"/>
      <c r="D91" s="3"/>
      <c r="E91" s="4"/>
      <c r="F91" s="4"/>
      <c r="G91" s="1"/>
      <c r="H91" s="1"/>
      <c r="I91" s="3"/>
      <c r="J91" s="5"/>
      <c r="K91" s="5"/>
      <c r="L91" s="5"/>
      <c r="M91" s="5"/>
      <c r="N91" s="5"/>
      <c r="O91" s="41"/>
      <c r="P91" s="5"/>
      <c r="Q91" s="47"/>
      <c r="R91" s="48"/>
      <c r="S91" s="28"/>
      <c r="T91" s="28"/>
      <c r="U91" s="55" t="s">
        <v>180</v>
      </c>
      <c r="V91" s="50"/>
      <c r="W91" s="55"/>
      <c r="X91" s="39"/>
      <c r="Y91" s="35"/>
    </row>
    <row r="92" spans="2:25" x14ac:dyDescent="0.25">
      <c r="B92" s="27"/>
      <c r="C92" s="3"/>
      <c r="D92" s="3"/>
      <c r="E92" s="4"/>
      <c r="F92" s="4"/>
      <c r="G92" s="1"/>
      <c r="H92" s="1"/>
      <c r="I92" s="3"/>
      <c r="J92" s="5"/>
      <c r="K92" s="5"/>
      <c r="L92" s="5"/>
      <c r="M92" s="5"/>
      <c r="N92" s="5"/>
      <c r="O92" s="41"/>
      <c r="P92" s="5"/>
      <c r="Q92" s="47"/>
      <c r="R92" s="48"/>
      <c r="S92" s="28"/>
      <c r="T92" s="28"/>
      <c r="U92" s="28"/>
      <c r="V92" s="50"/>
      <c r="W92" s="55"/>
      <c r="X92" s="35"/>
      <c r="Y92" s="35"/>
    </row>
    <row r="93" spans="2:25" x14ac:dyDescent="0.25">
      <c r="B93" s="27"/>
      <c r="C93" s="3"/>
      <c r="D93" s="3"/>
      <c r="E93" s="4"/>
      <c r="F93" s="4"/>
      <c r="G93" s="1"/>
      <c r="H93" s="1"/>
      <c r="I93" s="3"/>
      <c r="J93" s="5"/>
      <c r="K93" s="5"/>
      <c r="L93" s="5"/>
      <c r="M93" s="5"/>
      <c r="N93" s="5"/>
      <c r="O93" s="41"/>
      <c r="P93" s="5"/>
      <c r="Q93" s="47"/>
      <c r="R93" s="48"/>
      <c r="S93" s="28"/>
      <c r="T93" s="28"/>
      <c r="U93" s="28"/>
      <c r="V93" s="50"/>
      <c r="W93" s="55"/>
      <c r="X93" s="35"/>
      <c r="Y93" s="35"/>
    </row>
    <row r="94" spans="2:25" x14ac:dyDescent="0.25">
      <c r="B94" s="27"/>
      <c r="C94" s="3"/>
      <c r="D94" s="3"/>
      <c r="E94" s="36"/>
      <c r="F94" s="4"/>
      <c r="G94" s="1"/>
      <c r="H94" s="1"/>
      <c r="I94" s="3"/>
      <c r="J94" s="8"/>
      <c r="K94" s="5"/>
      <c r="L94" s="5"/>
      <c r="M94" s="5"/>
      <c r="N94" s="5"/>
      <c r="O94" s="41"/>
      <c r="P94" s="5"/>
      <c r="Q94" s="47"/>
      <c r="R94" s="48"/>
      <c r="S94" s="39"/>
      <c r="T94" s="28"/>
      <c r="U94" s="28"/>
      <c r="V94" s="50"/>
      <c r="W94" s="55"/>
      <c r="X94" s="35"/>
      <c r="Y94" s="35"/>
    </row>
    <row r="95" spans="2:25" x14ac:dyDescent="0.25">
      <c r="B95" s="27"/>
      <c r="C95" s="3"/>
      <c r="D95" s="3"/>
      <c r="E95" s="36"/>
      <c r="F95" s="4"/>
      <c r="G95" s="1"/>
      <c r="H95" s="1"/>
      <c r="I95" s="3"/>
      <c r="J95" s="8"/>
      <c r="K95" s="5"/>
      <c r="L95" s="5"/>
      <c r="M95" s="5"/>
      <c r="N95" s="5"/>
      <c r="O95" s="41"/>
      <c r="P95" s="5"/>
      <c r="Q95" s="47"/>
      <c r="R95" s="48"/>
      <c r="S95" s="39"/>
      <c r="T95" s="28"/>
      <c r="U95" s="28"/>
      <c r="V95" s="50"/>
      <c r="W95" s="55"/>
      <c r="X95" s="35"/>
      <c r="Y95" s="35"/>
    </row>
    <row r="96" spans="2:25" x14ac:dyDescent="0.25">
      <c r="E96" s="38"/>
      <c r="Q96" s="34"/>
      <c r="R96" s="34"/>
      <c r="S96" s="34"/>
      <c r="T96" s="34"/>
      <c r="U96" s="34"/>
      <c r="V96" s="49"/>
      <c r="W96" s="58"/>
      <c r="X96" s="49"/>
    </row>
    <row r="97" spans="5:24" x14ac:dyDescent="0.25">
      <c r="E97" s="38"/>
      <c r="Q97" s="34"/>
      <c r="R97" s="34"/>
      <c r="S97" s="34"/>
      <c r="T97" s="34"/>
      <c r="U97" s="34"/>
      <c r="V97" s="49"/>
      <c r="W97" s="58"/>
      <c r="X97" s="49"/>
    </row>
    <row r="98" spans="5:24" x14ac:dyDescent="0.25">
      <c r="E98" s="38"/>
    </row>
    <row r="99" spans="5:24" x14ac:dyDescent="0.25">
      <c r="E99" s="38"/>
    </row>
    <row r="100" spans="5:24" x14ac:dyDescent="0.25">
      <c r="E100" s="38"/>
    </row>
  </sheetData>
  <pageMargins left="0.75" right="0.75" top="1" bottom="1" header="0.5" footer="0.5"/>
  <pageSetup paperSize="5" scale="59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5"/>
  <sheetViews>
    <sheetView topLeftCell="E37" workbookViewId="0">
      <selection activeCell="U68" sqref="U68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6.44140625" style="27" customWidth="1"/>
    <col min="9" max="9" width="16.5546875" style="25" customWidth="1"/>
    <col min="10" max="10" width="7.664062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4.33203125" style="25" customWidth="1"/>
    <col min="18" max="18" width="10.8867187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0" t="s">
        <v>362</v>
      </c>
      <c r="C1" s="3"/>
      <c r="D1" s="3"/>
      <c r="E1" s="4"/>
      <c r="F1" s="4"/>
      <c r="G1" s="1"/>
      <c r="H1" s="1"/>
      <c r="I1" s="3" t="s">
        <v>50</v>
      </c>
      <c r="J1" s="7">
        <v>31</v>
      </c>
      <c r="K1" s="46" t="s">
        <v>62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5">
      <c r="B2" s="1" t="s">
        <v>57</v>
      </c>
      <c r="C2" s="1"/>
      <c r="D2" s="1"/>
      <c r="E2" s="4"/>
      <c r="F2" s="4"/>
      <c r="G2" s="1"/>
      <c r="H2" s="1"/>
      <c r="I2" s="3"/>
      <c r="J2" s="7"/>
      <c r="K2" s="46" t="s">
        <v>63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5">
      <c r="B3" s="1" t="s">
        <v>58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1"/>
      <c r="P3" s="31" t="s">
        <v>34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5">
      <c r="B5" s="1" t="s">
        <v>64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5">
      <c r="B6" s="1"/>
      <c r="C6" s="3" t="s">
        <v>149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5">
      <c r="B11" s="16" t="s">
        <v>35</v>
      </c>
      <c r="C11" s="17" t="s">
        <v>36</v>
      </c>
      <c r="D11" s="17" t="s">
        <v>97</v>
      </c>
      <c r="E11" s="18" t="s">
        <v>38</v>
      </c>
      <c r="F11" s="18"/>
      <c r="G11" s="16" t="s">
        <v>39</v>
      </c>
      <c r="H11" s="16" t="s">
        <v>40</v>
      </c>
      <c r="I11" s="17" t="s">
        <v>73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2" t="s">
        <v>46</v>
      </c>
      <c r="P11" s="17" t="s">
        <v>47</v>
      </c>
      <c r="Q11" s="20" t="s">
        <v>146</v>
      </c>
      <c r="R11" s="17" t="s">
        <v>48</v>
      </c>
      <c r="S11" s="16" t="s">
        <v>49</v>
      </c>
      <c r="T11" s="21" t="s">
        <v>72</v>
      </c>
      <c r="U11" s="21" t="s">
        <v>71</v>
      </c>
      <c r="V11" s="52" t="s">
        <v>147</v>
      </c>
      <c r="W11" s="56" t="s">
        <v>65</v>
      </c>
      <c r="X11" s="36"/>
      <c r="Y11" s="36"/>
    </row>
    <row r="12" spans="2:25" x14ac:dyDescent="0.25">
      <c r="B12" s="16" t="s">
        <v>35</v>
      </c>
      <c r="C12" s="17" t="s">
        <v>36</v>
      </c>
      <c r="D12" s="17" t="s">
        <v>97</v>
      </c>
      <c r="E12" s="18" t="s">
        <v>38</v>
      </c>
      <c r="F12" s="18"/>
      <c r="G12" s="16" t="s">
        <v>39</v>
      </c>
      <c r="H12" s="16" t="s">
        <v>40</v>
      </c>
      <c r="I12" s="17" t="s">
        <v>73</v>
      </c>
      <c r="J12" s="19" t="s">
        <v>41</v>
      </c>
      <c r="K12" s="17" t="s">
        <v>42</v>
      </c>
      <c r="L12" s="17" t="s">
        <v>43</v>
      </c>
      <c r="M12" s="17" t="s">
        <v>44</v>
      </c>
      <c r="N12" s="17" t="s">
        <v>45</v>
      </c>
      <c r="O12" s="42" t="s">
        <v>46</v>
      </c>
      <c r="P12" s="17" t="s">
        <v>47</v>
      </c>
      <c r="Q12" s="20" t="s">
        <v>146</v>
      </c>
      <c r="R12" s="17" t="s">
        <v>48</v>
      </c>
      <c r="S12" s="16" t="s">
        <v>49</v>
      </c>
      <c r="T12" s="21" t="s">
        <v>72</v>
      </c>
      <c r="U12" s="21" t="s">
        <v>71</v>
      </c>
      <c r="V12" s="52" t="s">
        <v>147</v>
      </c>
      <c r="W12" s="56" t="s">
        <v>65</v>
      </c>
      <c r="X12" s="36"/>
      <c r="Y12" s="36"/>
    </row>
    <row r="13" spans="2:25" s="123" customFormat="1" x14ac:dyDescent="0.25">
      <c r="B13" s="112" t="s">
        <v>148</v>
      </c>
      <c r="C13" s="113" t="s">
        <v>52</v>
      </c>
      <c r="D13" s="113" t="s">
        <v>108</v>
      </c>
      <c r="E13" s="114">
        <v>36770</v>
      </c>
      <c r="F13" s="114">
        <v>36981</v>
      </c>
      <c r="G13" s="124">
        <v>10001</v>
      </c>
      <c r="H13" s="124">
        <v>10001</v>
      </c>
      <c r="I13" s="113" t="s">
        <v>98</v>
      </c>
      <c r="J13" s="116">
        <v>1.37E-2</v>
      </c>
      <c r="K13" s="117"/>
      <c r="L13" s="117"/>
      <c r="M13" s="117"/>
      <c r="N13" s="117"/>
      <c r="O13" s="118"/>
      <c r="P13" s="117"/>
      <c r="Q13" s="119">
        <v>530750</v>
      </c>
      <c r="R13" s="113">
        <v>9374</v>
      </c>
      <c r="S13" s="112" t="s">
        <v>315</v>
      </c>
      <c r="T13" s="120">
        <f>J13*1*R13</f>
        <v>128.4238</v>
      </c>
      <c r="U13" s="120"/>
      <c r="V13" s="121">
        <v>384260</v>
      </c>
      <c r="W13" s="112"/>
      <c r="X13" s="122"/>
      <c r="Y13" s="122"/>
    </row>
    <row r="14" spans="2:25" s="123" customFormat="1" x14ac:dyDescent="0.25">
      <c r="B14" s="112" t="s">
        <v>148</v>
      </c>
      <c r="C14" s="113" t="s">
        <v>52</v>
      </c>
      <c r="D14" s="113" t="s">
        <v>108</v>
      </c>
      <c r="E14" s="114">
        <v>36770</v>
      </c>
      <c r="F14" s="114">
        <v>36981</v>
      </c>
      <c r="G14" s="124">
        <v>10002</v>
      </c>
      <c r="H14" s="124">
        <v>10002</v>
      </c>
      <c r="I14" s="113" t="s">
        <v>98</v>
      </c>
      <c r="J14" s="116">
        <v>1.0137</v>
      </c>
      <c r="K14" s="117"/>
      <c r="L14" s="117"/>
      <c r="M14" s="117"/>
      <c r="N14" s="117"/>
      <c r="O14" s="118"/>
      <c r="P14" s="117"/>
      <c r="Q14" s="119">
        <v>530750</v>
      </c>
      <c r="R14" s="113">
        <v>153</v>
      </c>
      <c r="S14" s="112" t="s">
        <v>315</v>
      </c>
      <c r="T14" s="120">
        <f>J14*1*R14</f>
        <v>155.09610000000001</v>
      </c>
      <c r="U14" s="120"/>
      <c r="V14" s="121">
        <v>384260</v>
      </c>
      <c r="W14" s="112"/>
      <c r="X14" s="122"/>
      <c r="Y14" s="122"/>
    </row>
    <row r="15" spans="2:25" s="123" customFormat="1" x14ac:dyDescent="0.25">
      <c r="B15" s="112" t="s">
        <v>148</v>
      </c>
      <c r="C15" s="113" t="s">
        <v>52</v>
      </c>
      <c r="D15" s="113" t="s">
        <v>108</v>
      </c>
      <c r="E15" s="114">
        <v>36800</v>
      </c>
      <c r="F15" s="114">
        <v>36830</v>
      </c>
      <c r="G15" s="124">
        <v>10001</v>
      </c>
      <c r="H15" s="124">
        <v>10001</v>
      </c>
      <c r="I15" s="113" t="s">
        <v>98</v>
      </c>
      <c r="J15" s="116">
        <v>1.8372999999999999</v>
      </c>
      <c r="K15" s="117"/>
      <c r="L15" s="117"/>
      <c r="M15" s="117"/>
      <c r="N15" s="117"/>
      <c r="O15" s="118"/>
      <c r="P15" s="117"/>
      <c r="Q15" s="119">
        <v>530811</v>
      </c>
      <c r="R15" s="113">
        <v>67</v>
      </c>
      <c r="S15" s="112" t="s">
        <v>328</v>
      </c>
      <c r="T15" s="120">
        <f>J15*1*R15</f>
        <v>123.09909999999999</v>
      </c>
      <c r="U15" s="120"/>
      <c r="V15" s="121">
        <v>418886</v>
      </c>
      <c r="W15" s="112"/>
      <c r="X15" s="122"/>
      <c r="Y15" s="122"/>
    </row>
    <row r="16" spans="2:25" s="123" customFormat="1" x14ac:dyDescent="0.25">
      <c r="B16" s="112" t="s">
        <v>148</v>
      </c>
      <c r="C16" s="113" t="s">
        <v>52</v>
      </c>
      <c r="D16" s="113" t="s">
        <v>108</v>
      </c>
      <c r="E16" s="114">
        <v>36800</v>
      </c>
      <c r="F16" s="114">
        <v>36830</v>
      </c>
      <c r="G16" s="124">
        <v>10001</v>
      </c>
      <c r="H16" s="124">
        <v>10001</v>
      </c>
      <c r="I16" s="113" t="s">
        <v>98</v>
      </c>
      <c r="J16" s="116">
        <v>1.37E-2</v>
      </c>
      <c r="K16" s="117"/>
      <c r="L16" s="117"/>
      <c r="M16" s="117"/>
      <c r="N16" s="117"/>
      <c r="O16" s="118"/>
      <c r="P16" s="117"/>
      <c r="Q16" s="119">
        <v>530811</v>
      </c>
      <c r="R16" s="113">
        <v>4064</v>
      </c>
      <c r="S16" s="112" t="s">
        <v>328</v>
      </c>
      <c r="T16" s="120">
        <f>J16*1*R16</f>
        <v>55.6768</v>
      </c>
      <c r="U16" s="120"/>
      <c r="V16" s="121">
        <v>418886</v>
      </c>
      <c r="W16" s="112"/>
      <c r="X16" s="122"/>
      <c r="Y16" s="122"/>
    </row>
    <row r="17" spans="2:25" x14ac:dyDescent="0.25">
      <c r="B17" s="10" t="s">
        <v>34</v>
      </c>
      <c r="C17" s="11" t="s">
        <v>34</v>
      </c>
      <c r="D17" s="12" t="s">
        <v>34</v>
      </c>
      <c r="E17" s="13" t="s">
        <v>34</v>
      </c>
      <c r="F17" s="13"/>
      <c r="G17" s="10" t="s">
        <v>34</v>
      </c>
      <c r="H17" s="30" t="s">
        <v>34</v>
      </c>
      <c r="I17" s="11" t="s">
        <v>34</v>
      </c>
      <c r="J17" s="14"/>
      <c r="K17" s="15"/>
      <c r="L17" s="15"/>
      <c r="M17" s="15"/>
      <c r="N17" s="15"/>
      <c r="O17" s="43"/>
      <c r="P17" s="15"/>
      <c r="Q17" s="26" t="s">
        <v>34</v>
      </c>
      <c r="R17" s="11">
        <f>SUM(R13:R16)</f>
        <v>13658</v>
      </c>
      <c r="S17" s="10" t="s">
        <v>34</v>
      </c>
      <c r="T17" s="22">
        <f>SUM(T13:T16)</f>
        <v>462.29580000000004</v>
      </c>
      <c r="U17" s="22"/>
      <c r="V17" s="53"/>
      <c r="W17" s="10"/>
      <c r="X17" s="36"/>
      <c r="Y17" s="36"/>
    </row>
    <row r="18" spans="2:25" x14ac:dyDescent="0.25">
      <c r="B18" s="16" t="s">
        <v>35</v>
      </c>
      <c r="C18" s="17" t="s">
        <v>36</v>
      </c>
      <c r="D18" s="17" t="s">
        <v>37</v>
      </c>
      <c r="E18" s="18" t="s">
        <v>38</v>
      </c>
      <c r="F18" s="18"/>
      <c r="G18" s="16" t="s">
        <v>39</v>
      </c>
      <c r="H18" s="16" t="s">
        <v>40</v>
      </c>
      <c r="I18" s="17" t="s">
        <v>73</v>
      </c>
      <c r="J18" s="19" t="s">
        <v>41</v>
      </c>
      <c r="K18" s="17" t="s">
        <v>42</v>
      </c>
      <c r="L18" s="17" t="s">
        <v>43</v>
      </c>
      <c r="M18" s="17" t="s">
        <v>44</v>
      </c>
      <c r="N18" s="17" t="s">
        <v>45</v>
      </c>
      <c r="O18" s="42" t="s">
        <v>46</v>
      </c>
      <c r="P18" s="17" t="s">
        <v>47</v>
      </c>
      <c r="Q18" s="20" t="s">
        <v>146</v>
      </c>
      <c r="R18" s="17" t="s">
        <v>48</v>
      </c>
      <c r="S18" s="16" t="s">
        <v>49</v>
      </c>
      <c r="T18" s="21" t="s">
        <v>72</v>
      </c>
      <c r="U18" s="21" t="s">
        <v>71</v>
      </c>
      <c r="V18" s="52" t="s">
        <v>147</v>
      </c>
      <c r="W18" s="56" t="str">
        <f>+W12</f>
        <v>Questions</v>
      </c>
      <c r="X18" s="36"/>
      <c r="Y18" s="36"/>
    </row>
    <row r="19" spans="2:25" s="150" customFormat="1" x14ac:dyDescent="0.25">
      <c r="B19" s="139" t="s">
        <v>148</v>
      </c>
      <c r="C19" s="140" t="s">
        <v>68</v>
      </c>
      <c r="D19" s="140" t="s">
        <v>81</v>
      </c>
      <c r="E19" s="141">
        <v>36617</v>
      </c>
      <c r="F19" s="4">
        <v>36830</v>
      </c>
      <c r="G19" s="139" t="s">
        <v>82</v>
      </c>
      <c r="H19" s="139" t="s">
        <v>84</v>
      </c>
      <c r="I19" s="140" t="s">
        <v>83</v>
      </c>
      <c r="J19" s="142">
        <f>6.238/J1</f>
        <v>0.20122580645161292</v>
      </c>
      <c r="K19" s="143">
        <v>0</v>
      </c>
      <c r="L19" s="143">
        <v>0</v>
      </c>
      <c r="M19" s="143">
        <v>0</v>
      </c>
      <c r="N19" s="143">
        <v>0</v>
      </c>
      <c r="O19" s="144">
        <v>0</v>
      </c>
      <c r="P19" s="143">
        <f t="shared" ref="P19:P43" si="0">SUM(J19:N19)</f>
        <v>0.20122580645161292</v>
      </c>
      <c r="Q19" s="24">
        <v>51407</v>
      </c>
      <c r="R19" s="3">
        <v>73754</v>
      </c>
      <c r="S19" s="139" t="s">
        <v>272</v>
      </c>
      <c r="T19" s="147"/>
      <c r="U19" s="147"/>
      <c r="V19" s="148">
        <v>156569</v>
      </c>
      <c r="W19" s="139"/>
      <c r="X19" s="149"/>
      <c r="Y19" s="149"/>
    </row>
    <row r="20" spans="2:25" s="150" customFormat="1" x14ac:dyDescent="0.25">
      <c r="B20" s="139" t="s">
        <v>148</v>
      </c>
      <c r="C20" s="140" t="s">
        <v>68</v>
      </c>
      <c r="D20" s="140" t="s">
        <v>81</v>
      </c>
      <c r="E20" s="141">
        <v>36617</v>
      </c>
      <c r="F20" s="4">
        <v>36830</v>
      </c>
      <c r="G20" s="139" t="s">
        <v>82</v>
      </c>
      <c r="H20" s="139" t="s">
        <v>85</v>
      </c>
      <c r="I20" s="140" t="s">
        <v>83</v>
      </c>
      <c r="J20" s="142">
        <f>1.512/J1</f>
        <v>4.87741935483871E-2</v>
      </c>
      <c r="K20" s="143">
        <v>0</v>
      </c>
      <c r="L20" s="143">
        <v>0</v>
      </c>
      <c r="M20" s="143">
        <v>0</v>
      </c>
      <c r="N20" s="143">
        <v>0</v>
      </c>
      <c r="O20" s="144">
        <v>0</v>
      </c>
      <c r="P20" s="143">
        <f t="shared" si="0"/>
        <v>4.87741935483871E-2</v>
      </c>
      <c r="Q20" s="24">
        <v>51407</v>
      </c>
      <c r="R20" s="3">
        <v>73754</v>
      </c>
      <c r="S20" s="139" t="s">
        <v>272</v>
      </c>
      <c r="T20" s="147"/>
      <c r="U20" s="147"/>
      <c r="V20" s="148">
        <v>156569</v>
      </c>
      <c r="W20" s="139"/>
      <c r="X20" s="149"/>
      <c r="Y20" s="149"/>
    </row>
    <row r="21" spans="2:25" s="150" customFormat="1" x14ac:dyDescent="0.25">
      <c r="B21" s="139" t="s">
        <v>148</v>
      </c>
      <c r="C21" s="140" t="s">
        <v>68</v>
      </c>
      <c r="D21" s="140"/>
      <c r="E21" s="141">
        <v>36100</v>
      </c>
      <c r="F21" s="114">
        <v>36830</v>
      </c>
      <c r="G21" s="151" t="s">
        <v>99</v>
      </c>
      <c r="H21" s="139" t="s">
        <v>100</v>
      </c>
      <c r="I21" s="140" t="s">
        <v>77</v>
      </c>
      <c r="J21" s="142">
        <f t="shared" ref="J21:J26" si="1">4.56/J$1</f>
        <v>0.14709677419354839</v>
      </c>
      <c r="K21" s="143">
        <v>1.32E-2</v>
      </c>
      <c r="L21" s="143">
        <v>2.2000000000000001E-3</v>
      </c>
      <c r="M21" s="143">
        <v>7.1999999999999998E-3</v>
      </c>
      <c r="N21" s="143">
        <v>0</v>
      </c>
      <c r="O21" s="144">
        <v>2.1160000000000002E-2</v>
      </c>
      <c r="P21" s="143">
        <f t="shared" si="0"/>
        <v>0.16969677419354839</v>
      </c>
      <c r="Q21" s="119">
        <v>61822</v>
      </c>
      <c r="R21" s="113">
        <v>4000</v>
      </c>
      <c r="S21" s="139" t="s">
        <v>101</v>
      </c>
      <c r="T21" s="147">
        <f t="shared" ref="T21:T27" si="2">J21*J$1*R21</f>
        <v>18240</v>
      </c>
      <c r="U21" s="147"/>
      <c r="V21" s="148">
        <v>162284</v>
      </c>
      <c r="W21" s="139"/>
      <c r="X21" s="149"/>
      <c r="Y21" s="149"/>
    </row>
    <row r="22" spans="2:25" s="150" customFormat="1" x14ac:dyDescent="0.25">
      <c r="B22" s="139" t="s">
        <v>148</v>
      </c>
      <c r="C22" s="140" t="s">
        <v>68</v>
      </c>
      <c r="D22" s="140" t="s">
        <v>59</v>
      </c>
      <c r="E22" s="141">
        <v>36526</v>
      </c>
      <c r="F22" s="114">
        <v>36830</v>
      </c>
      <c r="G22" s="139" t="s">
        <v>102</v>
      </c>
      <c r="H22" s="139" t="s">
        <v>134</v>
      </c>
      <c r="I22" s="140" t="s">
        <v>77</v>
      </c>
      <c r="J22" s="142">
        <f t="shared" si="1"/>
        <v>0.14709677419354839</v>
      </c>
      <c r="K22" s="143">
        <v>1.32E-2</v>
      </c>
      <c r="L22" s="143">
        <v>2.2000000000000001E-3</v>
      </c>
      <c r="M22" s="143">
        <v>7.4999999999999997E-3</v>
      </c>
      <c r="N22" s="143">
        <v>0</v>
      </c>
      <c r="O22" s="144">
        <v>2.1160000000000002E-2</v>
      </c>
      <c r="P22" s="143">
        <f>SUM(J22:N22)</f>
        <v>0.16999677419354839</v>
      </c>
      <c r="Q22" s="119">
        <v>61825</v>
      </c>
      <c r="R22" s="113">
        <v>2000</v>
      </c>
      <c r="S22" s="151" t="s">
        <v>132</v>
      </c>
      <c r="T22" s="147">
        <f t="shared" si="2"/>
        <v>9120</v>
      </c>
      <c r="U22" s="147"/>
      <c r="V22" s="148">
        <v>156570</v>
      </c>
      <c r="W22" s="147"/>
      <c r="X22" s="149"/>
      <c r="Y22" s="149"/>
    </row>
    <row r="23" spans="2:25" s="150" customFormat="1" x14ac:dyDescent="0.25">
      <c r="B23" s="139" t="s">
        <v>148</v>
      </c>
      <c r="C23" s="140" t="s">
        <v>68</v>
      </c>
      <c r="D23" s="140" t="s">
        <v>59</v>
      </c>
      <c r="E23" s="141">
        <v>36526</v>
      </c>
      <c r="F23" s="114">
        <v>36830</v>
      </c>
      <c r="G23" s="139" t="s">
        <v>105</v>
      </c>
      <c r="H23" s="139" t="s">
        <v>134</v>
      </c>
      <c r="I23" s="140" t="s">
        <v>77</v>
      </c>
      <c r="J23" s="142">
        <f t="shared" si="1"/>
        <v>0.14709677419354839</v>
      </c>
      <c r="K23" s="143">
        <v>1.32E-2</v>
      </c>
      <c r="L23" s="143">
        <v>2.2000000000000001E-3</v>
      </c>
      <c r="M23" s="143">
        <v>7.4999999999999997E-3</v>
      </c>
      <c r="N23" s="143">
        <v>0</v>
      </c>
      <c r="O23" s="144">
        <v>2.1160000000000002E-2</v>
      </c>
      <c r="P23" s="143">
        <f>SUM(J23:N23)</f>
        <v>0.16999677419354839</v>
      </c>
      <c r="Q23" s="119">
        <v>61825</v>
      </c>
      <c r="R23" s="113">
        <v>5000</v>
      </c>
      <c r="S23" s="151" t="s">
        <v>132</v>
      </c>
      <c r="T23" s="147">
        <f t="shared" si="2"/>
        <v>22799.999999999996</v>
      </c>
      <c r="U23" s="147"/>
      <c r="V23" s="148">
        <v>156570</v>
      </c>
      <c r="W23" s="147"/>
      <c r="X23" s="149"/>
      <c r="Y23" s="149"/>
    </row>
    <row r="24" spans="2:25" s="150" customFormat="1" x14ac:dyDescent="0.25">
      <c r="B24" s="139" t="s">
        <v>148</v>
      </c>
      <c r="C24" s="140" t="s">
        <v>68</v>
      </c>
      <c r="D24" s="140" t="s">
        <v>59</v>
      </c>
      <c r="E24" s="141">
        <v>36526</v>
      </c>
      <c r="F24" s="114">
        <v>36830</v>
      </c>
      <c r="G24" s="139" t="s">
        <v>133</v>
      </c>
      <c r="H24" s="139" t="s">
        <v>134</v>
      </c>
      <c r="I24" s="140" t="s">
        <v>77</v>
      </c>
      <c r="J24" s="142">
        <f t="shared" si="1"/>
        <v>0.14709677419354839</v>
      </c>
      <c r="K24" s="143">
        <v>1.32E-2</v>
      </c>
      <c r="L24" s="143">
        <v>2.2000000000000001E-3</v>
      </c>
      <c r="M24" s="143">
        <v>7.4999999999999997E-3</v>
      </c>
      <c r="N24" s="143">
        <v>0</v>
      </c>
      <c r="O24" s="144">
        <v>2.1160000000000002E-2</v>
      </c>
      <c r="P24" s="143">
        <f>SUM(J24:N24)</f>
        <v>0.16999677419354839</v>
      </c>
      <c r="Q24" s="119">
        <v>61825</v>
      </c>
      <c r="R24" s="113">
        <v>1000</v>
      </c>
      <c r="S24" s="151" t="s">
        <v>132</v>
      </c>
      <c r="T24" s="147">
        <f t="shared" si="2"/>
        <v>4560</v>
      </c>
      <c r="U24" s="147"/>
      <c r="V24" s="148">
        <v>156570</v>
      </c>
      <c r="W24" s="147"/>
      <c r="X24" s="149"/>
      <c r="Y24" s="149"/>
    </row>
    <row r="25" spans="2:25" s="150" customFormat="1" x14ac:dyDescent="0.25">
      <c r="B25" s="139" t="s">
        <v>148</v>
      </c>
      <c r="C25" s="140" t="s">
        <v>68</v>
      </c>
      <c r="D25" s="140"/>
      <c r="E25" s="141">
        <v>36100</v>
      </c>
      <c r="F25" s="114">
        <v>36830</v>
      </c>
      <c r="G25" s="139" t="s">
        <v>102</v>
      </c>
      <c r="H25" s="151" t="s">
        <v>103</v>
      </c>
      <c r="I25" s="140" t="s">
        <v>77</v>
      </c>
      <c r="J25" s="142">
        <f t="shared" si="1"/>
        <v>0.14709677419354839</v>
      </c>
      <c r="K25" s="143">
        <v>1.32E-2</v>
      </c>
      <c r="L25" s="143">
        <v>2.2000000000000001E-3</v>
      </c>
      <c r="M25" s="143">
        <v>7.1999999999999998E-3</v>
      </c>
      <c r="N25" s="143">
        <v>0</v>
      </c>
      <c r="O25" s="144">
        <v>2.1160000000000002E-2</v>
      </c>
      <c r="P25" s="143">
        <f t="shared" si="0"/>
        <v>0.16969677419354839</v>
      </c>
      <c r="Q25" s="119">
        <v>61838</v>
      </c>
      <c r="R25" s="113">
        <v>1000</v>
      </c>
      <c r="S25" s="139" t="s">
        <v>104</v>
      </c>
      <c r="T25" s="147">
        <f t="shared" si="2"/>
        <v>4560</v>
      </c>
      <c r="U25" s="147"/>
      <c r="V25" s="148">
        <v>156571</v>
      </c>
      <c r="W25" s="139"/>
      <c r="X25" s="149"/>
      <c r="Y25" s="149"/>
    </row>
    <row r="26" spans="2:25" s="150" customFormat="1" x14ac:dyDescent="0.25">
      <c r="B26" s="139" t="s">
        <v>148</v>
      </c>
      <c r="C26" s="140" t="s">
        <v>68</v>
      </c>
      <c r="D26" s="140" t="s">
        <v>59</v>
      </c>
      <c r="E26" s="141">
        <v>36526</v>
      </c>
      <c r="F26" s="114">
        <v>36830</v>
      </c>
      <c r="G26" s="139" t="s">
        <v>102</v>
      </c>
      <c r="H26" s="139" t="s">
        <v>136</v>
      </c>
      <c r="I26" s="140" t="s">
        <v>77</v>
      </c>
      <c r="J26" s="142">
        <f t="shared" si="1"/>
        <v>0.14709677419354839</v>
      </c>
      <c r="K26" s="143">
        <v>1.32E-2</v>
      </c>
      <c r="L26" s="143">
        <v>2.2000000000000001E-3</v>
      </c>
      <c r="M26" s="143">
        <v>7.4999999999999997E-3</v>
      </c>
      <c r="N26" s="143">
        <v>0</v>
      </c>
      <c r="O26" s="144">
        <v>2.1160000000000002E-2</v>
      </c>
      <c r="P26" s="143">
        <f>SUM(J26:N26)</f>
        <v>0.16999677419354839</v>
      </c>
      <c r="Q26" s="119">
        <v>61990</v>
      </c>
      <c r="R26" s="113">
        <v>2000</v>
      </c>
      <c r="S26" s="151" t="s">
        <v>135</v>
      </c>
      <c r="T26" s="147">
        <f t="shared" si="2"/>
        <v>9120</v>
      </c>
      <c r="U26" s="147"/>
      <c r="V26" s="148">
        <v>156573</v>
      </c>
      <c r="W26" s="147"/>
      <c r="X26" s="149"/>
      <c r="Y26" s="149"/>
    </row>
    <row r="27" spans="2:25" s="150" customFormat="1" x14ac:dyDescent="0.25">
      <c r="B27" s="139" t="s">
        <v>148</v>
      </c>
      <c r="C27" s="140" t="s">
        <v>68</v>
      </c>
      <c r="D27" s="140" t="s">
        <v>59</v>
      </c>
      <c r="E27" s="141">
        <v>36465</v>
      </c>
      <c r="F27" s="114">
        <v>36891</v>
      </c>
      <c r="G27" s="139"/>
      <c r="H27" s="139" t="s">
        <v>302</v>
      </c>
      <c r="I27" s="140" t="s">
        <v>77</v>
      </c>
      <c r="J27" s="142">
        <f>3.0417/30.417</f>
        <v>9.9999999999999992E-2</v>
      </c>
      <c r="K27" s="143">
        <v>1.32E-2</v>
      </c>
      <c r="L27" s="143">
        <v>2.2000000000000001E-3</v>
      </c>
      <c r="M27" s="143">
        <v>7.4999999999999997E-3</v>
      </c>
      <c r="N27" s="143">
        <v>0</v>
      </c>
      <c r="O27" s="144">
        <v>2.1160000000000002E-2</v>
      </c>
      <c r="P27" s="143">
        <f>SUM(J27:N27)</f>
        <v>0.12289999999999998</v>
      </c>
      <c r="Q27" s="119">
        <v>62164</v>
      </c>
      <c r="R27" s="125">
        <v>2000</v>
      </c>
      <c r="S27" s="151" t="s">
        <v>197</v>
      </c>
      <c r="T27" s="147">
        <f t="shared" si="2"/>
        <v>6199.9999999999991</v>
      </c>
      <c r="U27" s="148"/>
      <c r="V27" s="149" t="s">
        <v>198</v>
      </c>
      <c r="W27" s="149"/>
    </row>
    <row r="28" spans="2:25" s="150" customFormat="1" x14ac:dyDescent="0.25">
      <c r="B28" s="139" t="s">
        <v>148</v>
      </c>
      <c r="C28" s="140" t="s">
        <v>68</v>
      </c>
      <c r="D28" s="140" t="s">
        <v>81</v>
      </c>
      <c r="E28" s="141">
        <v>36800</v>
      </c>
      <c r="F28" s="114">
        <v>36981</v>
      </c>
      <c r="G28" s="139" t="s">
        <v>82</v>
      </c>
      <c r="H28" s="139" t="s">
        <v>96</v>
      </c>
      <c r="I28" s="140" t="s">
        <v>95</v>
      </c>
      <c r="J28" s="142">
        <f>6.029/J$1</f>
        <v>0.19448387096774195</v>
      </c>
      <c r="K28" s="143">
        <v>1.2999999999999999E-2</v>
      </c>
      <c r="L28" s="143">
        <v>2.2000000000000001E-3</v>
      </c>
      <c r="M28" s="143">
        <v>7.1999999999999998E-3</v>
      </c>
      <c r="N28" s="143">
        <v>0</v>
      </c>
      <c r="O28" s="144">
        <v>2.1160000000000002E-2</v>
      </c>
      <c r="P28" s="143">
        <f t="shared" si="0"/>
        <v>0.21688387096774198</v>
      </c>
      <c r="Q28" s="119">
        <v>67694</v>
      </c>
      <c r="R28" s="113">
        <v>108648</v>
      </c>
      <c r="S28" s="139" t="s">
        <v>34</v>
      </c>
      <c r="T28" s="147">
        <f>J28*J$1*R28</f>
        <v>655038.79200000002</v>
      </c>
      <c r="U28" s="147"/>
      <c r="V28" s="148">
        <v>231723</v>
      </c>
      <c r="W28" s="139"/>
      <c r="X28" s="149"/>
      <c r="Y28" s="149"/>
    </row>
    <row r="29" spans="2:25" s="150" customFormat="1" x14ac:dyDescent="0.25">
      <c r="B29" s="139" t="s">
        <v>148</v>
      </c>
      <c r="C29" s="140" t="s">
        <v>68</v>
      </c>
      <c r="D29" s="140" t="s">
        <v>81</v>
      </c>
      <c r="E29" s="141">
        <v>36617</v>
      </c>
      <c r="F29" s="114">
        <v>36981</v>
      </c>
      <c r="G29" s="139" t="s">
        <v>82</v>
      </c>
      <c r="H29" s="139" t="s">
        <v>84</v>
      </c>
      <c r="I29" s="140" t="s">
        <v>83</v>
      </c>
      <c r="J29" s="142">
        <v>2.93E-2</v>
      </c>
      <c r="K29" s="143">
        <v>0</v>
      </c>
      <c r="L29" s="143">
        <v>0</v>
      </c>
      <c r="M29" s="143">
        <v>0</v>
      </c>
      <c r="N29" s="143">
        <v>0</v>
      </c>
      <c r="O29" s="144">
        <v>0</v>
      </c>
      <c r="P29" s="143">
        <f>SUM(J29:N29)</f>
        <v>2.93E-2</v>
      </c>
      <c r="Q29" s="119">
        <v>67712</v>
      </c>
      <c r="R29" s="113">
        <v>6050607</v>
      </c>
      <c r="S29" s="139" t="s">
        <v>265</v>
      </c>
      <c r="T29" s="147">
        <f>J29*R29</f>
        <v>177282.78510000001</v>
      </c>
      <c r="U29" s="147"/>
      <c r="V29" s="148">
        <v>235876</v>
      </c>
      <c r="W29" s="139">
        <v>231698</v>
      </c>
      <c r="X29" s="149"/>
      <c r="Y29" s="149"/>
    </row>
    <row r="30" spans="2:25" s="150" customFormat="1" x14ac:dyDescent="0.25">
      <c r="B30" s="139" t="s">
        <v>148</v>
      </c>
      <c r="C30" s="140" t="s">
        <v>68</v>
      </c>
      <c r="D30" s="140" t="s">
        <v>81</v>
      </c>
      <c r="E30" s="141">
        <v>36617</v>
      </c>
      <c r="F30" s="114">
        <v>36981</v>
      </c>
      <c r="G30" s="139" t="s">
        <v>82</v>
      </c>
      <c r="H30" s="139" t="s">
        <v>85</v>
      </c>
      <c r="I30" s="140" t="s">
        <v>83</v>
      </c>
      <c r="J30" s="142">
        <v>1.524</v>
      </c>
      <c r="K30" s="143">
        <v>0</v>
      </c>
      <c r="L30" s="143">
        <v>0</v>
      </c>
      <c r="M30" s="143">
        <v>0</v>
      </c>
      <c r="N30" s="143">
        <v>0</v>
      </c>
      <c r="O30" s="144">
        <v>0</v>
      </c>
      <c r="P30" s="143">
        <f>SUM(J30:N30)</f>
        <v>1.524</v>
      </c>
      <c r="Q30" s="119">
        <v>67712</v>
      </c>
      <c r="R30" s="113">
        <v>108648</v>
      </c>
      <c r="S30" s="139" t="s">
        <v>265</v>
      </c>
      <c r="T30" s="147">
        <f>J30*R30</f>
        <v>165579.552</v>
      </c>
      <c r="U30" s="147"/>
      <c r="V30" s="148">
        <v>235876</v>
      </c>
      <c r="W30" s="139">
        <v>231698</v>
      </c>
      <c r="X30" s="149"/>
      <c r="Y30" s="149"/>
    </row>
    <row r="31" spans="2:25" s="150" customFormat="1" x14ac:dyDescent="0.25">
      <c r="B31" s="139" t="s">
        <v>148</v>
      </c>
      <c r="C31" s="140" t="s">
        <v>68</v>
      </c>
      <c r="D31" s="140" t="s">
        <v>81</v>
      </c>
      <c r="E31" s="141">
        <v>36617</v>
      </c>
      <c r="F31" s="114">
        <v>36981</v>
      </c>
      <c r="G31" s="139" t="s">
        <v>82</v>
      </c>
      <c r="H31" s="139" t="s">
        <v>84</v>
      </c>
      <c r="I31" s="140" t="s">
        <v>83</v>
      </c>
      <c r="J31" s="142">
        <v>0</v>
      </c>
      <c r="K31" s="143">
        <v>0</v>
      </c>
      <c r="L31" s="143">
        <v>0</v>
      </c>
      <c r="M31" s="143">
        <v>0</v>
      </c>
      <c r="N31" s="143">
        <v>0</v>
      </c>
      <c r="O31" s="144">
        <v>0</v>
      </c>
      <c r="P31" s="143">
        <f t="shared" si="0"/>
        <v>0</v>
      </c>
      <c r="Q31" s="119">
        <v>67713</v>
      </c>
      <c r="R31" s="113">
        <v>0</v>
      </c>
      <c r="S31" s="139" t="s">
        <v>303</v>
      </c>
      <c r="T31" s="147">
        <f>J31*R31</f>
        <v>0</v>
      </c>
      <c r="U31" s="147"/>
      <c r="V31" s="148">
        <v>235876</v>
      </c>
      <c r="W31" s="139"/>
      <c r="X31" s="149"/>
      <c r="Y31" s="149"/>
    </row>
    <row r="32" spans="2:25" s="150" customFormat="1" x14ac:dyDescent="0.25">
      <c r="B32" s="139" t="s">
        <v>148</v>
      </c>
      <c r="C32" s="140" t="s">
        <v>68</v>
      </c>
      <c r="D32" s="140" t="s">
        <v>81</v>
      </c>
      <c r="E32" s="141">
        <v>36617</v>
      </c>
      <c r="F32" s="114">
        <v>36981</v>
      </c>
      <c r="G32" s="139" t="s">
        <v>82</v>
      </c>
      <c r="H32" s="139" t="s">
        <v>85</v>
      </c>
      <c r="I32" s="140" t="s">
        <v>83</v>
      </c>
      <c r="J32" s="142">
        <v>0</v>
      </c>
      <c r="K32" s="143">
        <v>0</v>
      </c>
      <c r="L32" s="143">
        <v>0</v>
      </c>
      <c r="M32" s="143">
        <v>0</v>
      </c>
      <c r="N32" s="143">
        <v>0</v>
      </c>
      <c r="O32" s="144">
        <v>0</v>
      </c>
      <c r="P32" s="143">
        <f t="shared" si="0"/>
        <v>0</v>
      </c>
      <c r="Q32" s="119">
        <v>67713</v>
      </c>
      <c r="R32" s="113">
        <v>0</v>
      </c>
      <c r="S32" s="139" t="s">
        <v>303</v>
      </c>
      <c r="T32" s="147">
        <f>J32*R32</f>
        <v>0</v>
      </c>
      <c r="U32" s="147"/>
      <c r="V32" s="148">
        <v>235876</v>
      </c>
      <c r="W32" s="139"/>
      <c r="X32" s="149"/>
      <c r="Y32" s="149"/>
    </row>
    <row r="33" spans="2:25" s="150" customFormat="1" x14ac:dyDescent="0.25">
      <c r="B33" s="139" t="s">
        <v>148</v>
      </c>
      <c r="C33" s="140" t="s">
        <v>68</v>
      </c>
      <c r="D33" s="140" t="s">
        <v>75</v>
      </c>
      <c r="E33" s="141">
        <v>36678</v>
      </c>
      <c r="F33" s="114">
        <v>37042</v>
      </c>
      <c r="G33" s="139" t="s">
        <v>76</v>
      </c>
      <c r="H33" s="139" t="s">
        <v>79</v>
      </c>
      <c r="I33" s="140" t="s">
        <v>77</v>
      </c>
      <c r="J33" s="142">
        <f t="shared" ref="J33:J41" si="3">6.401/J$1</f>
        <v>0.20648387096774193</v>
      </c>
      <c r="K33" s="143">
        <v>1.32E-2</v>
      </c>
      <c r="L33" s="143">
        <v>2.2000000000000001E-3</v>
      </c>
      <c r="M33" s="143">
        <v>7.1999999999999998E-3</v>
      </c>
      <c r="N33" s="143">
        <v>0</v>
      </c>
      <c r="O33" s="144">
        <v>2.1160000000000002E-2</v>
      </c>
      <c r="P33" s="143">
        <f t="shared" si="0"/>
        <v>0.22908387096774194</v>
      </c>
      <c r="Q33" s="119">
        <v>68359</v>
      </c>
      <c r="R33" s="113">
        <v>285</v>
      </c>
      <c r="S33" s="139" t="s">
        <v>301</v>
      </c>
      <c r="T33" s="147">
        <f t="shared" ref="T33:T45" si="4">J33*J$1*R33</f>
        <v>1824.2849999999999</v>
      </c>
      <c r="U33" s="147"/>
      <c r="V33" s="148">
        <v>271307</v>
      </c>
      <c r="W33" s="139"/>
      <c r="X33" s="149"/>
      <c r="Y33" s="149"/>
    </row>
    <row r="34" spans="2:25" s="150" customFormat="1" x14ac:dyDescent="0.25">
      <c r="B34" s="139" t="s">
        <v>148</v>
      </c>
      <c r="C34" s="140" t="s">
        <v>68</v>
      </c>
      <c r="D34" s="140" t="s">
        <v>74</v>
      </c>
      <c r="E34" s="141">
        <v>36678</v>
      </c>
      <c r="F34" s="114">
        <v>37042</v>
      </c>
      <c r="G34" s="139" t="s">
        <v>76</v>
      </c>
      <c r="H34" s="139" t="s">
        <v>80</v>
      </c>
      <c r="I34" s="140" t="s">
        <v>77</v>
      </c>
      <c r="J34" s="142">
        <f t="shared" si="3"/>
        <v>0.20648387096774193</v>
      </c>
      <c r="K34" s="143">
        <v>1.32E-2</v>
      </c>
      <c r="L34" s="143">
        <v>2.2000000000000001E-3</v>
      </c>
      <c r="M34" s="143">
        <v>7.1999999999999998E-3</v>
      </c>
      <c r="N34" s="143">
        <v>0</v>
      </c>
      <c r="O34" s="144">
        <v>2.1160000000000002E-2</v>
      </c>
      <c r="P34" s="143">
        <f t="shared" si="0"/>
        <v>0.22908387096774194</v>
      </c>
      <c r="Q34" s="119">
        <v>68384</v>
      </c>
      <c r="R34" s="113">
        <v>218</v>
      </c>
      <c r="S34" s="139" t="s">
        <v>300</v>
      </c>
      <c r="T34" s="147">
        <f t="shared" si="4"/>
        <v>1395.4179999999999</v>
      </c>
      <c r="U34" s="147"/>
      <c r="V34" s="148">
        <v>280570</v>
      </c>
      <c r="W34" s="139"/>
      <c r="X34" s="149"/>
      <c r="Y34" s="149"/>
    </row>
    <row r="35" spans="2:25" s="150" customFormat="1" x14ac:dyDescent="0.25">
      <c r="B35" s="139" t="s">
        <v>148</v>
      </c>
      <c r="C35" s="140" t="s">
        <v>68</v>
      </c>
      <c r="D35" s="140" t="s">
        <v>75</v>
      </c>
      <c r="E35" s="141">
        <v>36708</v>
      </c>
      <c r="F35" s="114">
        <v>37072</v>
      </c>
      <c r="G35" s="139" t="s">
        <v>76</v>
      </c>
      <c r="H35" s="139" t="s">
        <v>79</v>
      </c>
      <c r="I35" s="140" t="s">
        <v>77</v>
      </c>
      <c r="J35" s="142">
        <f t="shared" si="3"/>
        <v>0.20648387096774193</v>
      </c>
      <c r="K35" s="143">
        <v>1.32E-2</v>
      </c>
      <c r="L35" s="143">
        <v>2.2000000000000001E-3</v>
      </c>
      <c r="M35" s="143">
        <v>7.1999999999999998E-3</v>
      </c>
      <c r="N35" s="143">
        <v>0</v>
      </c>
      <c r="O35" s="144">
        <v>2.1160000000000002E-2</v>
      </c>
      <c r="P35" s="143">
        <f t="shared" si="0"/>
        <v>0.22908387096774194</v>
      </c>
      <c r="Q35" s="119">
        <v>68616</v>
      </c>
      <c r="R35" s="113">
        <v>900</v>
      </c>
      <c r="S35" s="139" t="s">
        <v>304</v>
      </c>
      <c r="T35" s="147">
        <f t="shared" si="4"/>
        <v>5760.9</v>
      </c>
      <c r="U35" s="147"/>
      <c r="V35" s="148">
        <v>309723</v>
      </c>
      <c r="W35" s="139" t="s">
        <v>305</v>
      </c>
      <c r="X35" s="149"/>
      <c r="Y35" s="149"/>
    </row>
    <row r="36" spans="2:25" s="150" customFormat="1" x14ac:dyDescent="0.25">
      <c r="B36" s="139" t="s">
        <v>148</v>
      </c>
      <c r="C36" s="140" t="s">
        <v>68</v>
      </c>
      <c r="D36" s="140" t="s">
        <v>74</v>
      </c>
      <c r="E36" s="141">
        <v>36708</v>
      </c>
      <c r="F36" s="114">
        <v>37072</v>
      </c>
      <c r="G36" s="139" t="s">
        <v>76</v>
      </c>
      <c r="H36" s="139" t="s">
        <v>78</v>
      </c>
      <c r="I36" s="140" t="s">
        <v>77</v>
      </c>
      <c r="J36" s="142">
        <f t="shared" si="3"/>
        <v>0.20648387096774193</v>
      </c>
      <c r="K36" s="143">
        <v>1.32E-2</v>
      </c>
      <c r="L36" s="143">
        <v>2.2000000000000001E-3</v>
      </c>
      <c r="M36" s="143">
        <v>7.1999999999999998E-3</v>
      </c>
      <c r="N36" s="143">
        <v>0</v>
      </c>
      <c r="O36" s="144">
        <v>2.1160000000000002E-2</v>
      </c>
      <c r="P36" s="143">
        <f t="shared" si="0"/>
        <v>0.22908387096774194</v>
      </c>
      <c r="Q36" s="119">
        <v>68635</v>
      </c>
      <c r="R36" s="113">
        <v>1</v>
      </c>
      <c r="S36" s="139" t="s">
        <v>306</v>
      </c>
      <c r="T36" s="147">
        <f t="shared" si="4"/>
        <v>6.4009999999999998</v>
      </c>
      <c r="U36" s="147"/>
      <c r="V36" s="148">
        <v>312333</v>
      </c>
      <c r="W36" s="139"/>
      <c r="X36" s="149"/>
      <c r="Y36" s="149"/>
    </row>
    <row r="37" spans="2:25" s="150" customFormat="1" x14ac:dyDescent="0.25">
      <c r="B37" s="139" t="s">
        <v>148</v>
      </c>
      <c r="C37" s="140" t="s">
        <v>68</v>
      </c>
      <c r="D37" s="140" t="s">
        <v>74</v>
      </c>
      <c r="E37" s="141">
        <v>36739</v>
      </c>
      <c r="F37" s="114">
        <v>37103</v>
      </c>
      <c r="G37" s="139" t="s">
        <v>76</v>
      </c>
      <c r="H37" s="139" t="s">
        <v>80</v>
      </c>
      <c r="I37" s="140" t="s">
        <v>77</v>
      </c>
      <c r="J37" s="142">
        <f t="shared" si="3"/>
        <v>0.20648387096774193</v>
      </c>
      <c r="K37" s="143">
        <v>1.32E-2</v>
      </c>
      <c r="L37" s="143">
        <v>2.2000000000000001E-3</v>
      </c>
      <c r="M37" s="143">
        <v>7.1999999999999998E-3</v>
      </c>
      <c r="N37" s="143">
        <v>0</v>
      </c>
      <c r="O37" s="144">
        <v>2.1160000000000002E-2</v>
      </c>
      <c r="P37" s="143">
        <f t="shared" si="0"/>
        <v>0.22908387096774194</v>
      </c>
      <c r="Q37" s="119">
        <v>68926</v>
      </c>
      <c r="R37" s="113">
        <v>4</v>
      </c>
      <c r="S37" s="139" t="s">
        <v>0</v>
      </c>
      <c r="T37" s="147">
        <f t="shared" si="4"/>
        <v>25.603999999999999</v>
      </c>
      <c r="U37" s="147"/>
      <c r="V37" s="148">
        <v>345125</v>
      </c>
      <c r="W37" s="139"/>
      <c r="X37" s="149"/>
      <c r="Y37" s="149"/>
    </row>
    <row r="38" spans="2:25" s="59" customFormat="1" x14ac:dyDescent="0.25">
      <c r="B38" s="1" t="s">
        <v>148</v>
      </c>
      <c r="C38" s="3" t="s">
        <v>68</v>
      </c>
      <c r="D38" s="3" t="s">
        <v>74</v>
      </c>
      <c r="E38" s="4">
        <v>36465</v>
      </c>
      <c r="F38" s="114">
        <v>36830</v>
      </c>
      <c r="G38" s="1" t="s">
        <v>76</v>
      </c>
      <c r="H38" s="1" t="s">
        <v>80</v>
      </c>
      <c r="I38" s="3" t="s">
        <v>77</v>
      </c>
      <c r="J38" s="8">
        <f t="shared" si="3"/>
        <v>0.20648387096774193</v>
      </c>
      <c r="K38" s="5">
        <v>1.32E-2</v>
      </c>
      <c r="L38" s="5">
        <v>2.2000000000000001E-3</v>
      </c>
      <c r="M38" s="5">
        <v>7.1999999999999998E-3</v>
      </c>
      <c r="N38" s="5">
        <v>0</v>
      </c>
      <c r="O38" s="41">
        <v>2.1160000000000002E-2</v>
      </c>
      <c r="P38" s="5">
        <f t="shared" si="0"/>
        <v>0.22908387096774194</v>
      </c>
      <c r="Q38" s="119">
        <v>65026</v>
      </c>
      <c r="R38" s="113">
        <v>128</v>
      </c>
      <c r="S38" s="1" t="s">
        <v>86</v>
      </c>
      <c r="T38" s="9">
        <f t="shared" si="4"/>
        <v>819.32799999999997</v>
      </c>
      <c r="U38" s="9"/>
      <c r="V38" s="54">
        <v>162286</v>
      </c>
      <c r="W38" s="1"/>
      <c r="X38" s="36"/>
      <c r="Y38" s="36"/>
    </row>
    <row r="39" spans="2:25" s="59" customFormat="1" x14ac:dyDescent="0.25">
      <c r="B39" s="1" t="s">
        <v>148</v>
      </c>
      <c r="C39" s="3" t="s">
        <v>68</v>
      </c>
      <c r="D39" s="3" t="s">
        <v>87</v>
      </c>
      <c r="E39" s="4">
        <v>36465</v>
      </c>
      <c r="F39" s="114">
        <v>36830</v>
      </c>
      <c r="G39" s="1" t="s">
        <v>76</v>
      </c>
      <c r="H39" s="1" t="s">
        <v>88</v>
      </c>
      <c r="I39" s="3" t="s">
        <v>77</v>
      </c>
      <c r="J39" s="8">
        <f t="shared" si="3"/>
        <v>0.20648387096774193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1">
        <v>2.1160000000000002E-2</v>
      </c>
      <c r="P39" s="5">
        <f t="shared" si="0"/>
        <v>0.22908387096774194</v>
      </c>
      <c r="Q39" s="119">
        <v>65041</v>
      </c>
      <c r="R39" s="113">
        <v>9619</v>
      </c>
      <c r="S39" s="1" t="s">
        <v>89</v>
      </c>
      <c r="T39" s="9">
        <f t="shared" si="4"/>
        <v>61571.218999999997</v>
      </c>
      <c r="U39" s="9"/>
      <c r="V39" s="54">
        <v>162285</v>
      </c>
      <c r="W39" s="1"/>
      <c r="X39" s="36"/>
      <c r="Y39" s="36"/>
    </row>
    <row r="40" spans="2:25" s="59" customFormat="1" x14ac:dyDescent="0.25">
      <c r="B40" s="1" t="s">
        <v>148</v>
      </c>
      <c r="C40" s="3" t="s">
        <v>68</v>
      </c>
      <c r="D40" s="3" t="s">
        <v>87</v>
      </c>
      <c r="E40" s="4">
        <v>36465</v>
      </c>
      <c r="F40" s="114">
        <v>36830</v>
      </c>
      <c r="G40" s="1" t="s">
        <v>76</v>
      </c>
      <c r="H40" s="1" t="s">
        <v>91</v>
      </c>
      <c r="I40" s="3" t="s">
        <v>77</v>
      </c>
      <c r="J40" s="8">
        <f t="shared" si="3"/>
        <v>0.20648387096774193</v>
      </c>
      <c r="K40" s="5">
        <v>1.32E-2</v>
      </c>
      <c r="L40" s="5">
        <v>2.2000000000000001E-3</v>
      </c>
      <c r="M40" s="5">
        <v>7.1999999999999998E-3</v>
      </c>
      <c r="N40" s="5">
        <v>0</v>
      </c>
      <c r="O40" s="41">
        <v>2.1160000000000002E-2</v>
      </c>
      <c r="P40" s="5">
        <f t="shared" si="0"/>
        <v>0.22908387096774194</v>
      </c>
      <c r="Q40" s="119">
        <v>65042</v>
      </c>
      <c r="R40" s="113">
        <v>4427</v>
      </c>
      <c r="S40" s="1" t="s">
        <v>90</v>
      </c>
      <c r="T40" s="9">
        <f t="shared" si="4"/>
        <v>28337.226999999999</v>
      </c>
      <c r="U40" s="9"/>
      <c r="V40" s="54">
        <v>162287</v>
      </c>
      <c r="W40" s="1"/>
      <c r="X40" s="36"/>
      <c r="Y40" s="36"/>
    </row>
    <row r="41" spans="2:25" s="59" customFormat="1" x14ac:dyDescent="0.25">
      <c r="B41" s="1" t="s">
        <v>148</v>
      </c>
      <c r="C41" s="3" t="s">
        <v>68</v>
      </c>
      <c r="D41" s="3" t="s">
        <v>92</v>
      </c>
      <c r="E41" s="4">
        <v>36465</v>
      </c>
      <c r="F41" s="114">
        <v>37011</v>
      </c>
      <c r="G41" s="1" t="s">
        <v>76</v>
      </c>
      <c r="H41" s="1" t="s">
        <v>93</v>
      </c>
      <c r="I41" s="3" t="s">
        <v>77</v>
      </c>
      <c r="J41" s="8">
        <f t="shared" si="3"/>
        <v>0.20648387096774193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1">
        <v>2.1160000000000002E-2</v>
      </c>
      <c r="P41" s="5">
        <f>SUM(J41:N41)</f>
        <v>0.22908387096774194</v>
      </c>
      <c r="Q41" s="119">
        <v>65108</v>
      </c>
      <c r="R41" s="113">
        <v>5000</v>
      </c>
      <c r="S41" s="1" t="s">
        <v>179</v>
      </c>
      <c r="T41" s="9">
        <f>J41*J$1*R41</f>
        <v>32005</v>
      </c>
      <c r="U41" s="9"/>
      <c r="V41" s="54">
        <v>163001</v>
      </c>
      <c r="W41" s="1"/>
      <c r="X41" s="36"/>
      <c r="Y41" s="36"/>
    </row>
    <row r="42" spans="2:25" s="59" customFormat="1" x14ac:dyDescent="0.25">
      <c r="B42" s="1" t="s">
        <v>148</v>
      </c>
      <c r="C42" s="3" t="s">
        <v>68</v>
      </c>
      <c r="D42" s="3"/>
      <c r="E42" s="4">
        <v>36557</v>
      </c>
      <c r="F42" s="114">
        <v>36830</v>
      </c>
      <c r="G42" s="1" t="s">
        <v>105</v>
      </c>
      <c r="H42" s="1" t="s">
        <v>100</v>
      </c>
      <c r="I42" s="3" t="s">
        <v>77</v>
      </c>
      <c r="J42" s="8">
        <f>4.563/J$1</f>
        <v>0.14719354838709678</v>
      </c>
      <c r="K42" s="5">
        <v>1.32E-2</v>
      </c>
      <c r="L42" s="5">
        <v>2.2000000000000001E-3</v>
      </c>
      <c r="M42" s="5">
        <v>7.1999999999999998E-3</v>
      </c>
      <c r="N42" s="5">
        <v>0</v>
      </c>
      <c r="O42" s="41">
        <v>2.1160000000000002E-2</v>
      </c>
      <c r="P42" s="5">
        <f t="shared" si="0"/>
        <v>0.16979354838709679</v>
      </c>
      <c r="Q42" s="119">
        <v>65418</v>
      </c>
      <c r="R42" s="113">
        <v>500</v>
      </c>
      <c r="S42" s="1" t="s">
        <v>106</v>
      </c>
      <c r="T42" s="9">
        <f t="shared" si="4"/>
        <v>2281.5</v>
      </c>
      <c r="U42" s="9"/>
      <c r="V42" s="54">
        <v>156599</v>
      </c>
      <c r="W42" s="1"/>
      <c r="X42" s="36"/>
      <c r="Y42" s="36"/>
    </row>
    <row r="43" spans="2:25" s="59" customFormat="1" x14ac:dyDescent="0.25">
      <c r="B43" s="1" t="s">
        <v>148</v>
      </c>
      <c r="C43" s="3" t="s">
        <v>68</v>
      </c>
      <c r="D43" s="3" t="s">
        <v>74</v>
      </c>
      <c r="E43" s="4">
        <v>36557</v>
      </c>
      <c r="F43" s="114">
        <v>36860</v>
      </c>
      <c r="G43" s="1" t="s">
        <v>76</v>
      </c>
      <c r="H43" s="1" t="s">
        <v>80</v>
      </c>
      <c r="I43" s="3" t="s">
        <v>77</v>
      </c>
      <c r="J43" s="8">
        <f>6.401/J$1</f>
        <v>0.20648387096774193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1">
        <v>2.1160000000000002E-2</v>
      </c>
      <c r="P43" s="5">
        <f t="shared" si="0"/>
        <v>0.22908387096774194</v>
      </c>
      <c r="Q43" s="119">
        <v>65556</v>
      </c>
      <c r="R43" s="113">
        <v>3</v>
      </c>
      <c r="S43" s="1" t="s">
        <v>94</v>
      </c>
      <c r="T43" s="9">
        <f t="shared" si="4"/>
        <v>19.202999999999999</v>
      </c>
      <c r="U43" s="9"/>
      <c r="V43" s="54">
        <v>156602</v>
      </c>
      <c r="W43" s="1"/>
      <c r="X43" s="36"/>
      <c r="Y43" s="36"/>
    </row>
    <row r="44" spans="2:25" s="59" customFormat="1" x14ac:dyDescent="0.25">
      <c r="B44" s="1" t="s">
        <v>148</v>
      </c>
      <c r="C44" s="3" t="s">
        <v>68</v>
      </c>
      <c r="D44" s="3" t="s">
        <v>70</v>
      </c>
      <c r="E44" s="4">
        <v>36557</v>
      </c>
      <c r="F44" s="114">
        <v>36922</v>
      </c>
      <c r="G44" s="1" t="s">
        <v>150</v>
      </c>
      <c r="H44" s="1" t="s">
        <v>151</v>
      </c>
      <c r="I44" s="3" t="s">
        <v>77</v>
      </c>
      <c r="J44" s="8">
        <f>6.401/J$1</f>
        <v>0.20648387096774193</v>
      </c>
      <c r="K44" s="5"/>
      <c r="L44" s="5"/>
      <c r="M44" s="5"/>
      <c r="N44" s="5"/>
      <c r="O44" s="41"/>
      <c r="P44" s="5"/>
      <c r="Q44" s="119">
        <v>66280</v>
      </c>
      <c r="R44" s="113">
        <v>1</v>
      </c>
      <c r="S44" s="1" t="s">
        <v>153</v>
      </c>
      <c r="T44" s="9">
        <f t="shared" si="4"/>
        <v>6.4009999999999998</v>
      </c>
      <c r="U44" s="9"/>
      <c r="V44" s="54">
        <v>156606</v>
      </c>
      <c r="W44" s="1"/>
      <c r="X44" s="36"/>
      <c r="Y44" s="36"/>
    </row>
    <row r="45" spans="2:25" s="59" customFormat="1" x14ac:dyDescent="0.25">
      <c r="B45" s="1" t="s">
        <v>148</v>
      </c>
      <c r="C45" s="3" t="s">
        <v>68</v>
      </c>
      <c r="D45" s="3" t="s">
        <v>70</v>
      </c>
      <c r="E45" s="4">
        <v>36557</v>
      </c>
      <c r="F45" s="114">
        <v>36922</v>
      </c>
      <c r="G45" s="1" t="s">
        <v>150</v>
      </c>
      <c r="H45" s="1" t="s">
        <v>152</v>
      </c>
      <c r="I45" s="3" t="s">
        <v>77</v>
      </c>
      <c r="J45" s="8">
        <f>6.401/J$1</f>
        <v>0.20648387096774193</v>
      </c>
      <c r="K45" s="5"/>
      <c r="L45" s="5"/>
      <c r="M45" s="5"/>
      <c r="N45" s="5"/>
      <c r="O45" s="41"/>
      <c r="P45" s="5"/>
      <c r="Q45" s="119">
        <v>66280</v>
      </c>
      <c r="R45" s="113">
        <v>4</v>
      </c>
      <c r="S45" s="1" t="s">
        <v>153</v>
      </c>
      <c r="T45" s="9">
        <f t="shared" si="4"/>
        <v>25.603999999999999</v>
      </c>
      <c r="U45" s="9"/>
      <c r="V45" s="54">
        <v>156606</v>
      </c>
      <c r="W45" s="1"/>
      <c r="X45" s="36"/>
      <c r="Y45" s="36"/>
    </row>
    <row r="46" spans="2:25" s="59" customFormat="1" x14ac:dyDescent="0.25">
      <c r="B46" s="1" t="s">
        <v>148</v>
      </c>
      <c r="C46" s="3" t="s">
        <v>68</v>
      </c>
      <c r="D46" s="3" t="s">
        <v>70</v>
      </c>
      <c r="E46" s="4">
        <v>36656</v>
      </c>
      <c r="F46" s="114">
        <v>36950</v>
      </c>
      <c r="G46" s="1" t="s">
        <v>150</v>
      </c>
      <c r="H46" s="29" t="s">
        <v>151</v>
      </c>
      <c r="I46" s="3" t="s">
        <v>77</v>
      </c>
      <c r="J46" s="8">
        <v>6.4489999999999998</v>
      </c>
      <c r="K46" s="5"/>
      <c r="L46" s="5"/>
      <c r="M46" s="5"/>
      <c r="N46" s="5"/>
      <c r="O46" s="41"/>
      <c r="P46" s="5"/>
      <c r="Q46" s="119">
        <v>68308</v>
      </c>
      <c r="R46" s="113">
        <v>5</v>
      </c>
      <c r="S46" s="1" t="s">
        <v>274</v>
      </c>
      <c r="T46" s="9">
        <f>+R46*J46</f>
        <v>32.244999999999997</v>
      </c>
      <c r="U46" s="9"/>
      <c r="V46" s="54">
        <v>262094</v>
      </c>
      <c r="W46" s="1"/>
      <c r="X46" s="36"/>
      <c r="Y46" s="36"/>
    </row>
    <row r="47" spans="2:25" s="59" customFormat="1" x14ac:dyDescent="0.25">
      <c r="B47" s="1" t="s">
        <v>148</v>
      </c>
      <c r="C47" s="3" t="s">
        <v>68</v>
      </c>
      <c r="D47" s="3" t="s">
        <v>70</v>
      </c>
      <c r="E47" s="4">
        <v>36656</v>
      </c>
      <c r="F47" s="114">
        <v>36950</v>
      </c>
      <c r="G47" s="1" t="s">
        <v>150</v>
      </c>
      <c r="H47" s="29" t="s">
        <v>152</v>
      </c>
      <c r="I47" s="3" t="s">
        <v>77</v>
      </c>
      <c r="J47" s="8">
        <v>6.4489999999999998</v>
      </c>
      <c r="K47" s="5"/>
      <c r="L47" s="5"/>
      <c r="M47" s="5"/>
      <c r="N47" s="5"/>
      <c r="O47" s="41"/>
      <c r="P47" s="5"/>
      <c r="Q47" s="119">
        <v>68308</v>
      </c>
      <c r="R47" s="113">
        <v>4</v>
      </c>
      <c r="S47" s="1" t="s">
        <v>274</v>
      </c>
      <c r="T47" s="9">
        <f>+R47*J47</f>
        <v>25.795999999999999</v>
      </c>
      <c r="U47" s="9"/>
      <c r="V47" s="54">
        <v>262094</v>
      </c>
      <c r="W47" s="1"/>
      <c r="X47" s="36"/>
      <c r="Y47" s="36"/>
    </row>
    <row r="48" spans="2:25" s="59" customFormat="1" x14ac:dyDescent="0.25">
      <c r="B48" s="1" t="s">
        <v>148</v>
      </c>
      <c r="C48" s="3" t="s">
        <v>68</v>
      </c>
      <c r="D48" s="3" t="s">
        <v>200</v>
      </c>
      <c r="E48" s="4">
        <v>36617</v>
      </c>
      <c r="F48" s="4" t="s">
        <v>201</v>
      </c>
      <c r="G48" s="1" t="s">
        <v>202</v>
      </c>
      <c r="H48" s="1"/>
      <c r="I48" s="3" t="s">
        <v>203</v>
      </c>
      <c r="J48" s="8"/>
      <c r="K48" s="5"/>
      <c r="L48" s="5"/>
      <c r="M48" s="5"/>
      <c r="N48" s="5"/>
      <c r="O48" s="41"/>
      <c r="P48" s="5"/>
      <c r="Q48" s="24">
        <v>66917</v>
      </c>
      <c r="R48" s="3"/>
      <c r="S48" s="1"/>
      <c r="T48" s="9"/>
      <c r="U48" s="9"/>
      <c r="V48" s="54">
        <v>228085</v>
      </c>
      <c r="W48" s="1"/>
      <c r="X48" s="36"/>
      <c r="Y48" s="36"/>
    </row>
    <row r="49" spans="2:25" s="59" customFormat="1" x14ac:dyDescent="0.25">
      <c r="B49" s="1" t="s">
        <v>148</v>
      </c>
      <c r="C49" s="3" t="s">
        <v>68</v>
      </c>
      <c r="D49" s="3" t="s">
        <v>70</v>
      </c>
      <c r="E49" s="4">
        <v>36617</v>
      </c>
      <c r="F49" s="114">
        <v>36981</v>
      </c>
      <c r="G49" s="1" t="s">
        <v>150</v>
      </c>
      <c r="H49" s="1" t="s">
        <v>151</v>
      </c>
      <c r="I49" s="3" t="s">
        <v>77</v>
      </c>
      <c r="J49" s="8">
        <f t="shared" ref="J49:J54" si="5">6.401/$J$1</f>
        <v>0.20648387096774193</v>
      </c>
      <c r="K49" s="5"/>
      <c r="L49" s="5"/>
      <c r="M49" s="5"/>
      <c r="N49" s="5"/>
      <c r="O49" s="41"/>
      <c r="P49" s="5"/>
      <c r="Q49" s="119">
        <v>66939</v>
      </c>
      <c r="R49" s="113">
        <v>5</v>
      </c>
      <c r="S49" s="1" t="s">
        <v>31</v>
      </c>
      <c r="T49" s="9">
        <f t="shared" ref="T49:T61" si="6">+R49*J49</f>
        <v>1.0324193548387097</v>
      </c>
      <c r="U49" s="9"/>
      <c r="V49" s="54"/>
      <c r="W49" s="1"/>
      <c r="X49" s="36"/>
      <c r="Y49" s="36"/>
    </row>
    <row r="50" spans="2:25" s="59" customFormat="1" x14ac:dyDescent="0.25">
      <c r="B50" s="1" t="s">
        <v>148</v>
      </c>
      <c r="C50" s="3" t="s">
        <v>68</v>
      </c>
      <c r="D50" s="3" t="s">
        <v>70</v>
      </c>
      <c r="E50" s="4">
        <v>36617</v>
      </c>
      <c r="F50" s="114">
        <v>36981</v>
      </c>
      <c r="G50" s="1" t="s">
        <v>150</v>
      </c>
      <c r="H50" s="1" t="s">
        <v>152</v>
      </c>
      <c r="I50" s="3" t="s">
        <v>77</v>
      </c>
      <c r="J50" s="8">
        <f t="shared" si="5"/>
        <v>0.20648387096774193</v>
      </c>
      <c r="K50" s="5"/>
      <c r="L50" s="5"/>
      <c r="M50" s="5"/>
      <c r="N50" s="5"/>
      <c r="O50" s="41"/>
      <c r="P50" s="5"/>
      <c r="Q50" s="119">
        <v>66939</v>
      </c>
      <c r="R50" s="113">
        <v>27</v>
      </c>
      <c r="S50" s="1" t="s">
        <v>31</v>
      </c>
      <c r="T50" s="9">
        <f t="shared" si="6"/>
        <v>5.5750645161290322</v>
      </c>
      <c r="U50" s="9"/>
      <c r="V50" s="54"/>
      <c r="W50" s="1"/>
      <c r="X50" s="36"/>
      <c r="Y50" s="36"/>
    </row>
    <row r="51" spans="2:25" s="59" customFormat="1" x14ac:dyDescent="0.25">
      <c r="B51" s="1" t="s">
        <v>148</v>
      </c>
      <c r="C51" s="3" t="s">
        <v>68</v>
      </c>
      <c r="D51" s="3" t="s">
        <v>70</v>
      </c>
      <c r="E51" s="4">
        <v>36617</v>
      </c>
      <c r="F51" s="114">
        <v>36981</v>
      </c>
      <c r="G51" s="1" t="s">
        <v>150</v>
      </c>
      <c r="H51" s="1" t="s">
        <v>247</v>
      </c>
      <c r="I51" s="3" t="s">
        <v>77</v>
      </c>
      <c r="J51" s="8">
        <f t="shared" si="5"/>
        <v>0.20648387096774193</v>
      </c>
      <c r="K51" s="5"/>
      <c r="L51" s="5"/>
      <c r="M51" s="5"/>
      <c r="N51" s="5"/>
      <c r="O51" s="41"/>
      <c r="P51" s="5"/>
      <c r="Q51" s="119">
        <v>66939</v>
      </c>
      <c r="R51" s="113">
        <v>3</v>
      </c>
      <c r="S51" s="1" t="s">
        <v>31</v>
      </c>
      <c r="T51" s="9">
        <f t="shared" si="6"/>
        <v>0.61945161290322581</v>
      </c>
      <c r="U51" s="9"/>
      <c r="V51" s="54"/>
      <c r="W51" s="1"/>
      <c r="X51" s="36"/>
      <c r="Y51" s="36"/>
    </row>
    <row r="52" spans="2:25" s="59" customFormat="1" x14ac:dyDescent="0.25">
      <c r="B52" s="1" t="s">
        <v>148</v>
      </c>
      <c r="C52" s="3" t="s">
        <v>68</v>
      </c>
      <c r="D52" s="3" t="s">
        <v>70</v>
      </c>
      <c r="E52" s="4">
        <v>36617</v>
      </c>
      <c r="F52" s="114">
        <v>36981</v>
      </c>
      <c r="G52" s="1" t="s">
        <v>150</v>
      </c>
      <c r="H52" s="1" t="s">
        <v>248</v>
      </c>
      <c r="I52" s="3" t="s">
        <v>77</v>
      </c>
      <c r="J52" s="8">
        <f t="shared" si="5"/>
        <v>0.20648387096774193</v>
      </c>
      <c r="K52" s="5"/>
      <c r="L52" s="5"/>
      <c r="M52" s="5"/>
      <c r="N52" s="5"/>
      <c r="O52" s="41"/>
      <c r="P52" s="5"/>
      <c r="Q52" s="119">
        <v>66939</v>
      </c>
      <c r="R52" s="113">
        <v>17</v>
      </c>
      <c r="S52" s="1" t="s">
        <v>31</v>
      </c>
      <c r="T52" s="9">
        <f t="shared" si="6"/>
        <v>3.5102258064516128</v>
      </c>
      <c r="U52" s="9"/>
      <c r="V52" s="54"/>
      <c r="W52" s="1"/>
      <c r="X52" s="36"/>
      <c r="Y52" s="36"/>
    </row>
    <row r="53" spans="2:25" s="59" customFormat="1" x14ac:dyDescent="0.25">
      <c r="B53" s="1" t="s">
        <v>148</v>
      </c>
      <c r="C53" s="3" t="s">
        <v>68</v>
      </c>
      <c r="D53" s="3" t="s">
        <v>69</v>
      </c>
      <c r="E53" s="4">
        <v>36617</v>
      </c>
      <c r="F53" s="114">
        <v>36981</v>
      </c>
      <c r="G53" s="1" t="s">
        <v>150</v>
      </c>
      <c r="H53" s="1" t="s">
        <v>249</v>
      </c>
      <c r="I53" s="3" t="s">
        <v>77</v>
      </c>
      <c r="J53" s="8">
        <f t="shared" si="5"/>
        <v>0.20648387096774193</v>
      </c>
      <c r="K53" s="5"/>
      <c r="L53" s="5"/>
      <c r="M53" s="5"/>
      <c r="N53" s="5"/>
      <c r="O53" s="41"/>
      <c r="P53" s="5"/>
      <c r="Q53" s="119">
        <v>66940</v>
      </c>
      <c r="R53" s="113">
        <v>1</v>
      </c>
      <c r="S53" s="29" t="s">
        <v>204</v>
      </c>
      <c r="T53" s="9">
        <f t="shared" si="6"/>
        <v>0.20648387096774193</v>
      </c>
      <c r="U53" s="9"/>
      <c r="V53" s="54">
        <v>228134</v>
      </c>
      <c r="W53" s="1"/>
      <c r="X53" s="36"/>
      <c r="Y53" s="36"/>
    </row>
    <row r="54" spans="2:25" s="59" customFormat="1" x14ac:dyDescent="0.25">
      <c r="B54" s="1" t="s">
        <v>148</v>
      </c>
      <c r="C54" s="3" t="s">
        <v>68</v>
      </c>
      <c r="D54" s="3" t="s">
        <v>69</v>
      </c>
      <c r="E54" s="4">
        <v>36617</v>
      </c>
      <c r="F54" s="114">
        <v>36981</v>
      </c>
      <c r="G54" s="1" t="s">
        <v>150</v>
      </c>
      <c r="H54" s="1" t="s">
        <v>250</v>
      </c>
      <c r="I54" s="3" t="s">
        <v>77</v>
      </c>
      <c r="J54" s="8">
        <f t="shared" si="5"/>
        <v>0.20648387096774193</v>
      </c>
      <c r="K54" s="5"/>
      <c r="L54" s="5"/>
      <c r="M54" s="5"/>
      <c r="N54" s="5"/>
      <c r="O54" s="41"/>
      <c r="P54" s="5"/>
      <c r="Q54" s="119">
        <v>66940</v>
      </c>
      <c r="R54" s="113">
        <v>1</v>
      </c>
      <c r="S54" s="29" t="s">
        <v>204</v>
      </c>
      <c r="T54" s="9">
        <f t="shared" si="6"/>
        <v>0.20648387096774193</v>
      </c>
      <c r="U54" s="9"/>
      <c r="V54" s="54">
        <v>228134</v>
      </c>
      <c r="W54" s="1"/>
      <c r="X54" s="36"/>
      <c r="Y54" s="36"/>
    </row>
    <row r="55" spans="2:25" s="59" customFormat="1" x14ac:dyDescent="0.25">
      <c r="B55" s="1" t="s">
        <v>148</v>
      </c>
      <c r="C55" s="3" t="s">
        <v>68</v>
      </c>
      <c r="D55" s="3" t="s">
        <v>69</v>
      </c>
      <c r="E55" s="4">
        <v>36647</v>
      </c>
      <c r="F55" s="114">
        <v>37011</v>
      </c>
      <c r="G55" s="1" t="s">
        <v>262</v>
      </c>
      <c r="H55" s="1" t="s">
        <v>263</v>
      </c>
      <c r="I55" s="3" t="s">
        <v>77</v>
      </c>
      <c r="J55" s="8">
        <f>6.401/J1</f>
        <v>0.20648387096774193</v>
      </c>
      <c r="K55" s="5"/>
      <c r="L55" s="5"/>
      <c r="M55" s="5"/>
      <c r="N55" s="5"/>
      <c r="O55" s="41"/>
      <c r="P55" s="5"/>
      <c r="Q55" s="119">
        <v>68188</v>
      </c>
      <c r="R55" s="113">
        <v>1</v>
      </c>
      <c r="S55" s="1" t="s">
        <v>264</v>
      </c>
      <c r="T55" s="9">
        <f>+J55*R55*13</f>
        <v>2.6842903225806451</v>
      </c>
      <c r="U55" s="9"/>
      <c r="V55" s="54">
        <v>253195</v>
      </c>
      <c r="W55" s="1"/>
      <c r="X55" s="36"/>
      <c r="Y55" s="36"/>
    </row>
    <row r="56" spans="2:25" s="107" customFormat="1" x14ac:dyDescent="0.25">
      <c r="B56" s="55" t="s">
        <v>148</v>
      </c>
      <c r="C56" s="39" t="s">
        <v>68</v>
      </c>
      <c r="D56" s="39" t="s">
        <v>145</v>
      </c>
      <c r="E56" s="104">
        <v>36312</v>
      </c>
      <c r="F56" s="104">
        <v>37011</v>
      </c>
      <c r="G56" s="57" t="s">
        <v>76</v>
      </c>
      <c r="H56" s="57" t="s">
        <v>289</v>
      </c>
      <c r="I56" s="39" t="s">
        <v>77</v>
      </c>
      <c r="J56" s="105"/>
      <c r="K56" s="23"/>
      <c r="L56" s="23"/>
      <c r="M56" s="23"/>
      <c r="N56" s="23"/>
      <c r="O56" s="106"/>
      <c r="P56" s="23"/>
      <c r="Q56" s="47">
        <v>65403</v>
      </c>
      <c r="R56" s="39"/>
      <c r="S56" s="55" t="s">
        <v>312</v>
      </c>
      <c r="T56" s="28"/>
      <c r="U56" s="28"/>
      <c r="V56" s="50"/>
      <c r="W56" s="55" t="s">
        <v>311</v>
      </c>
      <c r="X56" s="35"/>
      <c r="Y56" s="35"/>
    </row>
    <row r="57" spans="2:25" s="107" customFormat="1" x14ac:dyDescent="0.25">
      <c r="B57" s="55" t="s">
        <v>148</v>
      </c>
      <c r="C57" s="39" t="s">
        <v>68</v>
      </c>
      <c r="D57" s="39" t="s">
        <v>113</v>
      </c>
      <c r="E57" s="104">
        <v>36739</v>
      </c>
      <c r="F57" s="196">
        <v>37103</v>
      </c>
      <c r="G57" s="55" t="s">
        <v>150</v>
      </c>
      <c r="H57" s="55" t="s">
        <v>313</v>
      </c>
      <c r="I57" s="39" t="s">
        <v>77</v>
      </c>
      <c r="J57" s="8">
        <f>6.401/$J$1</f>
        <v>0.20648387096774193</v>
      </c>
      <c r="K57" s="23"/>
      <c r="L57" s="23"/>
      <c r="M57" s="23"/>
      <c r="N57" s="23"/>
      <c r="O57" s="106"/>
      <c r="P57" s="23"/>
      <c r="Q57" s="194">
        <v>68928</v>
      </c>
      <c r="R57" s="195">
        <v>47</v>
      </c>
      <c r="S57" s="55" t="s">
        <v>3</v>
      </c>
      <c r="T57" s="28">
        <f>+J57*R57</f>
        <v>9.7047419354838702</v>
      </c>
      <c r="U57" s="28"/>
      <c r="V57" s="50">
        <v>351966</v>
      </c>
      <c r="W57" s="55"/>
      <c r="X57" s="35"/>
      <c r="Y57" s="35"/>
    </row>
    <row r="58" spans="2:25" s="107" customFormat="1" x14ac:dyDescent="0.25">
      <c r="B58" s="55" t="s">
        <v>148</v>
      </c>
      <c r="C58" s="39" t="s">
        <v>68</v>
      </c>
      <c r="D58" s="39" t="s">
        <v>70</v>
      </c>
      <c r="E58" s="104">
        <v>36770</v>
      </c>
      <c r="F58" s="196">
        <v>37134</v>
      </c>
      <c r="G58" s="55" t="s">
        <v>150</v>
      </c>
      <c r="H58" s="55" t="s">
        <v>316</v>
      </c>
      <c r="I58" s="39" t="s">
        <v>77</v>
      </c>
      <c r="J58" s="8">
        <f>6.401/$J$1</f>
        <v>0.20648387096774193</v>
      </c>
      <c r="K58" s="23"/>
      <c r="L58" s="23"/>
      <c r="M58" s="23"/>
      <c r="N58" s="23"/>
      <c r="O58" s="106"/>
      <c r="P58" s="23"/>
      <c r="Q58" s="194">
        <v>69144</v>
      </c>
      <c r="R58" s="195">
        <v>62</v>
      </c>
      <c r="S58" s="55" t="s">
        <v>317</v>
      </c>
      <c r="T58" s="28">
        <f>+J58*R58</f>
        <v>12.802</v>
      </c>
      <c r="U58" s="28"/>
      <c r="V58" s="50"/>
      <c r="W58" s="55"/>
      <c r="X58" s="35"/>
      <c r="Y58" s="35"/>
    </row>
    <row r="59" spans="2:25" s="156" customFormat="1" x14ac:dyDescent="0.25">
      <c r="B59" s="157" t="s">
        <v>148</v>
      </c>
      <c r="C59" s="158" t="s">
        <v>68</v>
      </c>
      <c r="D59" s="158" t="s">
        <v>70</v>
      </c>
      <c r="E59" s="159">
        <v>36800</v>
      </c>
      <c r="F59" s="196">
        <v>37164</v>
      </c>
      <c r="G59" s="157" t="s">
        <v>150</v>
      </c>
      <c r="H59" s="157" t="s">
        <v>341</v>
      </c>
      <c r="I59" s="158" t="s">
        <v>77</v>
      </c>
      <c r="J59" s="160">
        <f>6.401/J1</f>
        <v>0.20648387096774193</v>
      </c>
      <c r="K59" s="161"/>
      <c r="L59" s="161"/>
      <c r="M59" s="161"/>
      <c r="N59" s="161"/>
      <c r="O59" s="162"/>
      <c r="P59" s="161"/>
      <c r="Q59" s="194">
        <v>69424</v>
      </c>
      <c r="R59" s="195">
        <v>13</v>
      </c>
      <c r="S59" s="157" t="s">
        <v>342</v>
      </c>
      <c r="T59" s="163">
        <f>+J59*R59</f>
        <v>2.6842903225806451</v>
      </c>
      <c r="U59" s="163"/>
      <c r="V59" s="164">
        <v>418221</v>
      </c>
      <c r="W59" s="157"/>
      <c r="X59" s="165"/>
      <c r="Y59" s="165"/>
    </row>
    <row r="60" spans="2:25" s="107" customFormat="1" x14ac:dyDescent="0.25">
      <c r="B60" s="55" t="s">
        <v>148</v>
      </c>
      <c r="C60" s="39" t="s">
        <v>68</v>
      </c>
      <c r="D60" s="39" t="s">
        <v>113</v>
      </c>
      <c r="E60" s="104">
        <v>36647</v>
      </c>
      <c r="F60" s="196">
        <v>37011</v>
      </c>
      <c r="G60" s="55" t="s">
        <v>150</v>
      </c>
      <c r="H60" s="55" t="s">
        <v>268</v>
      </c>
      <c r="I60" s="39" t="s">
        <v>77</v>
      </c>
      <c r="J60" s="8">
        <f>6.401/$J$1</f>
        <v>0.20648387096774193</v>
      </c>
      <c r="K60" s="23"/>
      <c r="L60" s="23"/>
      <c r="M60" s="23"/>
      <c r="N60" s="23"/>
      <c r="O60" s="106"/>
      <c r="P60" s="23"/>
      <c r="Q60" s="194">
        <v>68257</v>
      </c>
      <c r="R60" s="195">
        <v>21</v>
      </c>
      <c r="S60" s="55" t="s">
        <v>269</v>
      </c>
      <c r="T60" s="28">
        <f t="shared" si="6"/>
        <v>4.3361612903225808</v>
      </c>
      <c r="U60" s="28"/>
      <c r="V60" s="50">
        <v>254718</v>
      </c>
      <c r="W60" s="55"/>
      <c r="X60" s="35"/>
      <c r="Y60" s="35"/>
    </row>
    <row r="61" spans="2:25" x14ac:dyDescent="0.25">
      <c r="T61" s="9">
        <f t="shared" si="6"/>
        <v>0</v>
      </c>
    </row>
    <row r="62" spans="2:25" x14ac:dyDescent="0.25">
      <c r="B62" s="10" t="s">
        <v>34</v>
      </c>
      <c r="C62" s="11" t="s">
        <v>34</v>
      </c>
      <c r="D62" s="11" t="s">
        <v>34</v>
      </c>
      <c r="E62" s="13" t="s">
        <v>34</v>
      </c>
      <c r="F62" s="13" t="s">
        <v>34</v>
      </c>
      <c r="G62" s="10" t="s">
        <v>34</v>
      </c>
      <c r="H62" s="30" t="s">
        <v>34</v>
      </c>
      <c r="I62" s="11" t="s">
        <v>34</v>
      </c>
      <c r="J62" s="14"/>
      <c r="K62" s="15"/>
      <c r="L62" s="15"/>
      <c r="M62" s="15"/>
      <c r="N62" s="15"/>
      <c r="O62" s="43"/>
      <c r="P62" s="15"/>
      <c r="Q62" s="26" t="s">
        <v>34</v>
      </c>
      <c r="R62" s="11">
        <f>SUM(R31:R60)</f>
        <v>21297</v>
      </c>
      <c r="S62" s="10" t="s">
        <v>34</v>
      </c>
      <c r="T62" s="22">
        <f>SUM(T19:T60)</f>
        <v>1206680.6217129033</v>
      </c>
      <c r="U62" s="22" t="e">
        <f>SUM(#REF!)</f>
        <v>#REF!</v>
      </c>
      <c r="V62" s="53"/>
      <c r="W62" s="30"/>
      <c r="X62" s="36"/>
      <c r="Y62" s="36"/>
    </row>
    <row r="63" spans="2:25" x14ac:dyDescent="0.25">
      <c r="B63" s="16" t="s">
        <v>35</v>
      </c>
      <c r="C63" s="17" t="s">
        <v>36</v>
      </c>
      <c r="D63" s="17" t="s">
        <v>37</v>
      </c>
      <c r="E63" s="18" t="s">
        <v>38</v>
      </c>
      <c r="F63" s="18"/>
      <c r="G63" s="16" t="s">
        <v>39</v>
      </c>
      <c r="H63" s="16" t="s">
        <v>40</v>
      </c>
      <c r="I63" s="17" t="s">
        <v>73</v>
      </c>
      <c r="J63" s="19" t="s">
        <v>41</v>
      </c>
      <c r="K63" s="17" t="s">
        <v>42</v>
      </c>
      <c r="L63" s="17" t="s">
        <v>43</v>
      </c>
      <c r="M63" s="17" t="s">
        <v>44</v>
      </c>
      <c r="N63" s="17" t="s">
        <v>45</v>
      </c>
      <c r="O63" s="42" t="s">
        <v>46</v>
      </c>
      <c r="P63" s="17" t="s">
        <v>47</v>
      </c>
      <c r="Q63" s="20" t="s">
        <v>146</v>
      </c>
      <c r="R63" s="17" t="s">
        <v>48</v>
      </c>
      <c r="S63" s="16" t="s">
        <v>49</v>
      </c>
      <c r="T63" s="21" t="s">
        <v>72</v>
      </c>
      <c r="U63" s="21" t="s">
        <v>71</v>
      </c>
      <c r="V63" s="52" t="s">
        <v>147</v>
      </c>
      <c r="W63" s="56">
        <f>+W37</f>
        <v>0</v>
      </c>
      <c r="X63" s="36"/>
      <c r="Y63" s="36"/>
    </row>
    <row r="64" spans="2:25" s="123" customFormat="1" ht="12" customHeight="1" x14ac:dyDescent="0.25">
      <c r="B64" s="112" t="s">
        <v>148</v>
      </c>
      <c r="C64" s="113" t="s">
        <v>176</v>
      </c>
      <c r="D64" s="113" t="s">
        <v>273</v>
      </c>
      <c r="E64" s="114">
        <v>35612</v>
      </c>
      <c r="F64" s="114">
        <v>37437</v>
      </c>
      <c r="G64" s="115" t="s">
        <v>177</v>
      </c>
      <c r="H64" s="112" t="s">
        <v>178</v>
      </c>
      <c r="I64" s="113" t="s">
        <v>77</v>
      </c>
      <c r="J64" s="116">
        <f>+(5.7625+0.2)/J$1</f>
        <v>0.19233870967741937</v>
      </c>
      <c r="K64" s="117">
        <v>0</v>
      </c>
      <c r="L64" s="117">
        <v>2.2000000000000001E-3</v>
      </c>
      <c r="M64" s="117">
        <v>7.1999999999999998E-3</v>
      </c>
      <c r="N64" s="117">
        <v>0</v>
      </c>
      <c r="O64" s="118">
        <v>0</v>
      </c>
      <c r="P64" s="117">
        <f>SUM(J64:N64)</f>
        <v>0.20173870967741939</v>
      </c>
      <c r="Q64" s="119">
        <v>270</v>
      </c>
      <c r="R64" s="113">
        <v>1000</v>
      </c>
      <c r="S64" s="112"/>
      <c r="T64" s="120">
        <f>J64*J$1*R64</f>
        <v>5962.5</v>
      </c>
      <c r="U64" s="120"/>
      <c r="V64" s="121">
        <v>348630</v>
      </c>
      <c r="W64" s="112"/>
      <c r="X64" s="122"/>
      <c r="Y64" s="122"/>
    </row>
    <row r="65" spans="2:25" s="59" customFormat="1" ht="12" customHeight="1" x14ac:dyDescent="0.25">
      <c r="B65" s="1"/>
      <c r="C65" s="3"/>
      <c r="D65" s="3"/>
      <c r="E65" s="4"/>
      <c r="F65" s="4"/>
      <c r="G65" s="29"/>
      <c r="H65" s="29"/>
      <c r="I65" s="3"/>
      <c r="J65" s="8"/>
      <c r="K65" s="5"/>
      <c r="L65" s="5"/>
      <c r="M65" s="5"/>
      <c r="N65" s="5"/>
      <c r="O65" s="41"/>
      <c r="P65" s="5"/>
      <c r="Q65" s="24"/>
      <c r="R65" s="3"/>
      <c r="S65" s="1"/>
      <c r="T65" s="9">
        <f>SUM(T64)</f>
        <v>5962.5</v>
      </c>
      <c r="U65" s="9"/>
      <c r="V65" s="54"/>
      <c r="W65" s="1"/>
      <c r="X65" s="36"/>
      <c r="Y65" s="36"/>
    </row>
    <row r="66" spans="2:25" x14ac:dyDescent="0.25">
      <c r="B66" s="27"/>
      <c r="C66" s="3"/>
      <c r="D66" s="3"/>
      <c r="E66" s="4"/>
      <c r="F66" s="4"/>
      <c r="G66" s="1"/>
      <c r="H66" s="1"/>
      <c r="I66" s="3"/>
      <c r="J66" s="5"/>
      <c r="K66" s="5"/>
      <c r="L66" s="5"/>
      <c r="M66" s="5"/>
      <c r="N66" s="5"/>
      <c r="O66" s="41"/>
      <c r="P66" s="5"/>
      <c r="Q66" s="47"/>
      <c r="R66" s="48"/>
      <c r="S66" s="28"/>
      <c r="T66" s="28"/>
      <c r="U66" s="28"/>
      <c r="V66" s="50"/>
      <c r="W66" s="55"/>
      <c r="X66" s="35"/>
      <c r="Y66" s="35"/>
    </row>
    <row r="67" spans="2:25" x14ac:dyDescent="0.25">
      <c r="B67" s="27"/>
      <c r="C67" s="3"/>
      <c r="D67" s="3"/>
      <c r="E67" s="4"/>
      <c r="F67" s="4"/>
      <c r="G67" s="1"/>
      <c r="H67" s="1"/>
      <c r="I67" s="3"/>
      <c r="J67" s="8"/>
      <c r="K67" s="5"/>
      <c r="L67" s="5"/>
      <c r="M67" s="5"/>
      <c r="N67" s="5"/>
      <c r="O67" s="41"/>
      <c r="P67" s="5"/>
      <c r="Q67" s="47"/>
      <c r="R67" s="48"/>
      <c r="S67" s="28"/>
      <c r="T67" s="28"/>
      <c r="U67" s="28"/>
      <c r="V67" s="50"/>
      <c r="W67" s="55"/>
      <c r="X67" s="35"/>
      <c r="Y67" s="35"/>
    </row>
    <row r="68" spans="2:25" ht="13.8" thickBot="1" x14ac:dyDescent="0.3">
      <c r="B68" s="27"/>
      <c r="C68" s="3"/>
      <c r="D68" s="3"/>
      <c r="E68" s="4"/>
      <c r="F68" s="4"/>
      <c r="G68" s="1"/>
      <c r="H68" s="1"/>
      <c r="I68" s="3"/>
      <c r="J68" s="5"/>
      <c r="K68" s="5"/>
      <c r="L68" s="5"/>
      <c r="M68" s="5"/>
      <c r="N68" s="5"/>
      <c r="O68" s="41"/>
      <c r="P68" s="5"/>
      <c r="Q68" s="47"/>
      <c r="R68" s="48"/>
      <c r="S68" s="28"/>
      <c r="T68" s="103">
        <f>SUM(T65,T62,T17,)</f>
        <v>1213105.4175129032</v>
      </c>
      <c r="U68" s="28" t="s">
        <v>381</v>
      </c>
      <c r="V68" s="50"/>
      <c r="W68" s="55"/>
      <c r="X68" s="35"/>
      <c r="Y68" s="35"/>
    </row>
    <row r="69" spans="2:25" ht="13.8" thickTop="1" x14ac:dyDescent="0.25">
      <c r="B69" s="27"/>
      <c r="C69" s="3"/>
      <c r="D69" s="3"/>
      <c r="E69" s="4"/>
      <c r="F69" s="4"/>
      <c r="G69" s="1"/>
      <c r="H69" s="1"/>
      <c r="I69" s="3"/>
      <c r="J69" s="5"/>
      <c r="K69" s="5"/>
      <c r="L69" s="5"/>
      <c r="M69" s="5"/>
      <c r="N69" s="5"/>
      <c r="O69" s="41"/>
      <c r="P69" s="5"/>
      <c r="Q69" s="47"/>
      <c r="R69" s="48"/>
      <c r="S69" s="28"/>
      <c r="T69" s="28"/>
      <c r="U69" s="55" t="s">
        <v>180</v>
      </c>
      <c r="V69" s="50"/>
      <c r="W69" s="55"/>
      <c r="X69" s="39"/>
      <c r="Y69" s="35"/>
    </row>
    <row r="70" spans="2:25" x14ac:dyDescent="0.25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28"/>
      <c r="U70" s="28"/>
      <c r="V70" s="50"/>
      <c r="W70" s="55"/>
      <c r="X70" s="35"/>
      <c r="Y70" s="35"/>
    </row>
    <row r="71" spans="2:25" x14ac:dyDescent="0.25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1"/>
      <c r="P71" s="5"/>
      <c r="Q71" s="47"/>
      <c r="R71" s="48"/>
      <c r="S71" s="28"/>
      <c r="T71" s="28"/>
      <c r="U71" s="28"/>
      <c r="V71" s="50"/>
      <c r="W71" s="55"/>
      <c r="X71" s="35"/>
      <c r="Y71" s="35"/>
    </row>
    <row r="72" spans="2:25" x14ac:dyDescent="0.25">
      <c r="B72" s="27"/>
      <c r="C72" s="3"/>
      <c r="D72" s="3"/>
      <c r="E72" s="4"/>
      <c r="F72" s="4"/>
      <c r="G72" s="1"/>
      <c r="H72" s="1"/>
      <c r="I72" s="3"/>
      <c r="J72" s="8"/>
      <c r="K72" s="5"/>
      <c r="L72" s="5"/>
      <c r="M72" s="5"/>
      <c r="N72" s="5"/>
      <c r="O72" s="41"/>
      <c r="P72" s="5"/>
      <c r="Q72" s="47"/>
      <c r="R72" s="48"/>
      <c r="S72" s="39"/>
      <c r="T72" s="28"/>
      <c r="U72" s="28"/>
      <c r="V72" s="50"/>
      <c r="W72" s="55"/>
      <c r="X72" s="35"/>
      <c r="Y72" s="35"/>
    </row>
    <row r="73" spans="2:25" x14ac:dyDescent="0.25">
      <c r="B73" s="27"/>
      <c r="C73" s="3"/>
      <c r="D73" s="3"/>
      <c r="E73" s="4"/>
      <c r="F73" s="4"/>
      <c r="G73" s="1"/>
      <c r="H73" s="1"/>
      <c r="I73" s="3"/>
      <c r="J73" s="8"/>
      <c r="K73" s="5"/>
      <c r="L73" s="5"/>
      <c r="M73" s="5"/>
      <c r="N73" s="5"/>
      <c r="O73" s="41"/>
      <c r="P73" s="5"/>
      <c r="Q73" s="47"/>
      <c r="R73" s="48"/>
      <c r="S73" s="39"/>
      <c r="T73" s="28"/>
      <c r="U73" s="28"/>
      <c r="V73" s="50"/>
      <c r="W73" s="55"/>
      <c r="X73" s="35"/>
      <c r="Y73" s="35"/>
    </row>
    <row r="74" spans="2:25" x14ac:dyDescent="0.25">
      <c r="Q74" s="34"/>
      <c r="R74" s="34"/>
      <c r="S74" s="34"/>
      <c r="T74" s="34"/>
      <c r="U74" s="34"/>
      <c r="V74" s="49"/>
      <c r="W74" s="58"/>
      <c r="X74" s="49"/>
    </row>
    <row r="75" spans="2:25" x14ac:dyDescent="0.25">
      <c r="Q75" s="34"/>
      <c r="R75" s="34"/>
      <c r="S75" s="34"/>
      <c r="T75" s="34"/>
      <c r="U75" s="34"/>
      <c r="V75" s="49"/>
      <c r="W75" s="58"/>
      <c r="X75" s="49"/>
    </row>
  </sheetData>
  <pageMargins left="0.75" right="0.75" top="1" bottom="1" header="0.5" footer="0.5"/>
  <pageSetup paperSize="5" scale="39" fitToHeight="0" orientation="landscape" r:id="rId1"/>
  <headerFooter alignWithMargins="0">
    <oddFooter>&amp;L&amp;F 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I12" sqref="I12"/>
    </sheetView>
  </sheetViews>
  <sheetFormatPr defaultRowHeight="13.2" x14ac:dyDescent="0.25"/>
  <cols>
    <col min="9" max="9" width="11.33203125" customWidth="1"/>
    <col min="11" max="11" width="11.33203125" customWidth="1"/>
    <col min="13" max="13" width="12.5546875" customWidth="1"/>
  </cols>
  <sheetData>
    <row r="1" spans="2:17" x14ac:dyDescent="0.25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5">
      <c r="B2" s="93"/>
      <c r="C2" s="93" t="s">
        <v>4</v>
      </c>
      <c r="D2" s="93">
        <v>37147</v>
      </c>
      <c r="E2" s="93" t="s">
        <v>5</v>
      </c>
      <c r="F2" s="93" t="s">
        <v>6</v>
      </c>
      <c r="G2" s="93" t="s">
        <v>6</v>
      </c>
      <c r="H2" s="94">
        <v>35582</v>
      </c>
      <c r="I2" s="93" t="s">
        <v>6</v>
      </c>
      <c r="J2" s="93" t="s">
        <v>6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  <c r="P2" s="93">
        <v>0</v>
      </c>
      <c r="Q2" s="93" t="s">
        <v>6</v>
      </c>
    </row>
    <row r="3" spans="2:17" x14ac:dyDescent="0.25">
      <c r="B3" s="95"/>
      <c r="C3" s="95" t="s">
        <v>4</v>
      </c>
      <c r="D3" s="95">
        <v>39149</v>
      </c>
      <c r="E3" s="95" t="s">
        <v>203</v>
      </c>
      <c r="F3" s="95" t="s">
        <v>6</v>
      </c>
      <c r="G3" s="95" t="s">
        <v>6</v>
      </c>
      <c r="H3" s="96">
        <v>35582</v>
      </c>
      <c r="I3" s="95" t="s">
        <v>6</v>
      </c>
      <c r="J3" s="95" t="s">
        <v>6</v>
      </c>
      <c r="K3" s="97">
        <v>500000</v>
      </c>
      <c r="L3" s="95">
        <v>0</v>
      </c>
      <c r="M3" s="97">
        <v>500000</v>
      </c>
      <c r="N3" s="95">
        <v>0</v>
      </c>
      <c r="O3" s="95">
        <v>0</v>
      </c>
      <c r="P3" s="95">
        <v>0</v>
      </c>
      <c r="Q3" s="95" t="s">
        <v>6</v>
      </c>
    </row>
    <row r="4" spans="2:17" x14ac:dyDescent="0.25">
      <c r="B4" s="93"/>
      <c r="C4" s="93" t="s">
        <v>4</v>
      </c>
      <c r="D4" s="93">
        <v>39607</v>
      </c>
      <c r="E4" s="93" t="s">
        <v>7</v>
      </c>
      <c r="F4" s="93" t="s">
        <v>6</v>
      </c>
      <c r="G4" s="93" t="s">
        <v>6</v>
      </c>
      <c r="H4" s="94">
        <v>35582</v>
      </c>
      <c r="I4" s="93" t="s">
        <v>6</v>
      </c>
      <c r="J4" s="93" t="s">
        <v>6</v>
      </c>
      <c r="K4" s="98">
        <v>10000000</v>
      </c>
      <c r="L4" s="93">
        <v>0</v>
      </c>
      <c r="M4" s="98">
        <v>10000000</v>
      </c>
      <c r="N4" s="93">
        <v>0</v>
      </c>
      <c r="O4" s="93">
        <v>0</v>
      </c>
      <c r="P4" s="93">
        <v>0</v>
      </c>
      <c r="Q4" s="93" t="s">
        <v>6</v>
      </c>
    </row>
    <row r="5" spans="2:17" x14ac:dyDescent="0.25">
      <c r="B5" s="95"/>
      <c r="C5" s="95" t="s">
        <v>4</v>
      </c>
      <c r="D5" s="95">
        <v>39764</v>
      </c>
      <c r="E5" s="95" t="s">
        <v>8</v>
      </c>
      <c r="F5" s="95" t="s">
        <v>6</v>
      </c>
      <c r="G5" s="95" t="s">
        <v>6</v>
      </c>
      <c r="H5" s="96">
        <v>35582</v>
      </c>
      <c r="I5" s="95" t="s">
        <v>6</v>
      </c>
      <c r="J5" s="95" t="s">
        <v>6</v>
      </c>
      <c r="K5" s="97">
        <v>60000</v>
      </c>
      <c r="L5" s="95">
        <v>0</v>
      </c>
      <c r="M5" s="97">
        <v>60000</v>
      </c>
      <c r="N5" s="95">
        <v>0</v>
      </c>
      <c r="O5" s="95">
        <v>0</v>
      </c>
      <c r="P5" s="95">
        <v>0</v>
      </c>
      <c r="Q5" s="95" t="s">
        <v>6</v>
      </c>
    </row>
    <row r="6" spans="2:17" x14ac:dyDescent="0.25">
      <c r="B6" s="93"/>
      <c r="C6" s="93" t="s">
        <v>4</v>
      </c>
      <c r="D6" s="93">
        <v>40998</v>
      </c>
      <c r="E6" s="93" t="s">
        <v>9</v>
      </c>
      <c r="F6" s="93" t="s">
        <v>6</v>
      </c>
      <c r="G6" s="93" t="s">
        <v>6</v>
      </c>
      <c r="H6" s="94">
        <v>34393</v>
      </c>
      <c r="I6" s="93" t="s">
        <v>6</v>
      </c>
      <c r="J6" s="93" t="s">
        <v>6</v>
      </c>
      <c r="K6" s="98">
        <v>250000</v>
      </c>
      <c r="L6" s="93">
        <v>0</v>
      </c>
      <c r="M6" s="98">
        <v>250000</v>
      </c>
      <c r="N6" s="93">
        <v>0</v>
      </c>
      <c r="O6" s="93">
        <v>0</v>
      </c>
      <c r="P6" s="93">
        <v>0</v>
      </c>
      <c r="Q6" s="93" t="s">
        <v>6</v>
      </c>
    </row>
    <row r="7" spans="2:17" x14ac:dyDescent="0.25">
      <c r="B7" s="95"/>
      <c r="C7" s="95" t="s">
        <v>4</v>
      </c>
      <c r="D7" s="95">
        <v>60094</v>
      </c>
      <c r="E7" s="95" t="s">
        <v>10</v>
      </c>
      <c r="F7" s="95" t="s">
        <v>6</v>
      </c>
      <c r="G7" s="95" t="s">
        <v>6</v>
      </c>
      <c r="H7" s="96">
        <v>35916</v>
      </c>
      <c r="I7" s="95" t="s">
        <v>6</v>
      </c>
      <c r="J7" s="95" t="s">
        <v>6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  <c r="P7" s="95">
        <v>0</v>
      </c>
      <c r="Q7" s="95" t="s">
        <v>6</v>
      </c>
    </row>
    <row r="8" spans="2:17" x14ac:dyDescent="0.25">
      <c r="B8" s="93"/>
      <c r="C8" s="93" t="s">
        <v>4</v>
      </c>
      <c r="D8" s="93">
        <v>61822</v>
      </c>
      <c r="E8" s="93" t="s">
        <v>77</v>
      </c>
      <c r="F8" s="93" t="s">
        <v>6</v>
      </c>
      <c r="G8" s="93" t="s">
        <v>6</v>
      </c>
      <c r="H8" s="94">
        <v>36557</v>
      </c>
      <c r="I8" s="93" t="s">
        <v>6</v>
      </c>
      <c r="J8" s="93">
        <v>22429</v>
      </c>
      <c r="K8" s="98">
        <v>4000</v>
      </c>
      <c r="L8" s="93">
        <v>0</v>
      </c>
      <c r="M8" s="98">
        <v>4000</v>
      </c>
      <c r="N8" s="93">
        <v>0</v>
      </c>
      <c r="O8" s="93">
        <v>0</v>
      </c>
      <c r="P8" s="93">
        <v>0</v>
      </c>
      <c r="Q8" s="93" t="s">
        <v>6</v>
      </c>
    </row>
    <row r="9" spans="2:17" x14ac:dyDescent="0.25">
      <c r="B9" s="95"/>
      <c r="C9" s="95" t="s">
        <v>4</v>
      </c>
      <c r="D9" s="95">
        <v>61825</v>
      </c>
      <c r="E9" s="95" t="s">
        <v>77</v>
      </c>
      <c r="F9" s="95" t="s">
        <v>6</v>
      </c>
      <c r="G9" s="95" t="s">
        <v>6</v>
      </c>
      <c r="H9" s="96">
        <v>36557</v>
      </c>
      <c r="I9" s="96">
        <v>36830</v>
      </c>
      <c r="J9" s="95">
        <v>22428</v>
      </c>
      <c r="K9" s="97">
        <v>8000</v>
      </c>
      <c r="L9" s="95">
        <v>0</v>
      </c>
      <c r="M9" s="97">
        <v>8000</v>
      </c>
      <c r="N9" s="95">
        <v>0</v>
      </c>
      <c r="O9" s="95">
        <v>0</v>
      </c>
      <c r="P9" s="95">
        <v>0</v>
      </c>
      <c r="Q9" s="95" t="s">
        <v>6</v>
      </c>
    </row>
    <row r="10" spans="2:17" x14ac:dyDescent="0.25">
      <c r="B10" s="93"/>
      <c r="C10" s="93" t="s">
        <v>4</v>
      </c>
      <c r="D10" s="93">
        <v>61838</v>
      </c>
      <c r="E10" s="93" t="s">
        <v>77</v>
      </c>
      <c r="F10" s="93" t="s">
        <v>6</v>
      </c>
      <c r="G10" s="93" t="s">
        <v>6</v>
      </c>
      <c r="H10" s="94">
        <v>36557</v>
      </c>
      <c r="I10" s="93" t="s">
        <v>6</v>
      </c>
      <c r="J10" s="93">
        <v>22422</v>
      </c>
      <c r="K10" s="98">
        <v>1000</v>
      </c>
      <c r="L10" s="93">
        <v>0</v>
      </c>
      <c r="M10" s="98">
        <v>1000</v>
      </c>
      <c r="N10" s="93">
        <v>0</v>
      </c>
      <c r="O10" s="93">
        <v>0</v>
      </c>
      <c r="P10" s="93">
        <v>0</v>
      </c>
      <c r="Q10" s="93" t="s">
        <v>6</v>
      </c>
    </row>
    <row r="11" spans="2:17" x14ac:dyDescent="0.25">
      <c r="B11" s="95"/>
      <c r="C11" s="95" t="s">
        <v>4</v>
      </c>
      <c r="D11" s="95">
        <v>61990</v>
      </c>
      <c r="E11" s="95" t="s">
        <v>77</v>
      </c>
      <c r="F11" s="95" t="s">
        <v>6</v>
      </c>
      <c r="G11" s="95" t="s">
        <v>6</v>
      </c>
      <c r="H11" s="96">
        <v>36557</v>
      </c>
      <c r="I11" s="95" t="s">
        <v>6</v>
      </c>
      <c r="J11" s="95">
        <v>22747</v>
      </c>
      <c r="K11" s="97">
        <v>2000</v>
      </c>
      <c r="L11" s="95">
        <v>0</v>
      </c>
      <c r="M11" s="97">
        <v>2000</v>
      </c>
      <c r="N11" s="95">
        <v>0</v>
      </c>
      <c r="O11" s="95">
        <v>0</v>
      </c>
      <c r="P11" s="95">
        <v>0</v>
      </c>
      <c r="Q11" s="95" t="s">
        <v>6</v>
      </c>
    </row>
    <row r="12" spans="2:17" x14ac:dyDescent="0.25">
      <c r="B12" s="93"/>
      <c r="C12" s="93" t="s">
        <v>4</v>
      </c>
      <c r="D12" s="93">
        <v>62164</v>
      </c>
      <c r="E12" s="93" t="s">
        <v>77</v>
      </c>
      <c r="F12" s="93" t="s">
        <v>6</v>
      </c>
      <c r="G12" s="93" t="s">
        <v>6</v>
      </c>
      <c r="H12" s="94">
        <v>36557</v>
      </c>
      <c r="I12" s="94">
        <v>36891</v>
      </c>
      <c r="J12" s="93">
        <v>23652</v>
      </c>
      <c r="K12" s="98">
        <v>2000</v>
      </c>
      <c r="L12" s="93">
        <v>0</v>
      </c>
      <c r="M12" s="98">
        <v>2000</v>
      </c>
      <c r="N12" s="93">
        <v>0</v>
      </c>
      <c r="O12" s="93">
        <v>0</v>
      </c>
      <c r="P12" s="93">
        <v>0</v>
      </c>
      <c r="Q12" s="93" t="s">
        <v>6</v>
      </c>
    </row>
    <row r="13" spans="2:17" x14ac:dyDescent="0.25">
      <c r="B13" s="95"/>
      <c r="C13" s="95" t="s">
        <v>4</v>
      </c>
      <c r="D13" s="95">
        <v>64034</v>
      </c>
      <c r="E13" s="95" t="s">
        <v>77</v>
      </c>
      <c r="F13" s="95" t="s">
        <v>6</v>
      </c>
      <c r="G13" s="95" t="s">
        <v>6</v>
      </c>
      <c r="H13" s="96">
        <v>36557</v>
      </c>
      <c r="I13" s="96">
        <v>36707</v>
      </c>
      <c r="J13" s="95">
        <v>25699</v>
      </c>
      <c r="K13" s="95">
        <v>911</v>
      </c>
      <c r="L13" s="95">
        <v>0</v>
      </c>
      <c r="M13" s="95">
        <v>911</v>
      </c>
      <c r="N13" s="95">
        <v>0</v>
      </c>
      <c r="O13" s="95">
        <v>0</v>
      </c>
      <c r="P13" s="95">
        <v>0</v>
      </c>
      <c r="Q13" s="95" t="s">
        <v>6</v>
      </c>
    </row>
    <row r="14" spans="2:17" x14ac:dyDescent="0.25">
      <c r="B14" s="93"/>
      <c r="C14" s="93" t="s">
        <v>4</v>
      </c>
      <c r="D14" s="93">
        <v>64036</v>
      </c>
      <c r="E14" s="93" t="s">
        <v>77</v>
      </c>
      <c r="F14" s="93" t="s">
        <v>6</v>
      </c>
      <c r="G14" s="93" t="s">
        <v>6</v>
      </c>
      <c r="H14" s="94">
        <v>36557</v>
      </c>
      <c r="I14" s="94">
        <v>36707</v>
      </c>
      <c r="J14" s="93">
        <v>25712</v>
      </c>
      <c r="K14" s="93">
        <v>1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 t="s">
        <v>6</v>
      </c>
    </row>
    <row r="15" spans="2:17" x14ac:dyDescent="0.25">
      <c r="B15" s="95"/>
      <c r="C15" s="95" t="s">
        <v>4</v>
      </c>
      <c r="D15" s="95">
        <v>64328</v>
      </c>
      <c r="E15" s="95" t="s">
        <v>77</v>
      </c>
      <c r="F15" s="95" t="s">
        <v>6</v>
      </c>
      <c r="G15" s="95" t="s">
        <v>6</v>
      </c>
      <c r="H15" s="96">
        <v>36557</v>
      </c>
      <c r="I15" s="96">
        <v>36738</v>
      </c>
      <c r="J15" s="95">
        <v>25955</v>
      </c>
      <c r="K15" s="95">
        <v>51</v>
      </c>
      <c r="L15" s="95">
        <v>0</v>
      </c>
      <c r="M15" s="95">
        <v>51</v>
      </c>
      <c r="N15" s="95">
        <v>0</v>
      </c>
      <c r="O15" s="95">
        <v>0</v>
      </c>
      <c r="P15" s="95">
        <v>0</v>
      </c>
      <c r="Q15" s="95" t="s">
        <v>6</v>
      </c>
    </row>
    <row r="16" spans="2:17" x14ac:dyDescent="0.25">
      <c r="B16" s="93"/>
      <c r="C16" s="93" t="s">
        <v>4</v>
      </c>
      <c r="D16" s="93">
        <v>64329</v>
      </c>
      <c r="E16" s="93" t="s">
        <v>77</v>
      </c>
      <c r="F16" s="93" t="s">
        <v>6</v>
      </c>
      <c r="G16" s="93" t="s">
        <v>6</v>
      </c>
      <c r="H16" s="94">
        <v>36557</v>
      </c>
      <c r="I16" s="94">
        <v>36738</v>
      </c>
      <c r="J16" s="93">
        <v>25965</v>
      </c>
      <c r="K16" s="93">
        <v>12</v>
      </c>
      <c r="L16" s="93">
        <v>0</v>
      </c>
      <c r="M16" s="93">
        <v>12</v>
      </c>
      <c r="N16" s="93">
        <v>0</v>
      </c>
      <c r="O16" s="93">
        <v>0</v>
      </c>
      <c r="P16" s="93">
        <v>0</v>
      </c>
      <c r="Q16" s="93" t="s">
        <v>6</v>
      </c>
    </row>
    <row r="17" spans="2:17" x14ac:dyDescent="0.25">
      <c r="B17" s="95"/>
      <c r="C17" s="95" t="s">
        <v>4</v>
      </c>
      <c r="D17" s="95">
        <v>64356</v>
      </c>
      <c r="E17" s="95" t="s">
        <v>11</v>
      </c>
      <c r="F17" s="95" t="s">
        <v>12</v>
      </c>
      <c r="G17" s="95" t="s">
        <v>6</v>
      </c>
      <c r="H17" s="96">
        <v>36526</v>
      </c>
      <c r="I17" s="96">
        <v>36707</v>
      </c>
      <c r="J17" s="95" t="s">
        <v>6</v>
      </c>
      <c r="K17" s="97">
        <v>310000</v>
      </c>
      <c r="L17" s="95">
        <v>0</v>
      </c>
      <c r="M17" s="97">
        <v>310000</v>
      </c>
      <c r="N17" s="95">
        <v>0</v>
      </c>
      <c r="O17" s="95">
        <v>0</v>
      </c>
      <c r="P17" s="95">
        <v>0</v>
      </c>
      <c r="Q17" s="95"/>
    </row>
    <row r="18" spans="2:17" x14ac:dyDescent="0.25">
      <c r="B18" s="93"/>
      <c r="C18" s="93" t="s">
        <v>4</v>
      </c>
      <c r="D18" s="93">
        <v>64651</v>
      </c>
      <c r="E18" s="93" t="s">
        <v>77</v>
      </c>
      <c r="F18" s="93" t="s">
        <v>6</v>
      </c>
      <c r="G18" s="93" t="s">
        <v>6</v>
      </c>
      <c r="H18" s="94">
        <v>36557</v>
      </c>
      <c r="I18" s="94">
        <v>36769</v>
      </c>
      <c r="J18" s="93">
        <v>26150</v>
      </c>
      <c r="K18" s="93">
        <v>64</v>
      </c>
      <c r="L18" s="93">
        <v>0</v>
      </c>
      <c r="M18" s="93">
        <v>64</v>
      </c>
      <c r="N18" s="93">
        <v>0</v>
      </c>
      <c r="O18" s="93">
        <v>0</v>
      </c>
      <c r="P18" s="93">
        <v>0</v>
      </c>
      <c r="Q18" s="93" t="s">
        <v>6</v>
      </c>
    </row>
    <row r="19" spans="2:17" x14ac:dyDescent="0.25">
      <c r="B19" s="95"/>
      <c r="C19" s="95" t="s">
        <v>4</v>
      </c>
      <c r="D19" s="95">
        <v>64862</v>
      </c>
      <c r="E19" s="95" t="s">
        <v>77</v>
      </c>
      <c r="F19" s="95" t="s">
        <v>6</v>
      </c>
      <c r="G19" s="95" t="s">
        <v>6</v>
      </c>
      <c r="H19" s="96">
        <v>36557</v>
      </c>
      <c r="I19" s="96">
        <v>36799</v>
      </c>
      <c r="J19" s="95">
        <v>26503</v>
      </c>
      <c r="K19" s="95">
        <v>13</v>
      </c>
      <c r="L19" s="95">
        <v>0</v>
      </c>
      <c r="M19" s="95">
        <v>13</v>
      </c>
      <c r="N19" s="95">
        <v>0</v>
      </c>
      <c r="O19" s="95">
        <v>0</v>
      </c>
      <c r="P19" s="95">
        <v>0</v>
      </c>
      <c r="Q19" s="95" t="s">
        <v>6</v>
      </c>
    </row>
    <row r="20" spans="2:17" x14ac:dyDescent="0.25">
      <c r="B20" s="93"/>
      <c r="C20" s="93" t="s">
        <v>4</v>
      </c>
      <c r="D20" s="93">
        <v>64939</v>
      </c>
      <c r="E20" s="93" t="s">
        <v>77</v>
      </c>
      <c r="F20" s="93" t="s">
        <v>6</v>
      </c>
      <c r="G20" s="93" t="s">
        <v>6</v>
      </c>
      <c r="H20" s="94">
        <v>36557</v>
      </c>
      <c r="I20" s="94">
        <v>36799</v>
      </c>
      <c r="J20" s="93">
        <v>26577</v>
      </c>
      <c r="K20" s="98">
        <v>2300</v>
      </c>
      <c r="L20" s="93">
        <v>0</v>
      </c>
      <c r="M20" s="98">
        <v>2300</v>
      </c>
      <c r="N20" s="93">
        <v>0</v>
      </c>
      <c r="O20" s="93">
        <v>0</v>
      </c>
      <c r="P20" s="93">
        <v>0</v>
      </c>
      <c r="Q20" s="93" t="s">
        <v>6</v>
      </c>
    </row>
    <row r="21" spans="2:17" x14ac:dyDescent="0.25">
      <c r="B21" s="95"/>
      <c r="C21" s="95" t="s">
        <v>4</v>
      </c>
      <c r="D21" s="95">
        <v>65026</v>
      </c>
      <c r="E21" s="95" t="s">
        <v>77</v>
      </c>
      <c r="F21" s="95" t="s">
        <v>6</v>
      </c>
      <c r="G21" s="95" t="s">
        <v>6</v>
      </c>
      <c r="H21" s="96">
        <v>36557</v>
      </c>
      <c r="I21" s="96">
        <v>36830</v>
      </c>
      <c r="J21" s="95">
        <v>26726</v>
      </c>
      <c r="K21" s="95">
        <v>128</v>
      </c>
      <c r="L21" s="95">
        <v>0</v>
      </c>
      <c r="M21" s="95">
        <v>128</v>
      </c>
      <c r="N21" s="95">
        <v>0</v>
      </c>
      <c r="O21" s="95">
        <v>0</v>
      </c>
      <c r="P21" s="95">
        <v>0</v>
      </c>
      <c r="Q21" s="95" t="s">
        <v>6</v>
      </c>
    </row>
    <row r="22" spans="2:17" x14ac:dyDescent="0.25">
      <c r="B22" s="93"/>
      <c r="C22" s="93" t="s">
        <v>4</v>
      </c>
      <c r="D22" s="93">
        <v>65041</v>
      </c>
      <c r="E22" s="93" t="s">
        <v>77</v>
      </c>
      <c r="F22" s="93" t="s">
        <v>6</v>
      </c>
      <c r="G22" s="93" t="s">
        <v>6</v>
      </c>
      <c r="H22" s="94">
        <v>36557</v>
      </c>
      <c r="I22" s="94">
        <v>36830</v>
      </c>
      <c r="J22" s="93">
        <v>26754</v>
      </c>
      <c r="K22" s="98">
        <v>9619</v>
      </c>
      <c r="L22" s="93">
        <v>0</v>
      </c>
      <c r="M22" s="98">
        <v>9619</v>
      </c>
      <c r="N22" s="93">
        <v>0</v>
      </c>
      <c r="O22" s="93">
        <v>0</v>
      </c>
      <c r="P22" s="93">
        <v>0</v>
      </c>
      <c r="Q22" s="93" t="s">
        <v>6</v>
      </c>
    </row>
    <row r="23" spans="2:17" x14ac:dyDescent="0.25">
      <c r="B23" s="95"/>
      <c r="C23" s="95" t="s">
        <v>4</v>
      </c>
      <c r="D23" s="95">
        <v>65042</v>
      </c>
      <c r="E23" s="95" t="s">
        <v>77</v>
      </c>
      <c r="F23" s="95" t="s">
        <v>6</v>
      </c>
      <c r="G23" s="95" t="s">
        <v>6</v>
      </c>
      <c r="H23" s="96">
        <v>36557</v>
      </c>
      <c r="I23" s="96">
        <v>36830</v>
      </c>
      <c r="J23" s="95">
        <v>26753</v>
      </c>
      <c r="K23" s="97">
        <v>4427</v>
      </c>
      <c r="L23" s="95">
        <v>0</v>
      </c>
      <c r="M23" s="97">
        <v>4427</v>
      </c>
      <c r="N23" s="95">
        <v>0</v>
      </c>
      <c r="O23" s="95">
        <v>0</v>
      </c>
      <c r="P23" s="95">
        <v>0</v>
      </c>
      <c r="Q23" s="95" t="s">
        <v>6</v>
      </c>
    </row>
    <row r="24" spans="2:17" x14ac:dyDescent="0.25">
      <c r="B24" s="93"/>
      <c r="C24" s="93" t="s">
        <v>4</v>
      </c>
      <c r="D24" s="93">
        <v>65071</v>
      </c>
      <c r="E24" s="93" t="s">
        <v>77</v>
      </c>
      <c r="F24" s="93" t="s">
        <v>6</v>
      </c>
      <c r="G24" s="93" t="s">
        <v>6</v>
      </c>
      <c r="H24" s="94">
        <v>36557</v>
      </c>
      <c r="I24" s="94">
        <v>36830</v>
      </c>
      <c r="J24" s="93">
        <v>26782</v>
      </c>
      <c r="K24" s="98">
        <v>7429</v>
      </c>
      <c r="L24" s="93">
        <v>0</v>
      </c>
      <c r="M24" s="98">
        <v>7035</v>
      </c>
      <c r="N24" s="93">
        <v>394</v>
      </c>
      <c r="O24" s="93">
        <v>0</v>
      </c>
      <c r="P24" s="93">
        <v>0</v>
      </c>
      <c r="Q24" s="93" t="s">
        <v>6</v>
      </c>
    </row>
    <row r="25" spans="2:17" x14ac:dyDescent="0.25">
      <c r="B25" s="95"/>
      <c r="C25" s="95" t="s">
        <v>4</v>
      </c>
      <c r="D25" s="95">
        <v>65108</v>
      </c>
      <c r="E25" s="95" t="s">
        <v>77</v>
      </c>
      <c r="F25" s="95" t="s">
        <v>6</v>
      </c>
      <c r="G25" s="95" t="s">
        <v>6</v>
      </c>
      <c r="H25" s="96">
        <v>36557</v>
      </c>
      <c r="I25" s="96">
        <v>37011</v>
      </c>
      <c r="J25" s="95" t="s">
        <v>6</v>
      </c>
      <c r="K25" s="97">
        <v>5000</v>
      </c>
      <c r="L25" s="95">
        <v>0</v>
      </c>
      <c r="M25" s="97">
        <v>5000</v>
      </c>
      <c r="N25" s="95">
        <v>0</v>
      </c>
      <c r="O25" s="95">
        <v>0</v>
      </c>
      <c r="P25" s="95">
        <v>0</v>
      </c>
      <c r="Q25" s="95" t="s">
        <v>6</v>
      </c>
    </row>
    <row r="26" spans="2:17" x14ac:dyDescent="0.25">
      <c r="B26" s="93"/>
      <c r="C26" s="93" t="s">
        <v>4</v>
      </c>
      <c r="D26" s="93">
        <v>65402</v>
      </c>
      <c r="E26" s="93" t="s">
        <v>77</v>
      </c>
      <c r="F26" s="93" t="s">
        <v>6</v>
      </c>
      <c r="G26" s="93" t="s">
        <v>6</v>
      </c>
      <c r="H26" s="94">
        <v>36557</v>
      </c>
      <c r="I26" s="94">
        <v>36830</v>
      </c>
      <c r="J26" s="93">
        <v>26694</v>
      </c>
      <c r="K26" s="98">
        <v>20000</v>
      </c>
      <c r="L26" s="93">
        <v>0</v>
      </c>
      <c r="M26" s="93">
        <v>0</v>
      </c>
      <c r="N26" s="98">
        <v>20000</v>
      </c>
      <c r="O26" s="93">
        <v>0</v>
      </c>
      <c r="P26" s="93">
        <v>0</v>
      </c>
      <c r="Q26" s="93" t="s">
        <v>6</v>
      </c>
    </row>
    <row r="27" spans="2:17" x14ac:dyDescent="0.25">
      <c r="B27" s="95"/>
      <c r="C27" s="95" t="s">
        <v>4</v>
      </c>
      <c r="D27" s="95">
        <v>65403</v>
      </c>
      <c r="E27" s="95" t="s">
        <v>77</v>
      </c>
      <c r="F27" s="95" t="s">
        <v>6</v>
      </c>
      <c r="G27" s="95" t="s">
        <v>6</v>
      </c>
      <c r="H27" s="96">
        <v>36557</v>
      </c>
      <c r="I27" s="96">
        <v>37011</v>
      </c>
      <c r="J27" s="95">
        <v>26714</v>
      </c>
      <c r="K27" s="97">
        <v>19293</v>
      </c>
      <c r="L27" s="95">
        <v>0</v>
      </c>
      <c r="M27" s="97">
        <v>19293</v>
      </c>
      <c r="N27" s="95">
        <v>0</v>
      </c>
      <c r="O27" s="95">
        <v>0</v>
      </c>
      <c r="P27" s="95">
        <v>0</v>
      </c>
      <c r="Q27" s="95" t="s">
        <v>6</v>
      </c>
    </row>
    <row r="28" spans="2:17" x14ac:dyDescent="0.25">
      <c r="B28" s="93"/>
      <c r="C28" s="93" t="s">
        <v>4</v>
      </c>
      <c r="D28" s="93">
        <v>65418</v>
      </c>
      <c r="E28" s="93" t="s">
        <v>77</v>
      </c>
      <c r="F28" s="93" t="s">
        <v>6</v>
      </c>
      <c r="G28" s="93" t="s">
        <v>6</v>
      </c>
      <c r="H28" s="94">
        <v>36557</v>
      </c>
      <c r="I28" s="93" t="s">
        <v>6</v>
      </c>
      <c r="J28" s="93">
        <v>26722</v>
      </c>
      <c r="K28" s="93">
        <v>500</v>
      </c>
      <c r="L28" s="93">
        <v>0</v>
      </c>
      <c r="M28" s="93">
        <v>500</v>
      </c>
      <c r="N28" s="93">
        <v>0</v>
      </c>
      <c r="O28" s="93">
        <v>0</v>
      </c>
      <c r="P28" s="93">
        <v>0</v>
      </c>
      <c r="Q28" s="93" t="s">
        <v>6</v>
      </c>
    </row>
    <row r="29" spans="2:17" x14ac:dyDescent="0.25">
      <c r="B29" s="95"/>
      <c r="C29" s="95" t="s">
        <v>4</v>
      </c>
      <c r="D29" s="95">
        <v>65556</v>
      </c>
      <c r="E29" s="95" t="s">
        <v>77</v>
      </c>
      <c r="F29" s="95" t="s">
        <v>6</v>
      </c>
      <c r="G29" s="95" t="s">
        <v>6</v>
      </c>
      <c r="H29" s="96">
        <v>36557</v>
      </c>
      <c r="I29" s="96">
        <v>36860</v>
      </c>
      <c r="J29" s="95">
        <v>27127</v>
      </c>
      <c r="K29" s="95">
        <v>3</v>
      </c>
      <c r="L29" s="95">
        <v>0</v>
      </c>
      <c r="M29" s="95">
        <v>3</v>
      </c>
      <c r="N29" s="95">
        <v>0</v>
      </c>
      <c r="O29" s="95">
        <v>0</v>
      </c>
      <c r="P29" s="95">
        <v>0</v>
      </c>
      <c r="Q29" s="95" t="s">
        <v>6</v>
      </c>
    </row>
    <row r="30" spans="2:17" x14ac:dyDescent="0.25">
      <c r="B30" s="93"/>
      <c r="C30" s="93" t="s">
        <v>4</v>
      </c>
      <c r="D30" s="93">
        <v>66280</v>
      </c>
      <c r="E30" s="93" t="s">
        <v>77</v>
      </c>
      <c r="F30" s="93" t="s">
        <v>6</v>
      </c>
      <c r="G30" s="93" t="s">
        <v>6</v>
      </c>
      <c r="H30" s="94">
        <v>36557</v>
      </c>
      <c r="I30" s="94">
        <v>36922</v>
      </c>
      <c r="J30" s="93">
        <v>27772</v>
      </c>
      <c r="K30" s="93">
        <v>5</v>
      </c>
      <c r="L30" s="93">
        <v>0</v>
      </c>
      <c r="M30" s="93">
        <v>5</v>
      </c>
      <c r="N30" s="93">
        <v>0</v>
      </c>
      <c r="O30" s="93">
        <v>0</v>
      </c>
      <c r="P30" s="93">
        <v>0</v>
      </c>
      <c r="Q30" s="93" t="s">
        <v>6</v>
      </c>
    </row>
    <row r="31" spans="2:17" x14ac:dyDescent="0.25">
      <c r="B31" s="95"/>
      <c r="C31" s="95" t="s">
        <v>4</v>
      </c>
      <c r="D31" s="95">
        <v>66917</v>
      </c>
      <c r="E31" s="95" t="s">
        <v>203</v>
      </c>
      <c r="F31" s="95" t="s">
        <v>6</v>
      </c>
      <c r="G31" s="95" t="s">
        <v>6</v>
      </c>
      <c r="H31" s="96">
        <v>36617</v>
      </c>
      <c r="I31" s="95" t="s">
        <v>6</v>
      </c>
      <c r="J31" s="95" t="s">
        <v>6</v>
      </c>
      <c r="K31" s="97">
        <v>50000</v>
      </c>
      <c r="L31" s="95">
        <v>0</v>
      </c>
      <c r="M31" s="97">
        <v>50000</v>
      </c>
      <c r="N31" s="95">
        <v>0</v>
      </c>
      <c r="O31" s="95">
        <v>0</v>
      </c>
      <c r="P31" s="95">
        <v>0</v>
      </c>
      <c r="Q31" s="95" t="s">
        <v>6</v>
      </c>
    </row>
    <row r="32" spans="2:17" x14ac:dyDescent="0.25">
      <c r="B32" s="93"/>
      <c r="C32" s="93" t="s">
        <v>4</v>
      </c>
      <c r="D32" s="93">
        <v>66930</v>
      </c>
      <c r="E32" s="93" t="s">
        <v>77</v>
      </c>
      <c r="F32" s="93" t="s">
        <v>6</v>
      </c>
      <c r="G32" s="93" t="s">
        <v>6</v>
      </c>
      <c r="H32" s="94">
        <v>36617</v>
      </c>
      <c r="I32" s="94">
        <v>36981</v>
      </c>
      <c r="J32" s="93">
        <v>28188</v>
      </c>
      <c r="K32" s="98">
        <v>4000</v>
      </c>
      <c r="L32" s="93">
        <v>0</v>
      </c>
      <c r="M32" s="98">
        <v>4000</v>
      </c>
      <c r="N32" s="93">
        <v>0</v>
      </c>
      <c r="O32" s="93">
        <v>0</v>
      </c>
      <c r="P32" s="93">
        <v>0</v>
      </c>
      <c r="Q32" s="93" t="s">
        <v>6</v>
      </c>
    </row>
    <row r="33" spans="2:17" x14ac:dyDescent="0.25">
      <c r="B33" s="95"/>
      <c r="C33" s="95" t="s">
        <v>4</v>
      </c>
      <c r="D33" s="95">
        <v>66931</v>
      </c>
      <c r="E33" s="95" t="s">
        <v>77</v>
      </c>
      <c r="F33" s="95" t="s">
        <v>6</v>
      </c>
      <c r="G33" s="95" t="s">
        <v>6</v>
      </c>
      <c r="H33" s="96">
        <v>36617</v>
      </c>
      <c r="I33" s="96">
        <v>36981</v>
      </c>
      <c r="J33" s="95">
        <v>28189</v>
      </c>
      <c r="K33" s="97">
        <v>4000</v>
      </c>
      <c r="L33" s="95">
        <v>0</v>
      </c>
      <c r="M33" s="97">
        <v>4000</v>
      </c>
      <c r="N33" s="95">
        <v>0</v>
      </c>
      <c r="O33" s="95">
        <v>0</v>
      </c>
      <c r="P33" s="95">
        <v>0</v>
      </c>
      <c r="Q33" s="95" t="s">
        <v>6</v>
      </c>
    </row>
    <row r="34" spans="2:17" x14ac:dyDescent="0.25">
      <c r="B34" s="93"/>
      <c r="C34" s="93" t="s">
        <v>4</v>
      </c>
      <c r="D34" s="93">
        <v>66932</v>
      </c>
      <c r="E34" s="93" t="s">
        <v>77</v>
      </c>
      <c r="F34" s="93" t="s">
        <v>6</v>
      </c>
      <c r="G34" s="93" t="s">
        <v>6</v>
      </c>
      <c r="H34" s="94">
        <v>36617</v>
      </c>
      <c r="I34" s="94">
        <v>36981</v>
      </c>
      <c r="J34" s="93">
        <v>28176</v>
      </c>
      <c r="K34" s="98">
        <v>4000</v>
      </c>
      <c r="L34" s="93">
        <v>0</v>
      </c>
      <c r="M34" s="98">
        <v>4000</v>
      </c>
      <c r="N34" s="93">
        <v>0</v>
      </c>
      <c r="O34" s="93">
        <v>0</v>
      </c>
      <c r="P34" s="93">
        <v>0</v>
      </c>
      <c r="Q34" s="93" t="s">
        <v>6</v>
      </c>
    </row>
    <row r="35" spans="2:17" x14ac:dyDescent="0.25">
      <c r="B35" s="95"/>
      <c r="C35" s="95" t="s">
        <v>4</v>
      </c>
      <c r="D35" s="95">
        <v>66939</v>
      </c>
      <c r="E35" s="95" t="s">
        <v>77</v>
      </c>
      <c r="F35" s="95" t="s">
        <v>6</v>
      </c>
      <c r="G35" s="95" t="s">
        <v>6</v>
      </c>
      <c r="H35" s="96">
        <v>36617</v>
      </c>
      <c r="I35" s="96">
        <v>36981</v>
      </c>
      <c r="J35" s="95">
        <v>28332</v>
      </c>
      <c r="K35" s="95">
        <v>52</v>
      </c>
      <c r="L35" s="95">
        <v>0</v>
      </c>
      <c r="M35" s="95">
        <v>52</v>
      </c>
      <c r="N35" s="95">
        <v>0</v>
      </c>
      <c r="O35" s="95">
        <v>0</v>
      </c>
      <c r="P35" s="95">
        <v>0</v>
      </c>
      <c r="Q35" s="95" t="s">
        <v>6</v>
      </c>
    </row>
    <row r="36" spans="2:17" x14ac:dyDescent="0.25">
      <c r="B36" s="93"/>
      <c r="C36" s="93" t="s">
        <v>4</v>
      </c>
      <c r="D36" s="93">
        <v>66940</v>
      </c>
      <c r="E36" s="93" t="s">
        <v>77</v>
      </c>
      <c r="F36" s="93" t="s">
        <v>6</v>
      </c>
      <c r="G36" s="93" t="s">
        <v>6</v>
      </c>
      <c r="H36" s="94">
        <v>36617</v>
      </c>
      <c r="I36" s="94">
        <v>36981</v>
      </c>
      <c r="J36" s="93">
        <v>28331</v>
      </c>
      <c r="K36" s="93">
        <v>2</v>
      </c>
      <c r="L36" s="93">
        <v>0</v>
      </c>
      <c r="M36" s="93">
        <v>2</v>
      </c>
      <c r="N36" s="93">
        <v>0</v>
      </c>
      <c r="O36" s="93">
        <v>0</v>
      </c>
      <c r="P36" s="93">
        <v>0</v>
      </c>
      <c r="Q36" s="93" t="s">
        <v>6</v>
      </c>
    </row>
    <row r="37" spans="2:17" x14ac:dyDescent="0.25">
      <c r="B37" s="95"/>
      <c r="C37" s="95" t="s">
        <v>4</v>
      </c>
      <c r="D37" s="95">
        <v>66965</v>
      </c>
      <c r="E37" s="95" t="s">
        <v>95</v>
      </c>
      <c r="F37" s="95" t="s">
        <v>6</v>
      </c>
      <c r="G37" s="95" t="s">
        <v>6</v>
      </c>
      <c r="H37" s="96">
        <v>36617</v>
      </c>
      <c r="I37" s="96">
        <v>36830</v>
      </c>
      <c r="J37" s="95">
        <v>28226</v>
      </c>
      <c r="K37" s="97">
        <v>20000</v>
      </c>
      <c r="L37" s="95">
        <v>0</v>
      </c>
      <c r="M37" s="97">
        <v>20000</v>
      </c>
      <c r="N37" s="95">
        <v>0</v>
      </c>
      <c r="O37" s="95">
        <v>0</v>
      </c>
      <c r="P37" s="95">
        <v>0</v>
      </c>
      <c r="Q37" s="95" t="s">
        <v>6</v>
      </c>
    </row>
    <row r="38" spans="2:17" x14ac:dyDescent="0.25">
      <c r="B38" s="93"/>
      <c r="C38" s="93" t="s">
        <v>4</v>
      </c>
      <c r="D38" s="93">
        <v>67693</v>
      </c>
      <c r="E38" s="93" t="s">
        <v>95</v>
      </c>
      <c r="F38" s="93" t="s">
        <v>6</v>
      </c>
      <c r="G38" s="93" t="s">
        <v>6</v>
      </c>
      <c r="H38" s="94">
        <v>36617</v>
      </c>
      <c r="I38" s="94">
        <v>36799</v>
      </c>
      <c r="J38" s="93">
        <v>28390</v>
      </c>
      <c r="K38" s="98">
        <v>54327</v>
      </c>
      <c r="L38" s="93">
        <v>0</v>
      </c>
      <c r="M38" s="98">
        <v>29827</v>
      </c>
      <c r="N38" s="98">
        <v>24500</v>
      </c>
      <c r="O38" s="93">
        <v>0</v>
      </c>
      <c r="P38" s="93">
        <v>0</v>
      </c>
      <c r="Q38" s="93" t="s">
        <v>6</v>
      </c>
    </row>
    <row r="39" spans="2:17" x14ac:dyDescent="0.25">
      <c r="B39" s="95"/>
      <c r="C39" s="95" t="s">
        <v>4</v>
      </c>
      <c r="D39" s="95">
        <v>67712</v>
      </c>
      <c r="E39" s="95" t="s">
        <v>83</v>
      </c>
      <c r="F39" s="95" t="s">
        <v>6</v>
      </c>
      <c r="G39" s="95" t="s">
        <v>6</v>
      </c>
      <c r="H39" s="96">
        <v>36617</v>
      </c>
      <c r="I39" s="96">
        <v>36981</v>
      </c>
      <c r="J39" s="95">
        <v>28389</v>
      </c>
      <c r="K39" s="97">
        <v>108648</v>
      </c>
      <c r="L39" s="97">
        <v>6050607</v>
      </c>
      <c r="M39" s="97">
        <v>108648</v>
      </c>
      <c r="N39" s="95">
        <v>0</v>
      </c>
      <c r="O39" s="95">
        <v>0</v>
      </c>
      <c r="P39" s="95">
        <v>0</v>
      </c>
      <c r="Q39" s="95">
        <v>67713</v>
      </c>
    </row>
    <row r="40" spans="2:17" x14ac:dyDescent="0.25">
      <c r="B40" s="93"/>
      <c r="C40" s="93" t="s">
        <v>4</v>
      </c>
      <c r="D40" s="93">
        <v>67713</v>
      </c>
      <c r="E40" s="93" t="s">
        <v>83</v>
      </c>
      <c r="F40" s="93" t="s">
        <v>6</v>
      </c>
      <c r="G40" s="93" t="s">
        <v>6</v>
      </c>
      <c r="H40" s="94">
        <v>36617</v>
      </c>
      <c r="I40" s="94">
        <v>36981</v>
      </c>
      <c r="J40" s="93">
        <v>28389</v>
      </c>
      <c r="K40" s="98">
        <v>108648</v>
      </c>
      <c r="L40" s="98">
        <v>6050607</v>
      </c>
      <c r="M40" s="98">
        <v>108648</v>
      </c>
      <c r="N40" s="93">
        <v>0</v>
      </c>
      <c r="O40" s="93">
        <v>0</v>
      </c>
      <c r="P40" s="93">
        <v>0</v>
      </c>
      <c r="Q40" s="93">
        <v>67713</v>
      </c>
    </row>
    <row r="41" spans="2:17" x14ac:dyDescent="0.25">
      <c r="B41" s="95"/>
      <c r="C41" s="95" t="s">
        <v>4</v>
      </c>
      <c r="D41" s="95">
        <v>68188</v>
      </c>
      <c r="E41" s="95" t="s">
        <v>77</v>
      </c>
      <c r="F41" s="95" t="s">
        <v>6</v>
      </c>
      <c r="G41" s="95" t="s">
        <v>6</v>
      </c>
      <c r="H41" s="96">
        <v>36647</v>
      </c>
      <c r="I41" s="96">
        <v>37011</v>
      </c>
      <c r="J41" s="95">
        <v>28742</v>
      </c>
      <c r="K41" s="95">
        <v>1</v>
      </c>
      <c r="L41" s="95">
        <v>0</v>
      </c>
      <c r="M41" s="95">
        <v>1</v>
      </c>
      <c r="N41" s="95">
        <v>0</v>
      </c>
      <c r="O41" s="95">
        <v>0</v>
      </c>
      <c r="P41" s="95">
        <v>0</v>
      </c>
      <c r="Q41" s="95" t="s">
        <v>6</v>
      </c>
    </row>
    <row r="42" spans="2:17" x14ac:dyDescent="0.25">
      <c r="B42" s="93"/>
      <c r="C42" s="93" t="s">
        <v>4</v>
      </c>
      <c r="D42" s="93">
        <v>68257</v>
      </c>
      <c r="E42" s="93" t="s">
        <v>77</v>
      </c>
      <c r="F42" s="93" t="s">
        <v>6</v>
      </c>
      <c r="G42" s="93" t="s">
        <v>6</v>
      </c>
      <c r="H42" s="94">
        <v>36647</v>
      </c>
      <c r="I42" s="94">
        <v>37011</v>
      </c>
      <c r="J42" s="93">
        <v>28631</v>
      </c>
      <c r="K42" s="93">
        <v>21</v>
      </c>
      <c r="L42" s="93">
        <v>0</v>
      </c>
      <c r="M42" s="93">
        <v>21</v>
      </c>
      <c r="N42" s="93">
        <v>0</v>
      </c>
      <c r="O42" s="93">
        <v>0</v>
      </c>
      <c r="P42" s="93">
        <v>0</v>
      </c>
      <c r="Q42" s="93"/>
    </row>
    <row r="43" spans="2:17" x14ac:dyDescent="0.25">
      <c r="B43" s="95"/>
      <c r="C43" s="95" t="s">
        <v>4</v>
      </c>
      <c r="D43" s="95">
        <v>68308</v>
      </c>
      <c r="E43" s="95" t="s">
        <v>77</v>
      </c>
      <c r="F43" s="95" t="s">
        <v>6</v>
      </c>
      <c r="G43" s="95" t="s">
        <v>6</v>
      </c>
      <c r="H43" s="96">
        <v>36656</v>
      </c>
      <c r="I43" s="96">
        <v>36950</v>
      </c>
      <c r="J43" s="95">
        <v>28864</v>
      </c>
      <c r="K43" s="95">
        <v>9</v>
      </c>
      <c r="L43" s="95">
        <v>0</v>
      </c>
      <c r="M43" s="95">
        <v>9</v>
      </c>
      <c r="N43" s="95">
        <v>0</v>
      </c>
      <c r="O43" s="95">
        <v>0</v>
      </c>
      <c r="P43" s="95">
        <v>0</v>
      </c>
      <c r="Q43" s="95" t="s">
        <v>6</v>
      </c>
    </row>
    <row r="44" spans="2:17" x14ac:dyDescent="0.25">
      <c r="B44" s="93"/>
      <c r="C44" s="93" t="s">
        <v>4</v>
      </c>
      <c r="D44" s="93">
        <v>68359</v>
      </c>
      <c r="E44" s="93" t="s">
        <v>77</v>
      </c>
      <c r="F44" s="93" t="s">
        <v>6</v>
      </c>
      <c r="G44" s="93" t="s">
        <v>6</v>
      </c>
      <c r="H44" s="94">
        <v>36678</v>
      </c>
      <c r="I44" s="94">
        <v>37042</v>
      </c>
      <c r="J44" s="93">
        <v>28933</v>
      </c>
      <c r="K44" s="93">
        <v>285</v>
      </c>
      <c r="L44" s="93">
        <v>0</v>
      </c>
      <c r="M44" s="93">
        <v>285</v>
      </c>
      <c r="N44" s="93">
        <v>0</v>
      </c>
      <c r="O44" s="93">
        <v>0</v>
      </c>
      <c r="P44" s="93">
        <v>0</v>
      </c>
      <c r="Q44" s="93" t="s">
        <v>6</v>
      </c>
    </row>
    <row r="45" spans="2:17" x14ac:dyDescent="0.25">
      <c r="B45" s="95"/>
      <c r="C45" s="95" t="s">
        <v>4</v>
      </c>
      <c r="D45" s="95">
        <v>68384</v>
      </c>
      <c r="E45" s="95" t="s">
        <v>77</v>
      </c>
      <c r="F45" s="95" t="s">
        <v>6</v>
      </c>
      <c r="G45" s="95" t="s">
        <v>6</v>
      </c>
      <c r="H45" s="96">
        <v>36678</v>
      </c>
      <c r="I45" s="96">
        <v>37042</v>
      </c>
      <c r="J45" s="95">
        <v>28962</v>
      </c>
      <c r="K45" s="95">
        <v>218</v>
      </c>
      <c r="L45" s="95">
        <v>0</v>
      </c>
      <c r="M45" s="95">
        <v>218</v>
      </c>
      <c r="N45" s="95">
        <v>0</v>
      </c>
      <c r="O45" s="95">
        <v>0</v>
      </c>
      <c r="P45" s="95">
        <v>0</v>
      </c>
      <c r="Q45" s="95" t="s">
        <v>6</v>
      </c>
    </row>
    <row r="46" spans="2:17" x14ac:dyDescent="0.25">
      <c r="B46" s="93"/>
      <c r="C46" s="93" t="s">
        <v>4</v>
      </c>
      <c r="D46" s="93">
        <v>68443</v>
      </c>
      <c r="E46" s="93" t="s">
        <v>95</v>
      </c>
      <c r="F46" s="93" t="s">
        <v>6</v>
      </c>
      <c r="G46" s="93" t="s">
        <v>6</v>
      </c>
      <c r="H46" s="94">
        <v>36678</v>
      </c>
      <c r="I46" s="94">
        <v>36707</v>
      </c>
      <c r="J46" s="93">
        <v>29005</v>
      </c>
      <c r="K46" s="98">
        <v>10000</v>
      </c>
      <c r="L46" s="93">
        <v>0</v>
      </c>
      <c r="M46" s="98">
        <v>10000</v>
      </c>
      <c r="N46" s="93">
        <v>0</v>
      </c>
      <c r="O46" s="93">
        <v>0</v>
      </c>
      <c r="P46" s="93">
        <v>0</v>
      </c>
      <c r="Q46" s="93" t="s">
        <v>6</v>
      </c>
    </row>
    <row r="47" spans="2:17" x14ac:dyDescent="0.25">
      <c r="B47" s="95"/>
      <c r="C47" s="95" t="s">
        <v>4</v>
      </c>
      <c r="D47" s="95">
        <v>68447</v>
      </c>
      <c r="E47" s="95" t="s">
        <v>77</v>
      </c>
      <c r="F47" s="95" t="s">
        <v>6</v>
      </c>
      <c r="G47" s="95" t="s">
        <v>6</v>
      </c>
      <c r="H47" s="96">
        <v>36678</v>
      </c>
      <c r="I47" s="96">
        <v>36707</v>
      </c>
      <c r="J47" s="95">
        <v>29095</v>
      </c>
      <c r="K47" s="97">
        <v>7500</v>
      </c>
      <c r="L47" s="95">
        <v>0</v>
      </c>
      <c r="M47" s="97">
        <v>7500</v>
      </c>
      <c r="N47" s="95">
        <v>0</v>
      </c>
      <c r="O47" s="95">
        <v>0</v>
      </c>
      <c r="P47" s="95">
        <v>0</v>
      </c>
      <c r="Q47" s="95" t="s">
        <v>6</v>
      </c>
    </row>
    <row r="48" spans="2:17" ht="39.6" x14ac:dyDescent="0.25">
      <c r="B48" s="93"/>
      <c r="C48" s="93" t="s">
        <v>13</v>
      </c>
      <c r="D48" s="93">
        <v>37393</v>
      </c>
      <c r="E48" s="93" t="s">
        <v>14</v>
      </c>
      <c r="F48" s="93" t="s">
        <v>6</v>
      </c>
      <c r="G48" s="93" t="s">
        <v>6</v>
      </c>
      <c r="H48" s="94">
        <v>34274</v>
      </c>
      <c r="I48" s="93" t="s">
        <v>6</v>
      </c>
      <c r="J48" s="93" t="s">
        <v>6</v>
      </c>
      <c r="K48" s="98">
        <v>20000</v>
      </c>
      <c r="L48" s="93">
        <v>0</v>
      </c>
      <c r="M48" s="98">
        <v>20000</v>
      </c>
      <c r="N48" s="93">
        <v>0</v>
      </c>
      <c r="O48" s="93">
        <v>0</v>
      </c>
      <c r="P48" s="93">
        <v>0</v>
      </c>
      <c r="Q48" s="93" t="s">
        <v>6</v>
      </c>
    </row>
    <row r="49" spans="2:17" ht="39.6" x14ac:dyDescent="0.25">
      <c r="B49" s="95"/>
      <c r="C49" s="95" t="s">
        <v>13</v>
      </c>
      <c r="D49" s="95">
        <v>37556</v>
      </c>
      <c r="E49" s="95" t="s">
        <v>15</v>
      </c>
      <c r="F49" s="95" t="s">
        <v>6</v>
      </c>
      <c r="G49" s="95" t="s">
        <v>6</v>
      </c>
      <c r="H49" s="96">
        <v>34274</v>
      </c>
      <c r="I49" s="95" t="s">
        <v>6</v>
      </c>
      <c r="J49" s="95" t="s">
        <v>6</v>
      </c>
      <c r="K49" s="97">
        <v>300000</v>
      </c>
      <c r="L49" s="95">
        <v>0</v>
      </c>
      <c r="M49" s="97">
        <v>300000</v>
      </c>
      <c r="N49" s="95">
        <v>0</v>
      </c>
      <c r="O49" s="95">
        <v>0</v>
      </c>
      <c r="P49" s="95">
        <v>0</v>
      </c>
      <c r="Q49" s="95" t="s">
        <v>6</v>
      </c>
    </row>
    <row r="50" spans="2:17" ht="39.6" x14ac:dyDescent="0.25">
      <c r="B50" s="93"/>
      <c r="C50" s="93" t="s">
        <v>13</v>
      </c>
      <c r="D50" s="93">
        <v>37861</v>
      </c>
      <c r="E50" s="93" t="s">
        <v>16</v>
      </c>
      <c r="F50" s="93" t="s">
        <v>6</v>
      </c>
      <c r="G50" s="93" t="s">
        <v>6</v>
      </c>
      <c r="H50" s="94">
        <v>35582</v>
      </c>
      <c r="I50" s="93" t="s">
        <v>6</v>
      </c>
      <c r="J50" s="93" t="s">
        <v>6</v>
      </c>
      <c r="K50" s="98">
        <v>15000</v>
      </c>
      <c r="L50" s="93">
        <v>0</v>
      </c>
      <c r="M50" s="98">
        <v>15000</v>
      </c>
      <c r="N50" s="93">
        <v>0</v>
      </c>
      <c r="O50" s="93">
        <v>0</v>
      </c>
      <c r="P50" s="93">
        <v>0</v>
      </c>
      <c r="Q50" s="93" t="s">
        <v>6</v>
      </c>
    </row>
    <row r="51" spans="2:17" ht="39.6" x14ac:dyDescent="0.25">
      <c r="B51" s="95"/>
      <c r="C51" s="95" t="s">
        <v>13</v>
      </c>
      <c r="D51" s="95">
        <v>38641</v>
      </c>
      <c r="E51" s="95" t="s">
        <v>17</v>
      </c>
      <c r="F51" s="95" t="s">
        <v>6</v>
      </c>
      <c r="G51" s="95" t="s">
        <v>6</v>
      </c>
      <c r="H51" s="96">
        <v>34274</v>
      </c>
      <c r="I51" s="95" t="s">
        <v>6</v>
      </c>
      <c r="J51" s="95" t="s">
        <v>6</v>
      </c>
      <c r="K51" s="97">
        <v>450000</v>
      </c>
      <c r="L51" s="95">
        <v>0</v>
      </c>
      <c r="M51" s="97">
        <v>450000</v>
      </c>
      <c r="N51" s="95">
        <v>0</v>
      </c>
      <c r="O51" s="95">
        <v>0</v>
      </c>
      <c r="P51" s="95">
        <v>0</v>
      </c>
      <c r="Q51" s="95" t="s">
        <v>6</v>
      </c>
    </row>
    <row r="52" spans="2:17" ht="39.6" x14ac:dyDescent="0.25">
      <c r="B52" s="93"/>
      <c r="C52" s="93" t="s">
        <v>13</v>
      </c>
      <c r="D52" s="93">
        <v>39229</v>
      </c>
      <c r="E52" s="93" t="s">
        <v>5</v>
      </c>
      <c r="F52" s="93" t="s">
        <v>6</v>
      </c>
      <c r="G52" s="93" t="s">
        <v>6</v>
      </c>
      <c r="H52" s="94">
        <v>34274</v>
      </c>
      <c r="I52" s="93" t="s">
        <v>6</v>
      </c>
      <c r="J52" s="93" t="s">
        <v>6</v>
      </c>
      <c r="K52" s="93">
        <v>0</v>
      </c>
      <c r="L52" s="93">
        <v>0</v>
      </c>
      <c r="M52" s="93">
        <v>0</v>
      </c>
      <c r="N52" s="93">
        <v>0</v>
      </c>
      <c r="O52" s="93">
        <v>0</v>
      </c>
      <c r="P52" s="93">
        <v>0</v>
      </c>
      <c r="Q52" s="93" t="s">
        <v>6</v>
      </c>
    </row>
    <row r="53" spans="2:17" ht="39.6" x14ac:dyDescent="0.25">
      <c r="B53" s="95"/>
      <c r="C53" s="95" t="s">
        <v>13</v>
      </c>
      <c r="D53" s="95">
        <v>39266</v>
      </c>
      <c r="E53" s="95" t="s">
        <v>203</v>
      </c>
      <c r="F53" s="95" t="s">
        <v>6</v>
      </c>
      <c r="G53" s="95" t="s">
        <v>6</v>
      </c>
      <c r="H53" s="96">
        <v>34274</v>
      </c>
      <c r="I53" s="95" t="s">
        <v>6</v>
      </c>
      <c r="J53" s="95" t="s">
        <v>6</v>
      </c>
      <c r="K53" s="97">
        <v>300000</v>
      </c>
      <c r="L53" s="95">
        <v>0</v>
      </c>
      <c r="M53" s="97">
        <v>300000</v>
      </c>
      <c r="N53" s="95">
        <v>0</v>
      </c>
      <c r="O53" s="95">
        <v>0</v>
      </c>
      <c r="P53" s="95">
        <v>0</v>
      </c>
      <c r="Q53" s="95" t="s">
        <v>6</v>
      </c>
    </row>
    <row r="54" spans="2:17" ht="39.6" x14ac:dyDescent="0.25">
      <c r="B54" s="93"/>
      <c r="C54" s="93" t="s">
        <v>13</v>
      </c>
      <c r="D54" s="93">
        <v>42789</v>
      </c>
      <c r="E54" s="93" t="s">
        <v>14</v>
      </c>
      <c r="F54" s="93" t="s">
        <v>6</v>
      </c>
      <c r="G54" s="93" t="s">
        <v>6</v>
      </c>
      <c r="H54" s="94">
        <v>36557</v>
      </c>
      <c r="I54" s="93" t="s">
        <v>6</v>
      </c>
      <c r="J54" s="93" t="s">
        <v>6</v>
      </c>
      <c r="K54" s="98">
        <v>30000</v>
      </c>
      <c r="L54" s="93">
        <v>0</v>
      </c>
      <c r="M54" s="98">
        <v>30000</v>
      </c>
      <c r="N54" s="93">
        <v>0</v>
      </c>
      <c r="O54" s="93">
        <v>0</v>
      </c>
      <c r="P54" s="93">
        <v>0</v>
      </c>
      <c r="Q54" s="93" t="s">
        <v>6</v>
      </c>
    </row>
    <row r="55" spans="2:17" ht="39.6" x14ac:dyDescent="0.25">
      <c r="B55" s="95"/>
      <c r="C55" s="95" t="s">
        <v>13</v>
      </c>
      <c r="D55" s="95">
        <v>50250</v>
      </c>
      <c r="E55" s="95" t="s">
        <v>14</v>
      </c>
      <c r="F55" s="95" t="s">
        <v>6</v>
      </c>
      <c r="G55" s="95" t="s">
        <v>6</v>
      </c>
      <c r="H55" s="96">
        <v>36557</v>
      </c>
      <c r="I55" s="95" t="s">
        <v>6</v>
      </c>
      <c r="J55" s="95" t="s">
        <v>6</v>
      </c>
      <c r="K55" s="97">
        <v>20000</v>
      </c>
      <c r="L55" s="95">
        <v>0</v>
      </c>
      <c r="M55" s="97">
        <v>20000</v>
      </c>
      <c r="N55" s="95">
        <v>0</v>
      </c>
      <c r="O55" s="95">
        <v>0</v>
      </c>
      <c r="P55" s="95">
        <v>0</v>
      </c>
      <c r="Q55" s="95" t="s">
        <v>6</v>
      </c>
    </row>
    <row r="56" spans="2:17" ht="39.6" x14ac:dyDescent="0.25">
      <c r="B56" s="93"/>
      <c r="C56" s="93" t="s">
        <v>13</v>
      </c>
      <c r="D56" s="93">
        <v>58654</v>
      </c>
      <c r="E56" s="93" t="s">
        <v>16</v>
      </c>
      <c r="F56" s="93" t="s">
        <v>6</v>
      </c>
      <c r="G56" s="93" t="s">
        <v>6</v>
      </c>
      <c r="H56" s="94">
        <v>36557</v>
      </c>
      <c r="I56" s="93" t="s">
        <v>6</v>
      </c>
      <c r="J56" s="93" t="s">
        <v>6</v>
      </c>
      <c r="K56" s="98">
        <v>15000</v>
      </c>
      <c r="L56" s="93">
        <v>0</v>
      </c>
      <c r="M56" s="98">
        <v>15000</v>
      </c>
      <c r="N56" s="93">
        <v>0</v>
      </c>
      <c r="O56" s="93">
        <v>0</v>
      </c>
      <c r="P56" s="93">
        <v>0</v>
      </c>
      <c r="Q56" s="93" t="s">
        <v>6</v>
      </c>
    </row>
    <row r="57" spans="2:17" ht="39.6" x14ac:dyDescent="0.25">
      <c r="B57" s="95"/>
      <c r="C57" s="95" t="s">
        <v>13</v>
      </c>
      <c r="D57" s="95">
        <v>62408</v>
      </c>
      <c r="E57" s="95" t="s">
        <v>14</v>
      </c>
      <c r="F57" s="95" t="s">
        <v>6</v>
      </c>
      <c r="G57" s="95" t="s">
        <v>6</v>
      </c>
      <c r="H57" s="96">
        <v>36557</v>
      </c>
      <c r="I57" s="95" t="s">
        <v>6</v>
      </c>
      <c r="J57" s="95" t="s">
        <v>6</v>
      </c>
      <c r="K57" s="97">
        <v>40000</v>
      </c>
      <c r="L57" s="95">
        <v>0</v>
      </c>
      <c r="M57" s="97">
        <v>40000</v>
      </c>
      <c r="N57" s="95">
        <v>0</v>
      </c>
      <c r="O57" s="95">
        <v>0</v>
      </c>
      <c r="P57" s="95">
        <v>0</v>
      </c>
      <c r="Q57" s="95" t="s">
        <v>6</v>
      </c>
    </row>
    <row r="58" spans="2:17" ht="39.6" x14ac:dyDescent="0.25">
      <c r="B58" s="93"/>
      <c r="C58" s="93" t="s">
        <v>13</v>
      </c>
      <c r="D58" s="93">
        <v>63115</v>
      </c>
      <c r="E58" s="93" t="s">
        <v>16</v>
      </c>
      <c r="F58" s="93" t="s">
        <v>6</v>
      </c>
      <c r="G58" s="93" t="s">
        <v>6</v>
      </c>
      <c r="H58" s="94">
        <v>36557</v>
      </c>
      <c r="I58" s="94">
        <v>37346</v>
      </c>
      <c r="J58" s="93">
        <v>24770</v>
      </c>
      <c r="K58" s="98">
        <v>30000</v>
      </c>
      <c r="L58" s="93">
        <v>0</v>
      </c>
      <c r="M58" s="98">
        <v>30000</v>
      </c>
      <c r="N58" s="93">
        <v>0</v>
      </c>
      <c r="O58" s="93">
        <v>0</v>
      </c>
      <c r="P58" s="93">
        <v>0</v>
      </c>
      <c r="Q58" s="93" t="s">
        <v>6</v>
      </c>
    </row>
    <row r="59" spans="2:17" ht="39.6" x14ac:dyDescent="0.25">
      <c r="B59" s="95"/>
      <c r="C59" s="95" t="s">
        <v>13</v>
      </c>
      <c r="D59" s="95">
        <v>63922</v>
      </c>
      <c r="E59" s="95" t="s">
        <v>14</v>
      </c>
      <c r="F59" s="95" t="s">
        <v>6</v>
      </c>
      <c r="G59" s="95" t="s">
        <v>6</v>
      </c>
      <c r="H59" s="96">
        <v>36557</v>
      </c>
      <c r="I59" s="96">
        <v>38291</v>
      </c>
      <c r="J59" s="95">
        <v>25471</v>
      </c>
      <c r="K59" s="97">
        <v>25654</v>
      </c>
      <c r="L59" s="95">
        <v>0</v>
      </c>
      <c r="M59" s="97">
        <v>25654</v>
      </c>
      <c r="N59" s="95">
        <v>0</v>
      </c>
      <c r="O59" s="95">
        <v>0</v>
      </c>
      <c r="P59" s="95">
        <v>0</v>
      </c>
      <c r="Q59" s="95" t="s">
        <v>6</v>
      </c>
    </row>
    <row r="60" spans="2:17" ht="39.6" x14ac:dyDescent="0.25">
      <c r="B60" s="93"/>
      <c r="C60" s="93" t="s">
        <v>13</v>
      </c>
      <c r="D60" s="93">
        <v>64033</v>
      </c>
      <c r="E60" s="93" t="s">
        <v>16</v>
      </c>
      <c r="F60" s="93" t="s">
        <v>6</v>
      </c>
      <c r="G60" s="93" t="s">
        <v>6</v>
      </c>
      <c r="H60" s="94">
        <v>36557</v>
      </c>
      <c r="I60" s="94">
        <v>36707</v>
      </c>
      <c r="J60" s="93">
        <v>25713</v>
      </c>
      <c r="K60" s="93">
        <v>1</v>
      </c>
      <c r="L60" s="93">
        <v>0</v>
      </c>
      <c r="M60" s="93">
        <v>1</v>
      </c>
      <c r="N60" s="93">
        <v>0</v>
      </c>
      <c r="O60" s="93">
        <v>0</v>
      </c>
      <c r="P60" s="93">
        <v>0</v>
      </c>
      <c r="Q60" s="93" t="s">
        <v>6</v>
      </c>
    </row>
    <row r="61" spans="2:17" ht="39.6" x14ac:dyDescent="0.25">
      <c r="B61" s="95"/>
      <c r="C61" s="95" t="s">
        <v>13</v>
      </c>
      <c r="D61" s="95">
        <v>64035</v>
      </c>
      <c r="E61" s="95" t="s">
        <v>16</v>
      </c>
      <c r="F61" s="95" t="s">
        <v>6</v>
      </c>
      <c r="G61" s="95" t="s">
        <v>6</v>
      </c>
      <c r="H61" s="96">
        <v>36557</v>
      </c>
      <c r="I61" s="96">
        <v>36707</v>
      </c>
      <c r="J61" s="95">
        <v>25700</v>
      </c>
      <c r="K61" s="95">
        <v>931</v>
      </c>
      <c r="L61" s="95">
        <v>0</v>
      </c>
      <c r="M61" s="95">
        <v>931</v>
      </c>
      <c r="N61" s="95">
        <v>0</v>
      </c>
      <c r="O61" s="95">
        <v>0</v>
      </c>
      <c r="P61" s="95">
        <v>0</v>
      </c>
      <c r="Q61" s="95" t="s">
        <v>6</v>
      </c>
    </row>
    <row r="62" spans="2:17" ht="39.6" x14ac:dyDescent="0.25">
      <c r="B62" s="93"/>
      <c r="C62" s="93" t="s">
        <v>13</v>
      </c>
      <c r="D62" s="93">
        <v>64332</v>
      </c>
      <c r="E62" s="93" t="s">
        <v>16</v>
      </c>
      <c r="F62" s="93" t="s">
        <v>6</v>
      </c>
      <c r="G62" s="93" t="s">
        <v>6</v>
      </c>
      <c r="H62" s="94">
        <v>36557</v>
      </c>
      <c r="I62" s="94">
        <v>36738</v>
      </c>
      <c r="J62" s="93">
        <v>25966</v>
      </c>
      <c r="K62" s="93">
        <v>12</v>
      </c>
      <c r="L62" s="93">
        <v>0</v>
      </c>
      <c r="M62" s="93">
        <v>12</v>
      </c>
      <c r="N62" s="93">
        <v>0</v>
      </c>
      <c r="O62" s="93">
        <v>0</v>
      </c>
      <c r="P62" s="93">
        <v>0</v>
      </c>
      <c r="Q62" s="93" t="s">
        <v>6</v>
      </c>
    </row>
    <row r="63" spans="2:17" ht="39.6" x14ac:dyDescent="0.25">
      <c r="B63" s="95"/>
      <c r="C63" s="95" t="s">
        <v>13</v>
      </c>
      <c r="D63" s="95">
        <v>64334</v>
      </c>
      <c r="E63" s="95" t="s">
        <v>16</v>
      </c>
      <c r="F63" s="95" t="s">
        <v>6</v>
      </c>
      <c r="G63" s="95" t="s">
        <v>6</v>
      </c>
      <c r="H63" s="96">
        <v>36557</v>
      </c>
      <c r="I63" s="96">
        <v>36738</v>
      </c>
      <c r="J63" s="95">
        <v>25956</v>
      </c>
      <c r="K63" s="95">
        <v>52</v>
      </c>
      <c r="L63" s="95">
        <v>0</v>
      </c>
      <c r="M63" s="95">
        <v>52</v>
      </c>
      <c r="N63" s="95">
        <v>0</v>
      </c>
      <c r="O63" s="95">
        <v>0</v>
      </c>
      <c r="P63" s="95">
        <v>0</v>
      </c>
      <c r="Q63" s="95" t="s">
        <v>6</v>
      </c>
    </row>
    <row r="64" spans="2:17" ht="39.6" x14ac:dyDescent="0.25">
      <c r="B64" s="93"/>
      <c r="C64" s="93" t="s">
        <v>13</v>
      </c>
      <c r="D64" s="93">
        <v>64446</v>
      </c>
      <c r="E64" s="93" t="s">
        <v>16</v>
      </c>
      <c r="F64" s="93" t="s">
        <v>6</v>
      </c>
      <c r="G64" s="93" t="s">
        <v>6</v>
      </c>
      <c r="H64" s="94">
        <v>36557</v>
      </c>
      <c r="I64" s="94">
        <v>36738</v>
      </c>
      <c r="J64" s="93">
        <v>26081</v>
      </c>
      <c r="K64" s="93">
        <v>142</v>
      </c>
      <c r="L64" s="93">
        <v>0</v>
      </c>
      <c r="M64" s="93">
        <v>142</v>
      </c>
      <c r="N64" s="93">
        <v>0</v>
      </c>
      <c r="O64" s="93">
        <v>0</v>
      </c>
      <c r="P64" s="93">
        <v>0</v>
      </c>
      <c r="Q64" s="93" t="s">
        <v>6</v>
      </c>
    </row>
    <row r="65" spans="2:17" ht="39.6" x14ac:dyDescent="0.25">
      <c r="B65" s="95"/>
      <c r="C65" s="95" t="s">
        <v>13</v>
      </c>
      <c r="D65" s="95">
        <v>64502</v>
      </c>
      <c r="E65" s="95" t="s">
        <v>14</v>
      </c>
      <c r="F65" s="95" t="s">
        <v>6</v>
      </c>
      <c r="G65" s="95" t="s">
        <v>6</v>
      </c>
      <c r="H65" s="96">
        <v>36557</v>
      </c>
      <c r="I65" s="95" t="s">
        <v>6</v>
      </c>
      <c r="J65" s="95" t="s">
        <v>6</v>
      </c>
      <c r="K65" s="97">
        <v>29000</v>
      </c>
      <c r="L65" s="95">
        <v>0</v>
      </c>
      <c r="M65" s="97">
        <v>29000</v>
      </c>
      <c r="N65" s="95">
        <v>0</v>
      </c>
      <c r="O65" s="95">
        <v>0</v>
      </c>
      <c r="P65" s="95">
        <v>0</v>
      </c>
      <c r="Q65" s="95"/>
    </row>
    <row r="66" spans="2:17" ht="39.6" x14ac:dyDescent="0.25">
      <c r="B66" s="93"/>
      <c r="C66" s="93" t="s">
        <v>13</v>
      </c>
      <c r="D66" s="93">
        <v>64652</v>
      </c>
      <c r="E66" s="93" t="s">
        <v>16</v>
      </c>
      <c r="F66" s="93" t="s">
        <v>6</v>
      </c>
      <c r="G66" s="93" t="s">
        <v>6</v>
      </c>
      <c r="H66" s="94">
        <v>36557</v>
      </c>
      <c r="I66" s="94">
        <v>36769</v>
      </c>
      <c r="J66" s="93">
        <v>26151</v>
      </c>
      <c r="K66" s="93">
        <v>65</v>
      </c>
      <c r="L66" s="93">
        <v>0</v>
      </c>
      <c r="M66" s="93">
        <v>65</v>
      </c>
      <c r="N66" s="93">
        <v>0</v>
      </c>
      <c r="O66" s="93">
        <v>0</v>
      </c>
      <c r="P66" s="93">
        <v>0</v>
      </c>
      <c r="Q66" s="93" t="s">
        <v>6</v>
      </c>
    </row>
    <row r="67" spans="2:17" ht="39.6" x14ac:dyDescent="0.25">
      <c r="B67" s="95"/>
      <c r="C67" s="95" t="s">
        <v>13</v>
      </c>
      <c r="D67" s="95">
        <v>64863</v>
      </c>
      <c r="E67" s="95" t="s">
        <v>16</v>
      </c>
      <c r="F67" s="95" t="s">
        <v>6</v>
      </c>
      <c r="G67" s="95" t="s">
        <v>6</v>
      </c>
      <c r="H67" s="96">
        <v>36557</v>
      </c>
      <c r="I67" s="96">
        <v>36799</v>
      </c>
      <c r="J67" s="95">
        <v>26504</v>
      </c>
      <c r="K67" s="95">
        <v>13</v>
      </c>
      <c r="L67" s="95">
        <v>0</v>
      </c>
      <c r="M67" s="95">
        <v>13</v>
      </c>
      <c r="N67" s="95">
        <v>0</v>
      </c>
      <c r="O67" s="95">
        <v>0</v>
      </c>
      <c r="P67" s="95">
        <v>0</v>
      </c>
      <c r="Q67" s="95" t="s">
        <v>6</v>
      </c>
    </row>
    <row r="68" spans="2:17" ht="39.6" x14ac:dyDescent="0.25">
      <c r="B68" s="93"/>
      <c r="C68" s="93" t="s">
        <v>13</v>
      </c>
      <c r="D68" s="93">
        <v>64937</v>
      </c>
      <c r="E68" s="93" t="s">
        <v>14</v>
      </c>
      <c r="F68" s="93" t="s">
        <v>6</v>
      </c>
      <c r="G68" s="93" t="s">
        <v>6</v>
      </c>
      <c r="H68" s="94">
        <v>36434</v>
      </c>
      <c r="I68" s="93" t="s">
        <v>6</v>
      </c>
      <c r="J68" s="93" t="s">
        <v>6</v>
      </c>
      <c r="K68" s="98">
        <v>10000</v>
      </c>
      <c r="L68" s="93">
        <v>0</v>
      </c>
      <c r="M68" s="98">
        <v>10000</v>
      </c>
      <c r="N68" s="93">
        <v>0</v>
      </c>
      <c r="O68" s="93">
        <v>0</v>
      </c>
      <c r="P68" s="93">
        <v>0</v>
      </c>
      <c r="Q68" s="93" t="s">
        <v>6</v>
      </c>
    </row>
    <row r="69" spans="2:17" ht="39.6" x14ac:dyDescent="0.25">
      <c r="B69" s="95"/>
      <c r="C69" s="95" t="s">
        <v>13</v>
      </c>
      <c r="D69" s="95">
        <v>65027</v>
      </c>
      <c r="E69" s="95" t="s">
        <v>16</v>
      </c>
      <c r="F69" s="95" t="s">
        <v>6</v>
      </c>
      <c r="G69" s="95" t="s">
        <v>6</v>
      </c>
      <c r="H69" s="96">
        <v>36557</v>
      </c>
      <c r="I69" s="96">
        <v>36830</v>
      </c>
      <c r="J69" s="95">
        <v>26727</v>
      </c>
      <c r="K69" s="95">
        <v>131</v>
      </c>
      <c r="L69" s="95">
        <v>0</v>
      </c>
      <c r="M69" s="95">
        <v>131</v>
      </c>
      <c r="N69" s="95">
        <v>0</v>
      </c>
      <c r="O69" s="95">
        <v>0</v>
      </c>
      <c r="P69" s="95">
        <v>0</v>
      </c>
      <c r="Q69" s="95" t="s">
        <v>6</v>
      </c>
    </row>
    <row r="70" spans="2:17" ht="39.6" x14ac:dyDescent="0.25">
      <c r="B70" s="93"/>
      <c r="C70" s="93" t="s">
        <v>13</v>
      </c>
      <c r="D70" s="93">
        <v>65072</v>
      </c>
      <c r="E70" s="93" t="s">
        <v>16</v>
      </c>
      <c r="F70" s="93" t="s">
        <v>6</v>
      </c>
      <c r="G70" s="93" t="s">
        <v>6</v>
      </c>
      <c r="H70" s="94">
        <v>36617</v>
      </c>
      <c r="I70" s="94">
        <v>36830</v>
      </c>
      <c r="J70" s="93">
        <v>26785</v>
      </c>
      <c r="K70" s="98">
        <v>7391</v>
      </c>
      <c r="L70" s="93">
        <v>0</v>
      </c>
      <c r="M70" s="98">
        <v>6987</v>
      </c>
      <c r="N70" s="93">
        <v>404</v>
      </c>
      <c r="O70" s="93">
        <v>0</v>
      </c>
      <c r="P70" s="93">
        <v>0</v>
      </c>
      <c r="Q70" s="93" t="s">
        <v>6</v>
      </c>
    </row>
    <row r="71" spans="2:17" ht="39.6" x14ac:dyDescent="0.25">
      <c r="B71" s="95"/>
      <c r="C71" s="95" t="s">
        <v>13</v>
      </c>
      <c r="D71" s="95">
        <v>65557</v>
      </c>
      <c r="E71" s="95" t="s">
        <v>16</v>
      </c>
      <c r="F71" s="95" t="s">
        <v>6</v>
      </c>
      <c r="G71" s="95" t="s">
        <v>6</v>
      </c>
      <c r="H71" s="96">
        <v>36557</v>
      </c>
      <c r="I71" s="96">
        <v>36860</v>
      </c>
      <c r="J71" s="95">
        <v>27128</v>
      </c>
      <c r="K71" s="95">
        <v>3</v>
      </c>
      <c r="L71" s="95">
        <v>0</v>
      </c>
      <c r="M71" s="95">
        <v>3</v>
      </c>
      <c r="N71" s="95">
        <v>0</v>
      </c>
      <c r="O71" s="95">
        <v>0</v>
      </c>
      <c r="P71" s="95">
        <v>0</v>
      </c>
      <c r="Q71" s="95" t="s">
        <v>6</v>
      </c>
    </row>
    <row r="72" spans="2:17" ht="39.6" x14ac:dyDescent="0.25">
      <c r="B72" s="93"/>
      <c r="C72" s="93" t="s">
        <v>13</v>
      </c>
      <c r="D72" s="93">
        <v>66283</v>
      </c>
      <c r="E72" s="93" t="s">
        <v>16</v>
      </c>
      <c r="F72" s="93" t="s">
        <v>6</v>
      </c>
      <c r="G72" s="93" t="s">
        <v>6</v>
      </c>
      <c r="H72" s="94">
        <v>36557</v>
      </c>
      <c r="I72" s="94">
        <v>36922</v>
      </c>
      <c r="J72" s="93">
        <v>27775</v>
      </c>
      <c r="K72" s="93">
        <v>5</v>
      </c>
      <c r="L72" s="93">
        <v>0</v>
      </c>
      <c r="M72" s="93">
        <v>5</v>
      </c>
      <c r="N72" s="93">
        <v>0</v>
      </c>
      <c r="O72" s="93">
        <v>0</v>
      </c>
      <c r="P72" s="93">
        <v>0</v>
      </c>
      <c r="Q72" s="93" t="s">
        <v>6</v>
      </c>
    </row>
    <row r="73" spans="2:17" ht="39.6" x14ac:dyDescent="0.25">
      <c r="B73" s="95"/>
      <c r="C73" s="95" t="s">
        <v>13</v>
      </c>
      <c r="D73" s="95">
        <v>66941</v>
      </c>
      <c r="E73" s="95" t="s">
        <v>16</v>
      </c>
      <c r="F73" s="95" t="s">
        <v>6</v>
      </c>
      <c r="G73" s="95" t="s">
        <v>6</v>
      </c>
      <c r="H73" s="96">
        <v>36617</v>
      </c>
      <c r="I73" s="96">
        <v>36981</v>
      </c>
      <c r="J73" s="95">
        <v>28330</v>
      </c>
      <c r="K73" s="95">
        <v>53</v>
      </c>
      <c r="L73" s="95">
        <v>0</v>
      </c>
      <c r="M73" s="95">
        <v>53</v>
      </c>
      <c r="N73" s="95">
        <v>0</v>
      </c>
      <c r="O73" s="95">
        <v>0</v>
      </c>
      <c r="P73" s="95">
        <v>0</v>
      </c>
      <c r="Q73" s="95" t="s">
        <v>6</v>
      </c>
    </row>
    <row r="74" spans="2:17" ht="39.6" x14ac:dyDescent="0.25">
      <c r="B74" s="93"/>
      <c r="C74" s="93" t="s">
        <v>13</v>
      </c>
      <c r="D74" s="93">
        <v>66973</v>
      </c>
      <c r="E74" s="93" t="s">
        <v>14</v>
      </c>
      <c r="F74" s="93" t="s">
        <v>6</v>
      </c>
      <c r="G74" s="93" t="s">
        <v>6</v>
      </c>
      <c r="H74" s="94">
        <v>36678</v>
      </c>
      <c r="I74" s="94">
        <v>36981</v>
      </c>
      <c r="J74" s="93" t="s">
        <v>6</v>
      </c>
      <c r="K74" s="98">
        <v>10000</v>
      </c>
      <c r="L74" s="93">
        <v>0</v>
      </c>
      <c r="M74" s="98">
        <v>10000</v>
      </c>
      <c r="N74" s="93">
        <v>0</v>
      </c>
      <c r="O74" s="93">
        <v>0</v>
      </c>
      <c r="P74" s="93">
        <v>0</v>
      </c>
      <c r="Q74" s="93" t="s">
        <v>6</v>
      </c>
    </row>
    <row r="75" spans="2:17" ht="39.6" x14ac:dyDescent="0.25">
      <c r="B75" s="95"/>
      <c r="C75" s="95" t="s">
        <v>13</v>
      </c>
      <c r="D75" s="95">
        <v>68281</v>
      </c>
      <c r="E75" s="95" t="s">
        <v>16</v>
      </c>
      <c r="F75" s="95" t="s">
        <v>6</v>
      </c>
      <c r="G75" s="95" t="s">
        <v>6</v>
      </c>
      <c r="H75" s="96">
        <v>36647</v>
      </c>
      <c r="I75" s="96">
        <v>37011</v>
      </c>
      <c r="J75" s="95">
        <v>28632</v>
      </c>
      <c r="K75" s="95">
        <v>21</v>
      </c>
      <c r="L75" s="95">
        <v>0</v>
      </c>
      <c r="M75" s="95">
        <v>21</v>
      </c>
      <c r="N75" s="95">
        <v>0</v>
      </c>
      <c r="O75" s="95">
        <v>0</v>
      </c>
      <c r="P75" s="95">
        <v>0</v>
      </c>
      <c r="Q75" s="95"/>
    </row>
    <row r="76" spans="2:17" ht="39.6" x14ac:dyDescent="0.25">
      <c r="B76" s="93"/>
      <c r="C76" s="93" t="s">
        <v>13</v>
      </c>
      <c r="D76" s="93">
        <v>68309</v>
      </c>
      <c r="E76" s="93" t="s">
        <v>16</v>
      </c>
      <c r="F76" s="93" t="s">
        <v>6</v>
      </c>
      <c r="G76" s="93" t="s">
        <v>6</v>
      </c>
      <c r="H76" s="94">
        <v>36656</v>
      </c>
      <c r="I76" s="94">
        <v>36950</v>
      </c>
      <c r="J76" s="93">
        <v>28865</v>
      </c>
      <c r="K76" s="93">
        <v>9</v>
      </c>
      <c r="L76" s="93">
        <v>0</v>
      </c>
      <c r="M76" s="93">
        <v>9</v>
      </c>
      <c r="N76" s="93">
        <v>0</v>
      </c>
      <c r="O76" s="93">
        <v>0</v>
      </c>
      <c r="P76" s="93">
        <v>0</v>
      </c>
      <c r="Q76" s="93" t="s">
        <v>6</v>
      </c>
    </row>
    <row r="77" spans="2:17" ht="39.6" x14ac:dyDescent="0.25">
      <c r="B77" s="95"/>
      <c r="C77" s="95" t="s">
        <v>13</v>
      </c>
      <c r="D77" s="95">
        <v>68360</v>
      </c>
      <c r="E77" s="95" t="s">
        <v>16</v>
      </c>
      <c r="F77" s="95" t="s">
        <v>6</v>
      </c>
      <c r="G77" s="95" t="s">
        <v>6</v>
      </c>
      <c r="H77" s="96">
        <v>36678</v>
      </c>
      <c r="I77" s="96">
        <v>37042</v>
      </c>
      <c r="J77" s="95">
        <v>28934</v>
      </c>
      <c r="K77" s="95">
        <v>291</v>
      </c>
      <c r="L77" s="95">
        <v>0</v>
      </c>
      <c r="M77" s="95">
        <v>291</v>
      </c>
      <c r="N77" s="95">
        <v>0</v>
      </c>
      <c r="O77" s="95">
        <v>0</v>
      </c>
      <c r="P77" s="95">
        <v>0</v>
      </c>
      <c r="Q77" s="95" t="s">
        <v>6</v>
      </c>
    </row>
    <row r="78" spans="2:17" ht="39.6" x14ac:dyDescent="0.25">
      <c r="B78" s="93"/>
      <c r="C78" s="93" t="s">
        <v>13</v>
      </c>
      <c r="D78" s="93">
        <v>68385</v>
      </c>
      <c r="E78" s="93" t="s">
        <v>16</v>
      </c>
      <c r="F78" s="93" t="s">
        <v>6</v>
      </c>
      <c r="G78" s="93" t="s">
        <v>6</v>
      </c>
      <c r="H78" s="94">
        <v>36678</v>
      </c>
      <c r="I78" s="94">
        <v>37042</v>
      </c>
      <c r="J78" s="93">
        <v>28963</v>
      </c>
      <c r="K78" s="93">
        <v>223</v>
      </c>
      <c r="L78" s="93">
        <v>0</v>
      </c>
      <c r="M78" s="93">
        <v>223</v>
      </c>
      <c r="N78" s="93">
        <v>0</v>
      </c>
      <c r="O78" s="93">
        <v>0</v>
      </c>
      <c r="P78" s="93">
        <v>0</v>
      </c>
      <c r="Q78" s="93" t="s">
        <v>6</v>
      </c>
    </row>
  </sheetData>
  <pageMargins left="0.75" right="0.75" top="1" bottom="1" header="0.5" footer="0.5"/>
  <pageSetup scale="55" fitToHeight="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86"/>
  <sheetViews>
    <sheetView topLeftCell="B1" workbookViewId="0">
      <selection activeCell="F13" sqref="F13"/>
    </sheetView>
  </sheetViews>
  <sheetFormatPr defaultColWidth="9.109375" defaultRowHeight="13.2" x14ac:dyDescent="0.25"/>
  <cols>
    <col min="1" max="3" width="9.109375" style="25"/>
    <col min="4" max="4" width="0" style="25" hidden="1" customWidth="1"/>
    <col min="5" max="10" width="9.109375" style="25"/>
    <col min="11" max="16" width="0" style="25" hidden="1" customWidth="1"/>
    <col min="17" max="16384" width="9.109375" style="25"/>
  </cols>
  <sheetData>
    <row r="1" spans="2:25" x14ac:dyDescent="0.25">
      <c r="J1" s="25">
        <v>30</v>
      </c>
    </row>
    <row r="3" spans="2:25" x14ac:dyDescent="0.25">
      <c r="B3" s="16" t="s">
        <v>35</v>
      </c>
      <c r="C3" s="17" t="s">
        <v>36</v>
      </c>
      <c r="D3" s="17" t="s">
        <v>37</v>
      </c>
      <c r="E3" s="18" t="s">
        <v>38</v>
      </c>
      <c r="F3" s="18"/>
      <c r="G3" s="16" t="s">
        <v>39</v>
      </c>
      <c r="H3" s="16" t="s">
        <v>40</v>
      </c>
      <c r="I3" s="17" t="s">
        <v>73</v>
      </c>
      <c r="J3" s="19" t="s">
        <v>41</v>
      </c>
      <c r="K3" s="17" t="s">
        <v>42</v>
      </c>
      <c r="L3" s="17" t="s">
        <v>43</v>
      </c>
      <c r="M3" s="17" t="s">
        <v>44</v>
      </c>
      <c r="N3" s="17" t="s">
        <v>45</v>
      </c>
      <c r="O3" s="42" t="s">
        <v>46</v>
      </c>
      <c r="P3" s="17" t="s">
        <v>47</v>
      </c>
      <c r="Q3" s="20" t="s">
        <v>146</v>
      </c>
      <c r="R3" s="17" t="s">
        <v>48</v>
      </c>
      <c r="S3" s="16" t="s">
        <v>49</v>
      </c>
      <c r="T3" s="21" t="s">
        <v>72</v>
      </c>
      <c r="U3" s="21" t="s">
        <v>71</v>
      </c>
      <c r="V3" s="52" t="s">
        <v>147</v>
      </c>
      <c r="W3" s="56" t="e">
        <f>+#REF!</f>
        <v>#REF!</v>
      </c>
      <c r="X3" s="36"/>
      <c r="Y3" s="36"/>
    </row>
    <row r="4" spans="2:25" s="59" customFormat="1" x14ac:dyDescent="0.25">
      <c r="B4" s="1" t="s">
        <v>148</v>
      </c>
      <c r="C4" s="3" t="s">
        <v>68</v>
      </c>
      <c r="D4" s="3" t="s">
        <v>81</v>
      </c>
      <c r="E4" s="4">
        <v>36617</v>
      </c>
      <c r="F4" s="4">
        <v>36830</v>
      </c>
      <c r="G4" s="1" t="s">
        <v>82</v>
      </c>
      <c r="H4" s="1" t="s">
        <v>84</v>
      </c>
      <c r="I4" s="3" t="s">
        <v>83</v>
      </c>
      <c r="J4" s="8" t="e">
        <f>6.238/#REF!</f>
        <v>#REF!</v>
      </c>
      <c r="K4" s="5">
        <v>0</v>
      </c>
      <c r="L4" s="5">
        <v>0</v>
      </c>
      <c r="M4" s="5">
        <v>0</v>
      </c>
      <c r="N4" s="5">
        <v>0</v>
      </c>
      <c r="O4" s="41">
        <v>0</v>
      </c>
      <c r="P4" s="5" t="e">
        <f>SUM(J4:N4)</f>
        <v>#REF!</v>
      </c>
      <c r="Q4" s="24">
        <v>51407</v>
      </c>
      <c r="R4" s="3">
        <v>73754</v>
      </c>
      <c r="S4" s="1" t="s">
        <v>272</v>
      </c>
      <c r="T4" s="9"/>
      <c r="U4" s="9"/>
      <c r="V4" s="54">
        <v>156569</v>
      </c>
      <c r="W4" s="1"/>
      <c r="X4" s="36"/>
      <c r="Y4" s="36"/>
    </row>
    <row r="5" spans="2:25" s="59" customFormat="1" x14ac:dyDescent="0.25">
      <c r="B5" s="1" t="s">
        <v>148</v>
      </c>
      <c r="C5" s="3" t="s">
        <v>68</v>
      </c>
      <c r="D5" s="3" t="s">
        <v>81</v>
      </c>
      <c r="E5" s="4">
        <v>36617</v>
      </c>
      <c r="F5" s="4">
        <v>36830</v>
      </c>
      <c r="G5" s="1" t="s">
        <v>82</v>
      </c>
      <c r="H5" s="1" t="s">
        <v>85</v>
      </c>
      <c r="I5" s="3" t="s">
        <v>83</v>
      </c>
      <c r="J5" s="8" t="e">
        <f>1.512/#REF!</f>
        <v>#REF!</v>
      </c>
      <c r="K5" s="5">
        <v>0</v>
      </c>
      <c r="L5" s="5">
        <v>0</v>
      </c>
      <c r="M5" s="5">
        <v>0</v>
      </c>
      <c r="N5" s="5">
        <v>0</v>
      </c>
      <c r="O5" s="41">
        <v>0</v>
      </c>
      <c r="P5" s="5" t="e">
        <f>SUM(J5:N5)</f>
        <v>#REF!</v>
      </c>
      <c r="Q5" s="24">
        <v>51407</v>
      </c>
      <c r="R5" s="3">
        <v>73754</v>
      </c>
      <c r="S5" s="1" t="s">
        <v>272</v>
      </c>
      <c r="T5" s="9"/>
      <c r="U5" s="9"/>
      <c r="V5" s="54">
        <v>156569</v>
      </c>
      <c r="W5" s="1"/>
      <c r="X5" s="36"/>
      <c r="Y5" s="36"/>
    </row>
    <row r="6" spans="2:25" s="59" customFormat="1" x14ac:dyDescent="0.25">
      <c r="B6" s="1" t="s">
        <v>148</v>
      </c>
      <c r="C6" s="3" t="s">
        <v>68</v>
      </c>
      <c r="D6" s="3"/>
      <c r="E6" s="4">
        <v>36100</v>
      </c>
      <c r="F6" s="4">
        <v>36830</v>
      </c>
      <c r="G6" s="29" t="s">
        <v>99</v>
      </c>
      <c r="H6" s="1" t="s">
        <v>100</v>
      </c>
      <c r="I6" s="3" t="s">
        <v>77</v>
      </c>
      <c r="J6" s="8">
        <f t="shared" ref="J6:J14" si="0">4.56/J$1</f>
        <v>0.152</v>
      </c>
      <c r="K6" s="5">
        <v>1.32E-2</v>
      </c>
      <c r="L6" s="5">
        <v>2.2000000000000001E-3</v>
      </c>
      <c r="M6" s="5">
        <v>7.1999999999999998E-3</v>
      </c>
      <c r="N6" s="5">
        <v>0</v>
      </c>
      <c r="O6" s="41">
        <v>2.1160000000000002E-2</v>
      </c>
      <c r="P6" s="5">
        <f>SUM(J6:N6)</f>
        <v>0.17460000000000001</v>
      </c>
      <c r="Q6" s="24">
        <v>61822</v>
      </c>
      <c r="R6" s="3">
        <v>4000</v>
      </c>
      <c r="S6" s="1" t="s">
        <v>101</v>
      </c>
      <c r="T6" s="9">
        <f t="shared" ref="T6:T15" si="1">J6*J$1*R6</f>
        <v>18240</v>
      </c>
      <c r="U6" s="9"/>
      <c r="V6" s="54">
        <v>162284</v>
      </c>
      <c r="W6" s="1"/>
      <c r="X6" s="36"/>
      <c r="Y6" s="36"/>
    </row>
    <row r="7" spans="2:25" s="59" customFormat="1" x14ac:dyDescent="0.25">
      <c r="B7" s="1"/>
      <c r="C7" s="3"/>
      <c r="D7" s="3"/>
      <c r="E7" s="4"/>
      <c r="F7" s="4"/>
      <c r="G7" s="29"/>
      <c r="H7" s="1"/>
      <c r="I7" s="3"/>
      <c r="J7" s="8"/>
      <c r="K7" s="5"/>
      <c r="L7" s="5"/>
      <c r="M7" s="5"/>
      <c r="N7" s="5"/>
      <c r="O7" s="41"/>
      <c r="P7" s="5"/>
      <c r="Q7" s="24"/>
      <c r="R7" s="3"/>
      <c r="S7" s="1"/>
      <c r="T7" s="9"/>
      <c r="U7" s="9"/>
      <c r="V7" s="54"/>
      <c r="W7" s="1"/>
      <c r="X7" s="36"/>
      <c r="Y7" s="36"/>
    </row>
    <row r="8" spans="2:25" s="192" customFormat="1" x14ac:dyDescent="0.25">
      <c r="B8" s="183" t="s">
        <v>148</v>
      </c>
      <c r="C8" s="184" t="s">
        <v>68</v>
      </c>
      <c r="D8" s="184" t="s">
        <v>59</v>
      </c>
      <c r="E8" s="182">
        <v>36526</v>
      </c>
      <c r="F8" s="182">
        <v>36830</v>
      </c>
      <c r="G8" s="183" t="s">
        <v>102</v>
      </c>
      <c r="H8" s="183" t="s">
        <v>134</v>
      </c>
      <c r="I8" s="184" t="s">
        <v>77</v>
      </c>
      <c r="J8" s="185">
        <f t="shared" si="0"/>
        <v>0.152</v>
      </c>
      <c r="K8" s="186">
        <v>1.32E-2</v>
      </c>
      <c r="L8" s="186">
        <v>2.2000000000000001E-3</v>
      </c>
      <c r="M8" s="186">
        <v>7.4999999999999997E-3</v>
      </c>
      <c r="N8" s="186">
        <v>0</v>
      </c>
      <c r="O8" s="187">
        <v>2.1160000000000002E-2</v>
      </c>
      <c r="P8" s="186">
        <f>SUM(J8:N8)</f>
        <v>0.1749</v>
      </c>
      <c r="Q8" s="188">
        <v>61825</v>
      </c>
      <c r="R8" s="184">
        <v>2000</v>
      </c>
      <c r="S8" s="193" t="s">
        <v>132</v>
      </c>
      <c r="T8" s="189">
        <f t="shared" si="1"/>
        <v>9120</v>
      </c>
      <c r="U8" s="189"/>
      <c r="V8" s="190">
        <v>156570</v>
      </c>
      <c r="W8" s="189"/>
      <c r="X8" s="191"/>
      <c r="Y8" s="191"/>
    </row>
    <row r="9" spans="2:25" s="192" customFormat="1" x14ac:dyDescent="0.25">
      <c r="B9" s="183" t="s">
        <v>148</v>
      </c>
      <c r="C9" s="184" t="s">
        <v>68</v>
      </c>
      <c r="D9" s="184" t="s">
        <v>59</v>
      </c>
      <c r="E9" s="182">
        <v>36526</v>
      </c>
      <c r="F9" s="182">
        <v>36830</v>
      </c>
      <c r="G9" s="183" t="s">
        <v>105</v>
      </c>
      <c r="H9" s="183" t="s">
        <v>134</v>
      </c>
      <c r="I9" s="184" t="s">
        <v>77</v>
      </c>
      <c r="J9" s="185">
        <f t="shared" si="0"/>
        <v>0.152</v>
      </c>
      <c r="K9" s="186">
        <v>1.32E-2</v>
      </c>
      <c r="L9" s="186">
        <v>2.2000000000000001E-3</v>
      </c>
      <c r="M9" s="186">
        <v>7.4999999999999997E-3</v>
      </c>
      <c r="N9" s="186">
        <v>0</v>
      </c>
      <c r="O9" s="187">
        <v>2.1160000000000002E-2</v>
      </c>
      <c r="P9" s="186">
        <f>SUM(J9:N9)</f>
        <v>0.1749</v>
      </c>
      <c r="Q9" s="188">
        <v>61825</v>
      </c>
      <c r="R9" s="184">
        <v>5000</v>
      </c>
      <c r="S9" s="193" t="s">
        <v>132</v>
      </c>
      <c r="T9" s="189">
        <f t="shared" si="1"/>
        <v>22799.999999999996</v>
      </c>
      <c r="U9" s="189"/>
      <c r="V9" s="190">
        <v>156570</v>
      </c>
      <c r="W9" s="189"/>
      <c r="X9" s="191"/>
      <c r="Y9" s="191"/>
    </row>
    <row r="10" spans="2:25" s="192" customFormat="1" x14ac:dyDescent="0.25">
      <c r="B10" s="183" t="s">
        <v>148</v>
      </c>
      <c r="C10" s="184" t="s">
        <v>68</v>
      </c>
      <c r="D10" s="184" t="s">
        <v>59</v>
      </c>
      <c r="E10" s="182">
        <v>36526</v>
      </c>
      <c r="F10" s="182">
        <v>36830</v>
      </c>
      <c r="G10" s="183" t="s">
        <v>133</v>
      </c>
      <c r="H10" s="183" t="s">
        <v>134</v>
      </c>
      <c r="I10" s="184" t="s">
        <v>77</v>
      </c>
      <c r="J10" s="185">
        <f t="shared" si="0"/>
        <v>0.152</v>
      </c>
      <c r="K10" s="186">
        <v>1.32E-2</v>
      </c>
      <c r="L10" s="186">
        <v>2.2000000000000001E-3</v>
      </c>
      <c r="M10" s="186">
        <v>7.4999999999999997E-3</v>
      </c>
      <c r="N10" s="186">
        <v>0</v>
      </c>
      <c r="O10" s="187">
        <v>2.1160000000000002E-2</v>
      </c>
      <c r="P10" s="186">
        <f>SUM(J10:N10)</f>
        <v>0.1749</v>
      </c>
      <c r="Q10" s="188">
        <v>61825</v>
      </c>
      <c r="R10" s="184">
        <v>1000</v>
      </c>
      <c r="S10" s="193" t="s">
        <v>132</v>
      </c>
      <c r="T10" s="189">
        <f t="shared" si="1"/>
        <v>4560</v>
      </c>
      <c r="U10" s="189"/>
      <c r="V10" s="190">
        <v>156570</v>
      </c>
      <c r="W10" s="189"/>
      <c r="X10" s="191"/>
      <c r="Y10" s="191"/>
    </row>
    <row r="11" spans="2:25" s="170" customFormat="1" x14ac:dyDescent="0.25">
      <c r="B11" s="171" t="s">
        <v>148</v>
      </c>
      <c r="C11" s="172" t="s">
        <v>68</v>
      </c>
      <c r="D11" s="172" t="s">
        <v>59</v>
      </c>
      <c r="E11" s="173">
        <v>36831</v>
      </c>
      <c r="F11" s="173">
        <v>37195</v>
      </c>
      <c r="G11" s="171" t="s">
        <v>102</v>
      </c>
      <c r="H11" s="171" t="s">
        <v>374</v>
      </c>
      <c r="I11" s="172" t="s">
        <v>77</v>
      </c>
      <c r="J11" s="174">
        <f t="shared" si="0"/>
        <v>0.152</v>
      </c>
      <c r="K11" s="175">
        <v>1.32E-2</v>
      </c>
      <c r="L11" s="175">
        <v>2.2000000000000001E-3</v>
      </c>
      <c r="M11" s="175">
        <v>7.4999999999999997E-3</v>
      </c>
      <c r="N11" s="175">
        <v>0</v>
      </c>
      <c r="O11" s="176">
        <v>2.1160000000000002E-2</v>
      </c>
      <c r="P11" s="175">
        <f>SUM(J11:N11)</f>
        <v>0.1749</v>
      </c>
      <c r="Q11" s="177"/>
      <c r="R11" s="172">
        <v>1600</v>
      </c>
      <c r="S11" s="181" t="s">
        <v>375</v>
      </c>
      <c r="T11" s="178">
        <f>J11*J$1*R11</f>
        <v>7295.9999999999991</v>
      </c>
      <c r="U11" s="178"/>
      <c r="V11" s="179"/>
      <c r="W11" s="178"/>
      <c r="X11" s="180"/>
      <c r="Y11" s="180"/>
    </row>
    <row r="12" spans="2:25" s="59" customFormat="1" x14ac:dyDescent="0.25">
      <c r="B12" s="1"/>
      <c r="C12" s="3"/>
      <c r="D12" s="3"/>
      <c r="E12" s="4"/>
      <c r="F12" s="4"/>
      <c r="G12" s="1"/>
      <c r="H12" s="1"/>
      <c r="I12" s="3"/>
      <c r="J12" s="8"/>
      <c r="K12" s="5"/>
      <c r="L12" s="5"/>
      <c r="M12" s="5"/>
      <c r="N12" s="5"/>
      <c r="O12" s="41"/>
      <c r="P12" s="5"/>
      <c r="Q12" s="24"/>
      <c r="R12" s="3"/>
      <c r="S12" s="29"/>
      <c r="T12" s="9"/>
      <c r="U12" s="9"/>
      <c r="V12" s="54"/>
      <c r="W12" s="9"/>
      <c r="X12" s="36"/>
      <c r="Y12" s="36"/>
    </row>
    <row r="13" spans="2:25" s="59" customFormat="1" x14ac:dyDescent="0.25">
      <c r="B13" s="1" t="s">
        <v>148</v>
      </c>
      <c r="C13" s="3" t="s">
        <v>68</v>
      </c>
      <c r="D13" s="3"/>
      <c r="E13" s="4">
        <v>36100</v>
      </c>
      <c r="F13" s="4">
        <v>36830</v>
      </c>
      <c r="G13" s="1" t="s">
        <v>102</v>
      </c>
      <c r="H13" s="29" t="s">
        <v>103</v>
      </c>
      <c r="I13" s="3" t="s">
        <v>77</v>
      </c>
      <c r="J13" s="8">
        <f t="shared" si="0"/>
        <v>0.152</v>
      </c>
      <c r="K13" s="5">
        <v>1.32E-2</v>
      </c>
      <c r="L13" s="5">
        <v>2.2000000000000001E-3</v>
      </c>
      <c r="M13" s="5">
        <v>7.1999999999999998E-3</v>
      </c>
      <c r="N13" s="5">
        <v>0</v>
      </c>
      <c r="O13" s="41">
        <v>2.1160000000000002E-2</v>
      </c>
      <c r="P13" s="5">
        <f t="shared" ref="P13:P26" si="2">SUM(J13:N13)</f>
        <v>0.17460000000000001</v>
      </c>
      <c r="Q13" s="24">
        <v>61838</v>
      </c>
      <c r="R13" s="3">
        <v>1000</v>
      </c>
      <c r="S13" s="1" t="s">
        <v>104</v>
      </c>
      <c r="T13" s="9">
        <f t="shared" si="1"/>
        <v>4560</v>
      </c>
      <c r="U13" s="9"/>
      <c r="V13" s="54">
        <v>156571</v>
      </c>
      <c r="W13" s="1"/>
      <c r="X13" s="36"/>
      <c r="Y13" s="36"/>
    </row>
    <row r="14" spans="2:25" s="59" customFormat="1" x14ac:dyDescent="0.25">
      <c r="B14" s="1" t="s">
        <v>148</v>
      </c>
      <c r="C14" s="3" t="s">
        <v>68</v>
      </c>
      <c r="D14" s="3" t="s">
        <v>59</v>
      </c>
      <c r="E14" s="4">
        <v>36526</v>
      </c>
      <c r="F14" s="4">
        <v>36830</v>
      </c>
      <c r="G14" s="1" t="s">
        <v>102</v>
      </c>
      <c r="H14" s="1" t="s">
        <v>136</v>
      </c>
      <c r="I14" s="3" t="s">
        <v>77</v>
      </c>
      <c r="J14" s="8">
        <f t="shared" si="0"/>
        <v>0.152</v>
      </c>
      <c r="K14" s="5">
        <v>1.32E-2</v>
      </c>
      <c r="L14" s="5">
        <v>2.2000000000000001E-3</v>
      </c>
      <c r="M14" s="5">
        <v>7.4999999999999997E-3</v>
      </c>
      <c r="N14" s="5">
        <v>0</v>
      </c>
      <c r="O14" s="41">
        <v>2.1160000000000002E-2</v>
      </c>
      <c r="P14" s="5">
        <f t="shared" si="2"/>
        <v>0.1749</v>
      </c>
      <c r="Q14" s="24">
        <v>61990</v>
      </c>
      <c r="R14" s="3">
        <v>2000</v>
      </c>
      <c r="S14" s="29" t="s">
        <v>135</v>
      </c>
      <c r="T14" s="9">
        <f t="shared" si="1"/>
        <v>9120</v>
      </c>
      <c r="U14" s="9"/>
      <c r="V14" s="54">
        <v>156573</v>
      </c>
      <c r="W14" s="9"/>
      <c r="X14" s="36"/>
      <c r="Y14" s="36"/>
    </row>
    <row r="15" spans="2:25" s="59" customFormat="1" x14ac:dyDescent="0.25">
      <c r="B15" s="1" t="s">
        <v>148</v>
      </c>
      <c r="C15" s="3" t="s">
        <v>68</v>
      </c>
      <c r="D15" s="3" t="s">
        <v>59</v>
      </c>
      <c r="E15" s="4">
        <v>36465</v>
      </c>
      <c r="F15" s="4">
        <v>36891</v>
      </c>
      <c r="G15" s="1"/>
      <c r="H15" s="1" t="s">
        <v>302</v>
      </c>
      <c r="I15" s="3" t="s">
        <v>77</v>
      </c>
      <c r="J15" s="8">
        <f>3.0417/30.417</f>
        <v>9.9999999999999992E-2</v>
      </c>
      <c r="K15" s="5">
        <v>1.32E-2</v>
      </c>
      <c r="L15" s="5">
        <v>2.2000000000000001E-3</v>
      </c>
      <c r="M15" s="5">
        <v>7.4999999999999997E-3</v>
      </c>
      <c r="N15" s="5">
        <v>0</v>
      </c>
      <c r="O15" s="41">
        <v>2.1160000000000002E-2</v>
      </c>
      <c r="P15" s="5">
        <f t="shared" si="2"/>
        <v>0.12289999999999998</v>
      </c>
      <c r="Q15" s="24">
        <v>62164</v>
      </c>
      <c r="R15" s="168">
        <v>2000</v>
      </c>
      <c r="S15" s="29" t="s">
        <v>197</v>
      </c>
      <c r="T15" s="9">
        <f t="shared" si="1"/>
        <v>5999.9999999999991</v>
      </c>
      <c r="U15" s="54"/>
      <c r="V15" s="36" t="s">
        <v>198</v>
      </c>
      <c r="W15" s="36"/>
    </row>
    <row r="16" spans="2:25" s="59" customFormat="1" x14ac:dyDescent="0.25">
      <c r="B16" s="1" t="s">
        <v>148</v>
      </c>
      <c r="C16" s="3" t="s">
        <v>68</v>
      </c>
      <c r="D16" s="3" t="s">
        <v>81</v>
      </c>
      <c r="E16" s="4">
        <v>36800</v>
      </c>
      <c r="F16" s="4">
        <v>36981</v>
      </c>
      <c r="G16" s="1" t="s">
        <v>82</v>
      </c>
      <c r="H16" s="1" t="s">
        <v>96</v>
      </c>
      <c r="I16" s="3" t="s">
        <v>95</v>
      </c>
      <c r="J16" s="8">
        <f>6.029/J$1</f>
        <v>0.20096666666666665</v>
      </c>
      <c r="K16" s="5">
        <v>1.2999999999999999E-2</v>
      </c>
      <c r="L16" s="5">
        <v>2.2000000000000001E-3</v>
      </c>
      <c r="M16" s="5">
        <v>7.1999999999999998E-3</v>
      </c>
      <c r="N16" s="5">
        <v>0</v>
      </c>
      <c r="O16" s="41">
        <v>2.1160000000000002E-2</v>
      </c>
      <c r="P16" s="5">
        <f t="shared" si="2"/>
        <v>0.22336666666666669</v>
      </c>
      <c r="Q16" s="24">
        <v>67694</v>
      </c>
      <c r="R16" s="3">
        <v>108648</v>
      </c>
      <c r="S16" s="1" t="s">
        <v>34</v>
      </c>
      <c r="T16" s="9">
        <f>J16*J$1*R16</f>
        <v>655038.79200000002</v>
      </c>
      <c r="U16" s="9"/>
      <c r="V16" s="54">
        <v>231723</v>
      </c>
      <c r="W16" s="1"/>
      <c r="X16" s="36"/>
      <c r="Y16" s="36"/>
    </row>
    <row r="17" spans="2:25" s="59" customFormat="1" x14ac:dyDescent="0.25">
      <c r="B17" s="1" t="s">
        <v>148</v>
      </c>
      <c r="C17" s="3" t="s">
        <v>68</v>
      </c>
      <c r="D17" s="3" t="s">
        <v>81</v>
      </c>
      <c r="E17" s="4">
        <v>36617</v>
      </c>
      <c r="F17" s="4">
        <v>36981</v>
      </c>
      <c r="G17" s="1" t="s">
        <v>82</v>
      </c>
      <c r="H17" s="1" t="s">
        <v>84</v>
      </c>
      <c r="I17" s="3" t="s">
        <v>83</v>
      </c>
      <c r="J17" s="8">
        <v>2.93E-2</v>
      </c>
      <c r="K17" s="5">
        <v>0</v>
      </c>
      <c r="L17" s="5">
        <v>0</v>
      </c>
      <c r="M17" s="5">
        <v>0</v>
      </c>
      <c r="N17" s="5">
        <v>0</v>
      </c>
      <c r="O17" s="41">
        <v>0</v>
      </c>
      <c r="P17" s="5">
        <f t="shared" si="2"/>
        <v>2.93E-2</v>
      </c>
      <c r="Q17" s="24">
        <v>67712</v>
      </c>
      <c r="R17" s="3">
        <v>6050607</v>
      </c>
      <c r="S17" s="1" t="s">
        <v>265</v>
      </c>
      <c r="T17" s="9">
        <f>J17*R17</f>
        <v>177282.78510000001</v>
      </c>
      <c r="U17" s="9"/>
      <c r="V17" s="54">
        <v>235876</v>
      </c>
      <c r="W17" s="1">
        <v>231698</v>
      </c>
      <c r="X17" s="36"/>
      <c r="Y17" s="36"/>
    </row>
    <row r="18" spans="2:25" s="59" customFormat="1" x14ac:dyDescent="0.25">
      <c r="B18" s="1" t="s">
        <v>148</v>
      </c>
      <c r="C18" s="3" t="s">
        <v>68</v>
      </c>
      <c r="D18" s="3" t="s">
        <v>81</v>
      </c>
      <c r="E18" s="4">
        <v>36617</v>
      </c>
      <c r="F18" s="4">
        <v>36981</v>
      </c>
      <c r="G18" s="1" t="s">
        <v>82</v>
      </c>
      <c r="H18" s="1" t="s">
        <v>85</v>
      </c>
      <c r="I18" s="3" t="s">
        <v>83</v>
      </c>
      <c r="J18" s="8">
        <v>1.524</v>
      </c>
      <c r="K18" s="5">
        <v>0</v>
      </c>
      <c r="L18" s="5">
        <v>0</v>
      </c>
      <c r="M18" s="5">
        <v>0</v>
      </c>
      <c r="N18" s="5">
        <v>0</v>
      </c>
      <c r="O18" s="41">
        <v>0</v>
      </c>
      <c r="P18" s="5">
        <f t="shared" si="2"/>
        <v>1.524</v>
      </c>
      <c r="Q18" s="24">
        <v>67712</v>
      </c>
      <c r="R18" s="3">
        <v>108648</v>
      </c>
      <c r="S18" s="1" t="s">
        <v>265</v>
      </c>
      <c r="T18" s="9">
        <f>J18*R18</f>
        <v>165579.552</v>
      </c>
      <c r="U18" s="9"/>
      <c r="V18" s="54">
        <v>235876</v>
      </c>
      <c r="W18" s="1">
        <v>231698</v>
      </c>
      <c r="X18" s="36"/>
      <c r="Y18" s="36"/>
    </row>
    <row r="19" spans="2:25" s="59" customFormat="1" x14ac:dyDescent="0.25">
      <c r="B19" s="1" t="s">
        <v>148</v>
      </c>
      <c r="C19" s="3" t="s">
        <v>68</v>
      </c>
      <c r="D19" s="3" t="s">
        <v>81</v>
      </c>
      <c r="E19" s="4">
        <v>36617</v>
      </c>
      <c r="F19" s="4">
        <v>36981</v>
      </c>
      <c r="G19" s="1" t="s">
        <v>82</v>
      </c>
      <c r="H19" s="1" t="s">
        <v>84</v>
      </c>
      <c r="I19" s="3" t="s">
        <v>83</v>
      </c>
      <c r="J19" s="8">
        <v>0</v>
      </c>
      <c r="K19" s="5">
        <v>0</v>
      </c>
      <c r="L19" s="5">
        <v>0</v>
      </c>
      <c r="M19" s="5">
        <v>0</v>
      </c>
      <c r="N19" s="5">
        <v>0</v>
      </c>
      <c r="O19" s="41">
        <v>0</v>
      </c>
      <c r="P19" s="5">
        <f t="shared" si="2"/>
        <v>0</v>
      </c>
      <c r="Q19" s="24">
        <v>67713</v>
      </c>
      <c r="R19" s="3">
        <v>0</v>
      </c>
      <c r="S19" s="1" t="s">
        <v>303</v>
      </c>
      <c r="T19" s="9">
        <f>J19*R19</f>
        <v>0</v>
      </c>
      <c r="U19" s="9"/>
      <c r="V19" s="54">
        <v>235876</v>
      </c>
      <c r="W19" s="1"/>
      <c r="X19" s="36"/>
      <c r="Y19" s="36"/>
    </row>
    <row r="20" spans="2:25" s="59" customFormat="1" x14ac:dyDescent="0.25">
      <c r="B20" s="1" t="s">
        <v>148</v>
      </c>
      <c r="C20" s="3" t="s">
        <v>68</v>
      </c>
      <c r="D20" s="3" t="s">
        <v>81</v>
      </c>
      <c r="E20" s="4">
        <v>36617</v>
      </c>
      <c r="F20" s="4">
        <v>36981</v>
      </c>
      <c r="G20" s="1" t="s">
        <v>82</v>
      </c>
      <c r="H20" s="1" t="s">
        <v>85</v>
      </c>
      <c r="I20" s="3" t="s">
        <v>83</v>
      </c>
      <c r="J20" s="8">
        <v>0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 t="shared" si="2"/>
        <v>0</v>
      </c>
      <c r="Q20" s="24">
        <v>67713</v>
      </c>
      <c r="R20" s="3">
        <v>0</v>
      </c>
      <c r="S20" s="1" t="s">
        <v>303</v>
      </c>
      <c r="T20" s="9">
        <f>J20*R20</f>
        <v>0</v>
      </c>
      <c r="U20" s="9"/>
      <c r="V20" s="54">
        <v>235876</v>
      </c>
      <c r="W20" s="1"/>
      <c r="X20" s="36"/>
      <c r="Y20" s="36"/>
    </row>
    <row r="21" spans="2:25" s="59" customFormat="1" x14ac:dyDescent="0.25">
      <c r="B21" s="1" t="s">
        <v>148</v>
      </c>
      <c r="C21" s="3" t="s">
        <v>68</v>
      </c>
      <c r="D21" s="3" t="s">
        <v>75</v>
      </c>
      <c r="E21" s="4">
        <v>36678</v>
      </c>
      <c r="F21" s="4">
        <v>37042</v>
      </c>
      <c r="G21" s="1" t="s">
        <v>76</v>
      </c>
      <c r="H21" s="1" t="s">
        <v>79</v>
      </c>
      <c r="I21" s="3" t="s">
        <v>77</v>
      </c>
      <c r="J21" s="8">
        <f>6.401/J$1</f>
        <v>0.21336666666666665</v>
      </c>
      <c r="K21" s="5">
        <v>1.32E-2</v>
      </c>
      <c r="L21" s="5">
        <v>2.2000000000000001E-3</v>
      </c>
      <c r="M21" s="5">
        <v>7.1999999999999998E-3</v>
      </c>
      <c r="N21" s="5">
        <v>0</v>
      </c>
      <c r="O21" s="41">
        <v>2.1160000000000002E-2</v>
      </c>
      <c r="P21" s="5">
        <f t="shared" si="2"/>
        <v>0.23596666666666666</v>
      </c>
      <c r="Q21" s="24">
        <v>68359</v>
      </c>
      <c r="R21" s="3">
        <v>285</v>
      </c>
      <c r="S21" s="1" t="s">
        <v>301</v>
      </c>
      <c r="T21" s="9">
        <f t="shared" ref="T21:T26" si="3">J21*J$1*R21</f>
        <v>1824.2849999999999</v>
      </c>
      <c r="U21" s="9"/>
      <c r="V21" s="54">
        <v>271307</v>
      </c>
      <c r="W21" s="1"/>
      <c r="X21" s="36"/>
      <c r="Y21" s="36"/>
    </row>
    <row r="22" spans="2:25" s="59" customFormat="1" x14ac:dyDescent="0.25">
      <c r="B22" s="1" t="s">
        <v>148</v>
      </c>
      <c r="C22" s="3" t="s">
        <v>68</v>
      </c>
      <c r="D22" s="3" t="s">
        <v>74</v>
      </c>
      <c r="E22" s="4">
        <v>36678</v>
      </c>
      <c r="F22" s="4">
        <v>37042</v>
      </c>
      <c r="G22" s="1" t="s">
        <v>76</v>
      </c>
      <c r="H22" s="1" t="s">
        <v>80</v>
      </c>
      <c r="I22" s="3" t="s">
        <v>77</v>
      </c>
      <c r="J22" s="8">
        <f>6.401/J$1</f>
        <v>0.21336666666666665</v>
      </c>
      <c r="K22" s="5">
        <v>1.32E-2</v>
      </c>
      <c r="L22" s="5">
        <v>2.2000000000000001E-3</v>
      </c>
      <c r="M22" s="5">
        <v>7.1999999999999998E-3</v>
      </c>
      <c r="N22" s="5">
        <v>0</v>
      </c>
      <c r="O22" s="41">
        <v>2.1160000000000002E-2</v>
      </c>
      <c r="P22" s="5">
        <f t="shared" si="2"/>
        <v>0.23596666666666666</v>
      </c>
      <c r="Q22" s="24">
        <v>68384</v>
      </c>
      <c r="R22" s="3">
        <v>218</v>
      </c>
      <c r="S22" s="1" t="s">
        <v>300</v>
      </c>
      <c r="T22" s="9">
        <f t="shared" si="3"/>
        <v>1395.4179999999999</v>
      </c>
      <c r="U22" s="9"/>
      <c r="V22" s="54">
        <v>280570</v>
      </c>
      <c r="W22" s="1"/>
      <c r="X22" s="36"/>
      <c r="Y22" s="36"/>
    </row>
    <row r="23" spans="2:25" s="59" customFormat="1" x14ac:dyDescent="0.25">
      <c r="B23" s="1" t="s">
        <v>148</v>
      </c>
      <c r="C23" s="3" t="s">
        <v>68</v>
      </c>
      <c r="D23" s="3" t="s">
        <v>75</v>
      </c>
      <c r="E23" s="4">
        <v>36708</v>
      </c>
      <c r="F23" s="4">
        <v>37072</v>
      </c>
      <c r="G23" s="1" t="s">
        <v>76</v>
      </c>
      <c r="H23" s="1" t="s">
        <v>79</v>
      </c>
      <c r="I23" s="3" t="s">
        <v>77</v>
      </c>
      <c r="J23" s="8">
        <f>6.449/J$1</f>
        <v>0.21496666666666667</v>
      </c>
      <c r="K23" s="5">
        <v>1.32E-2</v>
      </c>
      <c r="L23" s="5">
        <v>2.2000000000000001E-3</v>
      </c>
      <c r="M23" s="5">
        <v>7.1999999999999998E-3</v>
      </c>
      <c r="N23" s="5">
        <v>0</v>
      </c>
      <c r="O23" s="41">
        <v>2.1160000000000002E-2</v>
      </c>
      <c r="P23" s="5">
        <f t="shared" si="2"/>
        <v>0.23756666666666668</v>
      </c>
      <c r="Q23" s="24">
        <v>68616</v>
      </c>
      <c r="R23" s="3">
        <v>900</v>
      </c>
      <c r="S23" s="1" t="s">
        <v>304</v>
      </c>
      <c r="T23" s="9">
        <f t="shared" si="3"/>
        <v>5804.0999999999995</v>
      </c>
      <c r="U23" s="9"/>
      <c r="V23" s="54">
        <v>309723</v>
      </c>
      <c r="W23" s="1" t="s">
        <v>305</v>
      </c>
      <c r="X23" s="36"/>
      <c r="Y23" s="36"/>
    </row>
    <row r="24" spans="2:25" s="59" customFormat="1" x14ac:dyDescent="0.25">
      <c r="B24" s="1" t="s">
        <v>148</v>
      </c>
      <c r="C24" s="3" t="s">
        <v>68</v>
      </c>
      <c r="D24" s="3" t="s">
        <v>74</v>
      </c>
      <c r="E24" s="4">
        <v>36708</v>
      </c>
      <c r="F24" s="4">
        <v>37072</v>
      </c>
      <c r="G24" s="1" t="s">
        <v>76</v>
      </c>
      <c r="H24" s="1" t="s">
        <v>78</v>
      </c>
      <c r="I24" s="3" t="s">
        <v>77</v>
      </c>
      <c r="J24" s="8">
        <f>6.449/J$1</f>
        <v>0.21496666666666667</v>
      </c>
      <c r="K24" s="5">
        <v>1.32E-2</v>
      </c>
      <c r="L24" s="5">
        <v>2.2000000000000001E-3</v>
      </c>
      <c r="M24" s="5">
        <v>7.1999999999999998E-3</v>
      </c>
      <c r="N24" s="5">
        <v>0</v>
      </c>
      <c r="O24" s="41">
        <v>2.1160000000000002E-2</v>
      </c>
      <c r="P24" s="5">
        <f t="shared" si="2"/>
        <v>0.23756666666666668</v>
      </c>
      <c r="Q24" s="24">
        <v>68635</v>
      </c>
      <c r="R24" s="3">
        <v>1</v>
      </c>
      <c r="S24" s="1" t="s">
        <v>306</v>
      </c>
      <c r="T24" s="9">
        <f t="shared" si="3"/>
        <v>6.4489999999999998</v>
      </c>
      <c r="U24" s="9"/>
      <c r="V24" s="54">
        <v>312333</v>
      </c>
      <c r="W24" s="1"/>
      <c r="X24" s="36"/>
      <c r="Y24" s="36"/>
    </row>
    <row r="25" spans="2:25" s="59" customFormat="1" x14ac:dyDescent="0.25">
      <c r="B25" s="1" t="s">
        <v>148</v>
      </c>
      <c r="C25" s="3" t="s">
        <v>68</v>
      </c>
      <c r="D25" s="3" t="s">
        <v>74</v>
      </c>
      <c r="E25" s="4">
        <v>36739</v>
      </c>
      <c r="F25" s="4">
        <v>37103</v>
      </c>
      <c r="G25" s="1" t="s">
        <v>76</v>
      </c>
      <c r="H25" s="1" t="s">
        <v>79</v>
      </c>
      <c r="I25" s="3" t="s">
        <v>77</v>
      </c>
      <c r="J25" s="8">
        <f>6.449/J$1</f>
        <v>0.21496666666666667</v>
      </c>
      <c r="K25" s="5">
        <v>1.32E-2</v>
      </c>
      <c r="L25" s="5">
        <v>2.2000000000000001E-3</v>
      </c>
      <c r="M25" s="5">
        <v>7.1999999999999998E-3</v>
      </c>
      <c r="N25" s="5">
        <v>0</v>
      </c>
      <c r="O25" s="41">
        <v>2.1160000000000002E-2</v>
      </c>
      <c r="P25" s="5">
        <f t="shared" si="2"/>
        <v>0.23756666666666668</v>
      </c>
      <c r="Q25" s="24">
        <v>64328</v>
      </c>
      <c r="R25" s="3">
        <v>4</v>
      </c>
      <c r="S25" s="1" t="s">
        <v>3</v>
      </c>
      <c r="T25" s="9">
        <f t="shared" si="3"/>
        <v>25.795999999999999</v>
      </c>
      <c r="U25" s="9"/>
      <c r="V25" s="54">
        <v>345108</v>
      </c>
      <c r="W25" s="1"/>
      <c r="X25" s="36"/>
      <c r="Y25" s="36"/>
    </row>
    <row r="26" spans="2:25" s="59" customFormat="1" x14ac:dyDescent="0.25">
      <c r="B26" s="1" t="s">
        <v>148</v>
      </c>
      <c r="C26" s="3" t="s">
        <v>68</v>
      </c>
      <c r="D26" s="3" t="s">
        <v>74</v>
      </c>
      <c r="E26" s="4">
        <v>36739</v>
      </c>
      <c r="F26" s="4">
        <v>37103</v>
      </c>
      <c r="G26" s="1" t="s">
        <v>76</v>
      </c>
      <c r="H26" s="1" t="s">
        <v>80</v>
      </c>
      <c r="I26" s="3" t="s">
        <v>77</v>
      </c>
      <c r="J26" s="8">
        <f>6.401/J$1</f>
        <v>0.21336666666666665</v>
      </c>
      <c r="K26" s="5">
        <v>1.32E-2</v>
      </c>
      <c r="L26" s="5">
        <v>2.2000000000000001E-3</v>
      </c>
      <c r="M26" s="5">
        <v>7.1999999999999998E-3</v>
      </c>
      <c r="N26" s="5">
        <v>0</v>
      </c>
      <c r="O26" s="41">
        <v>2.1160000000000002E-2</v>
      </c>
      <c r="P26" s="5">
        <f t="shared" si="2"/>
        <v>0.23596666666666666</v>
      </c>
      <c r="Q26" s="24">
        <v>68926</v>
      </c>
      <c r="R26" s="3">
        <v>4</v>
      </c>
      <c r="S26" s="1" t="s">
        <v>0</v>
      </c>
      <c r="T26" s="9">
        <f t="shared" si="3"/>
        <v>25.603999999999999</v>
      </c>
      <c r="U26" s="9"/>
      <c r="V26" s="54">
        <v>345125</v>
      </c>
      <c r="W26" s="1"/>
      <c r="X26" s="36"/>
      <c r="Y26" s="36"/>
    </row>
    <row r="27" spans="2:25" s="59" customFormat="1" x14ac:dyDescent="0.25">
      <c r="B27" s="1"/>
      <c r="C27" s="3"/>
      <c r="D27" s="3"/>
      <c r="E27" s="4"/>
      <c r="F27" s="4"/>
      <c r="G27" s="1"/>
      <c r="H27" s="1"/>
      <c r="I27" s="3"/>
      <c r="J27" s="8"/>
      <c r="K27" s="5"/>
      <c r="L27" s="5"/>
      <c r="M27" s="5"/>
      <c r="N27" s="5"/>
      <c r="O27" s="41"/>
      <c r="P27" s="5"/>
      <c r="Q27" s="24"/>
      <c r="R27" s="3"/>
      <c r="S27" s="1"/>
      <c r="T27" s="9"/>
      <c r="U27" s="9"/>
      <c r="V27" s="54"/>
      <c r="W27" s="1"/>
      <c r="X27" s="36"/>
      <c r="Y27" s="36"/>
    </row>
    <row r="28" spans="2:25" s="192" customFormat="1" x14ac:dyDescent="0.25">
      <c r="B28" s="183" t="s">
        <v>148</v>
      </c>
      <c r="C28" s="184" t="s">
        <v>68</v>
      </c>
      <c r="D28" s="184" t="s">
        <v>74</v>
      </c>
      <c r="E28" s="182">
        <v>36465</v>
      </c>
      <c r="F28" s="182">
        <v>36830</v>
      </c>
      <c r="G28" s="183" t="s">
        <v>76</v>
      </c>
      <c r="H28" s="183" t="s">
        <v>80</v>
      </c>
      <c r="I28" s="184" t="s">
        <v>77</v>
      </c>
      <c r="J28" s="185">
        <f>6.449/J$1</f>
        <v>0.21496666666666667</v>
      </c>
      <c r="K28" s="186">
        <v>1.32E-2</v>
      </c>
      <c r="L28" s="186">
        <v>2.2000000000000001E-3</v>
      </c>
      <c r="M28" s="186">
        <v>7.1999999999999998E-3</v>
      </c>
      <c r="N28" s="186">
        <v>0</v>
      </c>
      <c r="O28" s="187">
        <v>2.1160000000000002E-2</v>
      </c>
      <c r="P28" s="186">
        <f>SUM(J28:N28)</f>
        <v>0.23756666666666668</v>
      </c>
      <c r="Q28" s="188">
        <v>65026</v>
      </c>
      <c r="R28" s="184">
        <v>128</v>
      </c>
      <c r="S28" s="183" t="s">
        <v>86</v>
      </c>
      <c r="T28" s="189">
        <f>J28*J$1*R28</f>
        <v>825.47199999999998</v>
      </c>
      <c r="U28" s="189"/>
      <c r="V28" s="190">
        <v>162286</v>
      </c>
      <c r="W28" s="183"/>
      <c r="X28" s="191"/>
      <c r="Y28" s="191"/>
    </row>
    <row r="29" spans="2:25" s="170" customFormat="1" x14ac:dyDescent="0.25">
      <c r="B29" s="171" t="s">
        <v>148</v>
      </c>
      <c r="C29" s="172" t="s">
        <v>68</v>
      </c>
      <c r="D29" s="172" t="s">
        <v>74</v>
      </c>
      <c r="E29" s="173">
        <v>36831</v>
      </c>
      <c r="F29" s="173">
        <v>37195</v>
      </c>
      <c r="G29" s="171" t="s">
        <v>76</v>
      </c>
      <c r="H29" s="171" t="s">
        <v>367</v>
      </c>
      <c r="I29" s="172" t="s">
        <v>77</v>
      </c>
      <c r="J29" s="174">
        <f>6.449/J$1</f>
        <v>0.21496666666666667</v>
      </c>
      <c r="K29" s="175">
        <v>1.32E-2</v>
      </c>
      <c r="L29" s="175">
        <v>2.2000000000000001E-3</v>
      </c>
      <c r="M29" s="175">
        <v>7.1999999999999998E-3</v>
      </c>
      <c r="N29" s="175">
        <v>0</v>
      </c>
      <c r="O29" s="176">
        <v>2.1160000000000002E-2</v>
      </c>
      <c r="P29" s="175">
        <f>SUM(J29:N29)</f>
        <v>0.23756666666666668</v>
      </c>
      <c r="Q29" s="177"/>
      <c r="R29" s="172">
        <v>13</v>
      </c>
      <c r="S29" s="171" t="s">
        <v>365</v>
      </c>
      <c r="T29" s="178">
        <f>J29*J$1*R29</f>
        <v>83.837000000000003</v>
      </c>
      <c r="U29" s="178"/>
      <c r="V29" s="179"/>
      <c r="W29" s="171"/>
      <c r="X29" s="180"/>
      <c r="Y29" s="180"/>
    </row>
    <row r="30" spans="2:25" s="170" customFormat="1" x14ac:dyDescent="0.25">
      <c r="B30" s="171" t="s">
        <v>148</v>
      </c>
      <c r="C30" s="172" t="s">
        <v>68</v>
      </c>
      <c r="D30" s="172" t="s">
        <v>74</v>
      </c>
      <c r="E30" s="173">
        <v>36831</v>
      </c>
      <c r="F30" s="173">
        <v>37195</v>
      </c>
      <c r="G30" s="171" t="s">
        <v>76</v>
      </c>
      <c r="H30" s="171" t="s">
        <v>366</v>
      </c>
      <c r="I30" s="172" t="s">
        <v>77</v>
      </c>
      <c r="J30" s="174">
        <f>6.449/J$1</f>
        <v>0.21496666666666667</v>
      </c>
      <c r="K30" s="175">
        <v>1.32E-2</v>
      </c>
      <c r="L30" s="175">
        <v>2.2000000000000001E-3</v>
      </c>
      <c r="M30" s="175">
        <v>7.1999999999999998E-3</v>
      </c>
      <c r="N30" s="175">
        <v>0</v>
      </c>
      <c r="O30" s="176">
        <v>2.1160000000000002E-2</v>
      </c>
      <c r="P30" s="175">
        <f>SUM(J30:N30)</f>
        <v>0.23756666666666668</v>
      </c>
      <c r="Q30" s="177"/>
      <c r="R30" s="172">
        <v>63</v>
      </c>
      <c r="S30" s="171" t="s">
        <v>365</v>
      </c>
      <c r="T30" s="178">
        <f>J30*J$1*R30</f>
        <v>406.28699999999998</v>
      </c>
      <c r="U30" s="178"/>
      <c r="V30" s="179"/>
      <c r="W30" s="171"/>
      <c r="X30" s="180"/>
      <c r="Y30" s="180"/>
    </row>
    <row r="31" spans="2:25" s="170" customFormat="1" x14ac:dyDescent="0.25">
      <c r="B31" s="171" t="s">
        <v>148</v>
      </c>
      <c r="C31" s="172" t="s">
        <v>68</v>
      </c>
      <c r="D31" s="172" t="s">
        <v>74</v>
      </c>
      <c r="E31" s="173">
        <v>36831</v>
      </c>
      <c r="F31" s="173">
        <v>37195</v>
      </c>
      <c r="G31" s="171" t="s">
        <v>76</v>
      </c>
      <c r="H31" s="171" t="s">
        <v>373</v>
      </c>
      <c r="I31" s="172" t="s">
        <v>77</v>
      </c>
      <c r="J31" s="174">
        <f>6.449/J$1</f>
        <v>0.21496666666666667</v>
      </c>
      <c r="K31" s="175">
        <v>1.32E-2</v>
      </c>
      <c r="L31" s="175">
        <v>2.2000000000000001E-3</v>
      </c>
      <c r="M31" s="175">
        <v>7.1999999999999998E-3</v>
      </c>
      <c r="N31" s="175">
        <v>0</v>
      </c>
      <c r="O31" s="176">
        <v>2.1160000000000002E-2</v>
      </c>
      <c r="P31" s="175">
        <f>SUM(J31:N31)</f>
        <v>0.23756666666666668</v>
      </c>
      <c r="Q31" s="177"/>
      <c r="R31" s="172">
        <v>14</v>
      </c>
      <c r="S31" s="171" t="s">
        <v>365</v>
      </c>
      <c r="T31" s="178">
        <f>J31*J$1*R31</f>
        <v>90.286000000000001</v>
      </c>
      <c r="U31" s="178"/>
      <c r="V31" s="179"/>
      <c r="W31" s="171"/>
      <c r="X31" s="180"/>
      <c r="Y31" s="180"/>
    </row>
    <row r="32" spans="2:25" s="170" customFormat="1" x14ac:dyDescent="0.25">
      <c r="B32" s="171" t="s">
        <v>148</v>
      </c>
      <c r="C32" s="172" t="s">
        <v>68</v>
      </c>
      <c r="D32" s="172" t="s">
        <v>74</v>
      </c>
      <c r="E32" s="173">
        <v>36831</v>
      </c>
      <c r="F32" s="173">
        <v>37195</v>
      </c>
      <c r="G32" s="171" t="s">
        <v>76</v>
      </c>
      <c r="H32" s="171" t="s">
        <v>368</v>
      </c>
      <c r="I32" s="172" t="s">
        <v>77</v>
      </c>
      <c r="J32" s="174">
        <f>6.449/J$1</f>
        <v>0.21496666666666667</v>
      </c>
      <c r="K32" s="175">
        <v>1.32E-2</v>
      </c>
      <c r="L32" s="175">
        <v>2.2000000000000001E-3</v>
      </c>
      <c r="M32" s="175">
        <v>7.1999999999999998E-3</v>
      </c>
      <c r="N32" s="175">
        <v>0</v>
      </c>
      <c r="O32" s="176">
        <v>2.1160000000000002E-2</v>
      </c>
      <c r="P32" s="175">
        <f>SUM(J32:N32)</f>
        <v>0.23756666666666668</v>
      </c>
      <c r="Q32" s="177"/>
      <c r="R32" s="172">
        <v>36</v>
      </c>
      <c r="S32" s="171" t="s">
        <v>365</v>
      </c>
      <c r="T32" s="178">
        <f>J32*J$1*R32</f>
        <v>232.16399999999999</v>
      </c>
      <c r="U32" s="178"/>
      <c r="V32" s="179"/>
      <c r="W32" s="171"/>
      <c r="X32" s="180"/>
      <c r="Y32" s="180"/>
    </row>
    <row r="33" spans="2:25" s="59" customFormat="1" x14ac:dyDescent="0.25">
      <c r="B33" s="1"/>
      <c r="C33" s="3"/>
      <c r="D33" s="3"/>
      <c r="E33" s="4"/>
      <c r="F33" s="4"/>
      <c r="G33" s="1"/>
      <c r="H33" s="1"/>
      <c r="I33" s="3"/>
      <c r="J33" s="8"/>
      <c r="K33" s="5"/>
      <c r="L33" s="5"/>
      <c r="M33" s="5"/>
      <c r="N33" s="5"/>
      <c r="O33" s="41"/>
      <c r="P33" s="5"/>
      <c r="Q33" s="24"/>
      <c r="R33" s="3"/>
      <c r="S33" s="1"/>
      <c r="T33" s="9"/>
      <c r="U33" s="9"/>
      <c r="V33" s="54"/>
      <c r="W33" s="1"/>
      <c r="X33" s="36"/>
      <c r="Y33" s="36"/>
    </row>
    <row r="34" spans="2:25" s="192" customFormat="1" x14ac:dyDescent="0.25">
      <c r="B34" s="183" t="s">
        <v>148</v>
      </c>
      <c r="C34" s="184" t="s">
        <v>68</v>
      </c>
      <c r="D34" s="184" t="s">
        <v>87</v>
      </c>
      <c r="E34" s="182">
        <v>36465</v>
      </c>
      <c r="F34" s="182">
        <v>36830</v>
      </c>
      <c r="G34" s="183" t="s">
        <v>76</v>
      </c>
      <c r="H34" s="183" t="s">
        <v>88</v>
      </c>
      <c r="I34" s="184" t="s">
        <v>77</v>
      </c>
      <c r="J34" s="185">
        <f>6.449/J$1</f>
        <v>0.21496666666666667</v>
      </c>
      <c r="K34" s="186">
        <v>1.32E-2</v>
      </c>
      <c r="L34" s="186">
        <v>2.2000000000000001E-3</v>
      </c>
      <c r="M34" s="186">
        <v>7.1999999999999998E-3</v>
      </c>
      <c r="N34" s="186">
        <v>0</v>
      </c>
      <c r="O34" s="187">
        <v>2.1160000000000002E-2</v>
      </c>
      <c r="P34" s="186">
        <f>SUM(J34:N34)</f>
        <v>0.23756666666666668</v>
      </c>
      <c r="Q34" s="188">
        <v>65041</v>
      </c>
      <c r="R34" s="184">
        <v>9619</v>
      </c>
      <c r="S34" s="183" t="s">
        <v>89</v>
      </c>
      <c r="T34" s="189">
        <f>J34*J$1*R34</f>
        <v>62032.930999999997</v>
      </c>
      <c r="U34" s="189"/>
      <c r="V34" s="190">
        <v>162285</v>
      </c>
      <c r="W34" s="183"/>
      <c r="X34" s="191"/>
      <c r="Y34" s="191"/>
    </row>
    <row r="35" spans="2:25" s="170" customFormat="1" x14ac:dyDescent="0.25">
      <c r="B35" s="171" t="s">
        <v>148</v>
      </c>
      <c r="C35" s="172" t="s">
        <v>68</v>
      </c>
      <c r="D35" s="172" t="s">
        <v>74</v>
      </c>
      <c r="E35" s="173">
        <v>36831</v>
      </c>
      <c r="F35" s="173">
        <v>37195</v>
      </c>
      <c r="G35" s="171" t="s">
        <v>370</v>
      </c>
      <c r="H35" s="171" t="s">
        <v>369</v>
      </c>
      <c r="I35" s="172" t="s">
        <v>77</v>
      </c>
      <c r="J35" s="174">
        <f>6.449/J$1</f>
        <v>0.21496666666666667</v>
      </c>
      <c r="K35" s="175">
        <v>1.32E-2</v>
      </c>
      <c r="L35" s="175">
        <v>2.2000000000000001E-3</v>
      </c>
      <c r="M35" s="175">
        <v>7.1999999999999998E-3</v>
      </c>
      <c r="N35" s="175">
        <v>0</v>
      </c>
      <c r="O35" s="176">
        <v>2.1160000000000002E-2</v>
      </c>
      <c r="P35" s="175">
        <f>SUM(J35:N35)</f>
        <v>0.23756666666666668</v>
      </c>
      <c r="Q35" s="177"/>
      <c r="R35" s="172">
        <v>3630</v>
      </c>
      <c r="S35" s="171" t="s">
        <v>372</v>
      </c>
      <c r="T35" s="178">
        <f>J35*J$1*R35</f>
        <v>23409.87</v>
      </c>
      <c r="U35" s="178"/>
      <c r="V35" s="179"/>
      <c r="W35" s="171"/>
      <c r="X35" s="180"/>
      <c r="Y35" s="180"/>
    </row>
    <row r="36" spans="2:25" s="170" customFormat="1" x14ac:dyDescent="0.25">
      <c r="B36" s="171" t="s">
        <v>148</v>
      </c>
      <c r="C36" s="172" t="s">
        <v>68</v>
      </c>
      <c r="D36" s="172" t="s">
        <v>74</v>
      </c>
      <c r="E36" s="173">
        <v>36831</v>
      </c>
      <c r="F36" s="173">
        <v>37195</v>
      </c>
      <c r="G36" s="171" t="s">
        <v>371</v>
      </c>
      <c r="H36" s="171" t="s">
        <v>369</v>
      </c>
      <c r="I36" s="172" t="s">
        <v>77</v>
      </c>
      <c r="J36" s="174">
        <f>6.449/J$1</f>
        <v>0.21496666666666667</v>
      </c>
      <c r="K36" s="175">
        <v>1.32E-2</v>
      </c>
      <c r="L36" s="175">
        <v>2.2000000000000001E-3</v>
      </c>
      <c r="M36" s="175">
        <v>7.1999999999999998E-3</v>
      </c>
      <c r="N36" s="175">
        <v>0</v>
      </c>
      <c r="O36" s="176">
        <v>2.1160000000000002E-2</v>
      </c>
      <c r="P36" s="175">
        <f>SUM(J36:N36)</f>
        <v>0.23756666666666668</v>
      </c>
      <c r="Q36" s="177"/>
      <c r="R36" s="172">
        <v>2795</v>
      </c>
      <c r="S36" s="171" t="s">
        <v>372</v>
      </c>
      <c r="T36" s="178">
        <f>J36*J$1*R36</f>
        <v>18024.954999999998</v>
      </c>
      <c r="U36" s="178"/>
      <c r="V36" s="179"/>
      <c r="W36" s="171"/>
      <c r="X36" s="180"/>
      <c r="Y36" s="180"/>
    </row>
    <row r="37" spans="2:25" s="170" customFormat="1" x14ac:dyDescent="0.25">
      <c r="B37" s="171" t="s">
        <v>148</v>
      </c>
      <c r="C37" s="172" t="s">
        <v>68</v>
      </c>
      <c r="D37" s="172" t="s">
        <v>74</v>
      </c>
      <c r="E37" s="173">
        <v>36831</v>
      </c>
      <c r="F37" s="173">
        <v>37195</v>
      </c>
      <c r="G37" s="171" t="s">
        <v>76</v>
      </c>
      <c r="H37" s="171" t="s">
        <v>369</v>
      </c>
      <c r="I37" s="172" t="s">
        <v>77</v>
      </c>
      <c r="J37" s="174">
        <f>6.449/J$1</f>
        <v>0.21496666666666667</v>
      </c>
      <c r="K37" s="175">
        <v>1.32E-2</v>
      </c>
      <c r="L37" s="175">
        <v>2.2000000000000001E-3</v>
      </c>
      <c r="M37" s="175">
        <v>7.1999999999999998E-3</v>
      </c>
      <c r="N37" s="175">
        <v>0</v>
      </c>
      <c r="O37" s="176">
        <v>2.1160000000000002E-2</v>
      </c>
      <c r="P37" s="175">
        <f>SUM(J37:N37)</f>
        <v>0.23756666666666668</v>
      </c>
      <c r="Q37" s="177"/>
      <c r="R37" s="172">
        <v>2759</v>
      </c>
      <c r="S37" s="171" t="s">
        <v>372</v>
      </c>
      <c r="T37" s="178">
        <f>J37*J$1*R37</f>
        <v>17792.791000000001</v>
      </c>
      <c r="U37" s="178"/>
      <c r="V37" s="179"/>
      <c r="W37" s="171"/>
      <c r="X37" s="180"/>
      <c r="Y37" s="180"/>
    </row>
    <row r="38" spans="2:25" s="59" customFormat="1" x14ac:dyDescent="0.25">
      <c r="B38" s="1"/>
      <c r="C38" s="3"/>
      <c r="D38" s="3"/>
      <c r="E38" s="4"/>
      <c r="F38" s="4"/>
      <c r="G38" s="1"/>
      <c r="H38" s="1"/>
      <c r="I38" s="3"/>
      <c r="J38" s="8"/>
      <c r="K38" s="5"/>
      <c r="L38" s="5"/>
      <c r="M38" s="5"/>
      <c r="N38" s="5"/>
      <c r="O38" s="41"/>
      <c r="P38" s="5"/>
      <c r="Q38" s="24"/>
      <c r="R38" s="3"/>
      <c r="S38" s="1"/>
      <c r="T38" s="9"/>
      <c r="U38" s="9"/>
      <c r="V38" s="54"/>
      <c r="W38" s="1"/>
      <c r="X38" s="36"/>
      <c r="Y38" s="36"/>
    </row>
    <row r="39" spans="2:25" s="192" customFormat="1" x14ac:dyDescent="0.25">
      <c r="B39" s="183" t="s">
        <v>148</v>
      </c>
      <c r="C39" s="184" t="s">
        <v>68</v>
      </c>
      <c r="D39" s="184" t="s">
        <v>87</v>
      </c>
      <c r="E39" s="182">
        <v>36465</v>
      </c>
      <c r="F39" s="182">
        <v>36830</v>
      </c>
      <c r="G39" s="183" t="s">
        <v>76</v>
      </c>
      <c r="H39" s="183" t="s">
        <v>91</v>
      </c>
      <c r="I39" s="184" t="s">
        <v>77</v>
      </c>
      <c r="J39" s="185">
        <f>6.449/J$1</f>
        <v>0.21496666666666667</v>
      </c>
      <c r="K39" s="186">
        <v>1.32E-2</v>
      </c>
      <c r="L39" s="186">
        <v>2.2000000000000001E-3</v>
      </c>
      <c r="M39" s="186">
        <v>7.1999999999999998E-3</v>
      </c>
      <c r="N39" s="186">
        <v>0</v>
      </c>
      <c r="O39" s="187">
        <v>2.1160000000000002E-2</v>
      </c>
      <c r="P39" s="186">
        <f>SUM(J39:N39)</f>
        <v>0.23756666666666668</v>
      </c>
      <c r="Q39" s="188">
        <v>65042</v>
      </c>
      <c r="R39" s="184">
        <v>4427</v>
      </c>
      <c r="S39" s="183" t="s">
        <v>90</v>
      </c>
      <c r="T39" s="189">
        <f>J39*J$1*R39</f>
        <v>28549.722999999998</v>
      </c>
      <c r="U39" s="189"/>
      <c r="V39" s="190">
        <v>162287</v>
      </c>
      <c r="W39" s="183"/>
      <c r="X39" s="191"/>
      <c r="Y39" s="191"/>
    </row>
    <row r="40" spans="2:25" s="170" customFormat="1" x14ac:dyDescent="0.25">
      <c r="B40" s="171" t="s">
        <v>148</v>
      </c>
      <c r="C40" s="172" t="s">
        <v>68</v>
      </c>
      <c r="D40" s="172" t="s">
        <v>87</v>
      </c>
      <c r="E40" s="173">
        <v>36831</v>
      </c>
      <c r="F40" s="173">
        <v>37195</v>
      </c>
      <c r="G40" s="171" t="s">
        <v>76</v>
      </c>
      <c r="H40" s="171" t="s">
        <v>91</v>
      </c>
      <c r="I40" s="172" t="s">
        <v>77</v>
      </c>
      <c r="J40" s="174">
        <f>6.449/J$1</f>
        <v>0.21496666666666667</v>
      </c>
      <c r="K40" s="175">
        <v>1.32E-2</v>
      </c>
      <c r="L40" s="175">
        <v>2.2000000000000001E-3</v>
      </c>
      <c r="M40" s="175">
        <v>7.1999999999999998E-3</v>
      </c>
      <c r="N40" s="175">
        <v>0</v>
      </c>
      <c r="O40" s="176">
        <v>2.1160000000000002E-2</v>
      </c>
      <c r="P40" s="175">
        <f>SUM(J40:N40)</f>
        <v>0.23756666666666668</v>
      </c>
      <c r="Q40" s="177"/>
      <c r="R40" s="172">
        <v>4018</v>
      </c>
      <c r="S40" s="171" t="s">
        <v>364</v>
      </c>
      <c r="T40" s="178">
        <f>J40*J$1*R40</f>
        <v>25912.081999999999</v>
      </c>
      <c r="U40" s="178"/>
      <c r="V40" s="179">
        <v>162287</v>
      </c>
      <c r="W40" s="171"/>
      <c r="X40" s="180"/>
      <c r="Y40" s="180"/>
    </row>
    <row r="41" spans="2:25" s="59" customFormat="1" x14ac:dyDescent="0.25">
      <c r="B41" s="1"/>
      <c r="C41" s="3"/>
      <c r="D41" s="3"/>
      <c r="E41" s="4"/>
      <c r="F41" s="4"/>
      <c r="G41" s="1"/>
      <c r="H41" s="1"/>
      <c r="I41" s="3"/>
      <c r="J41" s="8"/>
      <c r="K41" s="5"/>
      <c r="L41" s="5"/>
      <c r="M41" s="5"/>
      <c r="N41" s="5"/>
      <c r="O41" s="41"/>
      <c r="P41" s="5"/>
      <c r="Q41" s="24"/>
      <c r="R41" s="3"/>
      <c r="S41" s="1"/>
      <c r="T41" s="9"/>
      <c r="U41" s="9"/>
      <c r="V41" s="54"/>
      <c r="W41" s="1"/>
      <c r="X41" s="36"/>
      <c r="Y41" s="36"/>
    </row>
    <row r="42" spans="2:25" s="59" customFormat="1" x14ac:dyDescent="0.25">
      <c r="B42" s="1" t="s">
        <v>148</v>
      </c>
      <c r="C42" s="3" t="s">
        <v>68</v>
      </c>
      <c r="D42" s="3" t="s">
        <v>92</v>
      </c>
      <c r="E42" s="4">
        <v>36465</v>
      </c>
      <c r="F42" s="4">
        <v>37011</v>
      </c>
      <c r="G42" s="1" t="s">
        <v>76</v>
      </c>
      <c r="H42" s="1" t="s">
        <v>93</v>
      </c>
      <c r="I42" s="3" t="s">
        <v>77</v>
      </c>
      <c r="J42" s="8">
        <f>6.449/J$1</f>
        <v>0.21496666666666667</v>
      </c>
      <c r="K42" s="5">
        <v>1.32E-2</v>
      </c>
      <c r="L42" s="5">
        <v>2.2000000000000001E-3</v>
      </c>
      <c r="M42" s="5">
        <v>7.1999999999999998E-3</v>
      </c>
      <c r="N42" s="5">
        <v>0</v>
      </c>
      <c r="O42" s="41">
        <v>2.1160000000000002E-2</v>
      </c>
      <c r="P42" s="5">
        <f>SUM(J42:N42)</f>
        <v>0.23756666666666668</v>
      </c>
      <c r="Q42" s="24">
        <v>65108</v>
      </c>
      <c r="R42" s="3">
        <v>5000</v>
      </c>
      <c r="S42" s="1" t="s">
        <v>179</v>
      </c>
      <c r="T42" s="9">
        <f>J42*J$1*R42</f>
        <v>32245</v>
      </c>
      <c r="U42" s="9"/>
      <c r="V42" s="54">
        <v>163001</v>
      </c>
      <c r="W42" s="1"/>
      <c r="X42" s="36"/>
      <c r="Y42" s="36"/>
    </row>
    <row r="43" spans="2:25" s="59" customFormat="1" x14ac:dyDescent="0.25">
      <c r="B43" s="1" t="s">
        <v>148</v>
      </c>
      <c r="C43" s="3" t="s">
        <v>68</v>
      </c>
      <c r="D43" s="3"/>
      <c r="E43" s="4">
        <v>36557</v>
      </c>
      <c r="F43" s="4">
        <v>36830</v>
      </c>
      <c r="G43" s="1" t="s">
        <v>105</v>
      </c>
      <c r="H43" s="1" t="s">
        <v>100</v>
      </c>
      <c r="I43" s="3" t="s">
        <v>77</v>
      </c>
      <c r="J43" s="8">
        <f>4.563/J$1</f>
        <v>0.15209999999999999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1">
        <v>2.1160000000000002E-2</v>
      </c>
      <c r="P43" s="5">
        <f>SUM(J43:N43)</f>
        <v>0.17469999999999999</v>
      </c>
      <c r="Q43" s="24">
        <v>65418</v>
      </c>
      <c r="R43" s="3">
        <v>500</v>
      </c>
      <c r="S43" s="1" t="s">
        <v>106</v>
      </c>
      <c r="T43" s="9">
        <f>J43*J$1*R43</f>
        <v>2281.5</v>
      </c>
      <c r="U43" s="9"/>
      <c r="V43" s="54">
        <v>156599</v>
      </c>
      <c r="W43" s="1"/>
      <c r="X43" s="36"/>
      <c r="Y43" s="36"/>
    </row>
    <row r="44" spans="2:25" s="59" customFormat="1" x14ac:dyDescent="0.25">
      <c r="B44" s="1" t="s">
        <v>148</v>
      </c>
      <c r="C44" s="3" t="s">
        <v>68</v>
      </c>
      <c r="D44" s="3" t="s">
        <v>74</v>
      </c>
      <c r="E44" s="4">
        <v>36557</v>
      </c>
      <c r="F44" s="4">
        <v>36860</v>
      </c>
      <c r="G44" s="1" t="s">
        <v>76</v>
      </c>
      <c r="H44" s="1" t="s">
        <v>80</v>
      </c>
      <c r="I44" s="3" t="s">
        <v>77</v>
      </c>
      <c r="J44" s="8">
        <f>6.449/J$1</f>
        <v>0.21496666666666667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1">
        <v>2.1160000000000002E-2</v>
      </c>
      <c r="P44" s="5">
        <f>SUM(J44:N44)</f>
        <v>0.23756666666666668</v>
      </c>
      <c r="Q44" s="24">
        <v>65556</v>
      </c>
      <c r="R44" s="3">
        <v>3</v>
      </c>
      <c r="S44" s="1" t="s">
        <v>94</v>
      </c>
      <c r="T44" s="9">
        <f>J44*J$1*R44</f>
        <v>19.347000000000001</v>
      </c>
      <c r="U44" s="9"/>
      <c r="V44" s="54">
        <v>156602</v>
      </c>
      <c r="W44" s="1"/>
      <c r="X44" s="36"/>
      <c r="Y44" s="36"/>
    </row>
    <row r="45" spans="2:25" s="59" customFormat="1" x14ac:dyDescent="0.25">
      <c r="B45" s="1" t="s">
        <v>148</v>
      </c>
      <c r="C45" s="3" t="s">
        <v>68</v>
      </c>
      <c r="D45" s="3" t="s">
        <v>70</v>
      </c>
      <c r="E45" s="4">
        <v>36557</v>
      </c>
      <c r="F45" s="4">
        <v>36922</v>
      </c>
      <c r="G45" s="1" t="s">
        <v>150</v>
      </c>
      <c r="H45" s="1" t="s">
        <v>151</v>
      </c>
      <c r="I45" s="3" t="s">
        <v>77</v>
      </c>
      <c r="J45" s="8">
        <f>6.449/J$1</f>
        <v>0.21496666666666667</v>
      </c>
      <c r="K45" s="5"/>
      <c r="L45" s="5"/>
      <c r="M45" s="5"/>
      <c r="N45" s="5"/>
      <c r="O45" s="41"/>
      <c r="P45" s="5"/>
      <c r="Q45" s="24">
        <v>66280</v>
      </c>
      <c r="R45" s="3">
        <v>1</v>
      </c>
      <c r="S45" s="1" t="s">
        <v>153</v>
      </c>
      <c r="T45" s="9">
        <f>J45*J$1*R45</f>
        <v>6.4489999999999998</v>
      </c>
      <c r="U45" s="9"/>
      <c r="V45" s="54">
        <v>156606</v>
      </c>
      <c r="W45" s="1"/>
      <c r="X45" s="36"/>
      <c r="Y45" s="36"/>
    </row>
    <row r="46" spans="2:25" s="59" customFormat="1" x14ac:dyDescent="0.25">
      <c r="B46" s="1" t="s">
        <v>148</v>
      </c>
      <c r="C46" s="3" t="s">
        <v>68</v>
      </c>
      <c r="D46" s="3" t="s">
        <v>70</v>
      </c>
      <c r="E46" s="4">
        <v>36557</v>
      </c>
      <c r="F46" s="4">
        <v>36922</v>
      </c>
      <c r="G46" s="1" t="s">
        <v>150</v>
      </c>
      <c r="H46" s="1" t="s">
        <v>152</v>
      </c>
      <c r="I46" s="3" t="s">
        <v>77</v>
      </c>
      <c r="J46" s="8">
        <f>6.449/J$1</f>
        <v>0.21496666666666667</v>
      </c>
      <c r="K46" s="5"/>
      <c r="L46" s="5"/>
      <c r="M46" s="5"/>
      <c r="N46" s="5"/>
      <c r="O46" s="41"/>
      <c r="P46" s="5"/>
      <c r="Q46" s="24">
        <v>66280</v>
      </c>
      <c r="R46" s="3">
        <v>4</v>
      </c>
      <c r="S46" s="1" t="s">
        <v>153</v>
      </c>
      <c r="T46" s="9">
        <f>J46*J$1*R46</f>
        <v>25.795999999999999</v>
      </c>
      <c r="U46" s="9"/>
      <c r="V46" s="54">
        <v>156606</v>
      </c>
      <c r="W46" s="1"/>
      <c r="X46" s="36"/>
      <c r="Y46" s="36"/>
    </row>
    <row r="47" spans="2:25" s="59" customFormat="1" x14ac:dyDescent="0.25">
      <c r="B47" s="1" t="s">
        <v>148</v>
      </c>
      <c r="C47" s="3" t="s">
        <v>68</v>
      </c>
      <c r="D47" s="3" t="s">
        <v>70</v>
      </c>
      <c r="E47" s="4">
        <v>36656</v>
      </c>
      <c r="F47" s="4">
        <v>36950</v>
      </c>
      <c r="G47" s="1" t="s">
        <v>150</v>
      </c>
      <c r="H47" s="29" t="s">
        <v>151</v>
      </c>
      <c r="I47" s="3" t="s">
        <v>77</v>
      </c>
      <c r="J47" s="8">
        <v>6.4489999999999998</v>
      </c>
      <c r="K47" s="5"/>
      <c r="L47" s="5"/>
      <c r="M47" s="5"/>
      <c r="N47" s="5"/>
      <c r="O47" s="41"/>
      <c r="P47" s="5"/>
      <c r="Q47" s="24">
        <v>68308</v>
      </c>
      <c r="R47" s="3">
        <v>5</v>
      </c>
      <c r="S47" s="1" t="s">
        <v>274</v>
      </c>
      <c r="T47" s="9">
        <f>+R47*J47</f>
        <v>32.244999999999997</v>
      </c>
      <c r="U47" s="9"/>
      <c r="V47" s="54">
        <v>262094</v>
      </c>
      <c r="W47" s="1"/>
      <c r="X47" s="36"/>
      <c r="Y47" s="36"/>
    </row>
    <row r="48" spans="2:25" s="59" customFormat="1" x14ac:dyDescent="0.25">
      <c r="B48" s="1" t="s">
        <v>148</v>
      </c>
      <c r="C48" s="3" t="s">
        <v>68</v>
      </c>
      <c r="D48" s="3" t="s">
        <v>70</v>
      </c>
      <c r="E48" s="4">
        <v>36656</v>
      </c>
      <c r="F48" s="4">
        <v>36950</v>
      </c>
      <c r="G48" s="1" t="s">
        <v>150</v>
      </c>
      <c r="H48" s="29" t="s">
        <v>152</v>
      </c>
      <c r="I48" s="3" t="s">
        <v>77</v>
      </c>
      <c r="J48" s="8">
        <v>6.4489999999999998</v>
      </c>
      <c r="K48" s="5"/>
      <c r="L48" s="5"/>
      <c r="M48" s="5"/>
      <c r="N48" s="5"/>
      <c r="O48" s="41"/>
      <c r="P48" s="5"/>
      <c r="Q48" s="24">
        <v>68308</v>
      </c>
      <c r="R48" s="3">
        <v>4</v>
      </c>
      <c r="S48" s="1" t="s">
        <v>274</v>
      </c>
      <c r="T48" s="9">
        <f>+R48*J48</f>
        <v>25.795999999999999</v>
      </c>
      <c r="U48" s="9"/>
      <c r="V48" s="54">
        <v>262094</v>
      </c>
      <c r="W48" s="1"/>
      <c r="X48" s="36"/>
      <c r="Y48" s="36"/>
    </row>
    <row r="49" spans="2:25" s="59" customFormat="1" x14ac:dyDescent="0.25">
      <c r="B49" s="1" t="s">
        <v>148</v>
      </c>
      <c r="C49" s="3" t="s">
        <v>68</v>
      </c>
      <c r="D49" s="3" t="s">
        <v>70</v>
      </c>
      <c r="E49" s="4">
        <v>36708</v>
      </c>
      <c r="F49" s="4">
        <v>37072</v>
      </c>
      <c r="G49" s="1" t="s">
        <v>61</v>
      </c>
      <c r="H49" s="1" t="s">
        <v>54</v>
      </c>
      <c r="I49" s="3" t="s">
        <v>112</v>
      </c>
      <c r="J49" s="8">
        <f>3.145/J$1</f>
        <v>0.10483333333333333</v>
      </c>
      <c r="K49" s="5">
        <v>1.32E-2</v>
      </c>
      <c r="L49" s="5">
        <v>2.2000000000000001E-3</v>
      </c>
      <c r="M49" s="5">
        <v>0</v>
      </c>
      <c r="N49" s="5">
        <v>0</v>
      </c>
      <c r="O49" s="41">
        <v>2.1160000000000002E-2</v>
      </c>
      <c r="P49" s="5">
        <f>SUM(J49:N49)</f>
        <v>0.12023333333333333</v>
      </c>
      <c r="Q49" s="24">
        <v>68635</v>
      </c>
      <c r="R49" s="3">
        <v>1</v>
      </c>
      <c r="S49" s="1" t="s">
        <v>307</v>
      </c>
      <c r="T49" s="9">
        <f>J49*J$1*R49</f>
        <v>3.145</v>
      </c>
      <c r="U49" s="9"/>
      <c r="V49" s="54">
        <v>312333</v>
      </c>
      <c r="W49" s="1"/>
      <c r="X49" s="36"/>
      <c r="Y49" s="36"/>
    </row>
    <row r="50" spans="2:25" s="59" customFormat="1" x14ac:dyDescent="0.25">
      <c r="B50" s="1" t="s">
        <v>148</v>
      </c>
      <c r="C50" s="3" t="s">
        <v>68</v>
      </c>
      <c r="D50" s="3" t="s">
        <v>200</v>
      </c>
      <c r="E50" s="4">
        <v>36617</v>
      </c>
      <c r="F50" s="4" t="s">
        <v>201</v>
      </c>
      <c r="G50" s="1" t="s">
        <v>202</v>
      </c>
      <c r="H50" s="1"/>
      <c r="I50" s="3" t="s">
        <v>203</v>
      </c>
      <c r="J50" s="8"/>
      <c r="K50" s="5"/>
      <c r="L50" s="5"/>
      <c r="M50" s="5"/>
      <c r="N50" s="5"/>
      <c r="O50" s="41"/>
      <c r="P50" s="5"/>
      <c r="Q50" s="24">
        <v>66917</v>
      </c>
      <c r="R50" s="3"/>
      <c r="S50" s="1"/>
      <c r="T50" s="9"/>
      <c r="U50" s="9"/>
      <c r="V50" s="54">
        <v>228085</v>
      </c>
      <c r="W50" s="1"/>
      <c r="X50" s="36"/>
      <c r="Y50" s="36"/>
    </row>
    <row r="51" spans="2:25" s="59" customFormat="1" x14ac:dyDescent="0.25">
      <c r="B51" s="1" t="s">
        <v>148</v>
      </c>
      <c r="C51" s="3" t="s">
        <v>68</v>
      </c>
      <c r="D51" s="3" t="s">
        <v>70</v>
      </c>
      <c r="E51" s="4">
        <v>36617</v>
      </c>
      <c r="F51" s="4">
        <v>36981</v>
      </c>
      <c r="G51" s="1" t="s">
        <v>150</v>
      </c>
      <c r="H51" s="1" t="s">
        <v>151</v>
      </c>
      <c r="I51" s="3" t="s">
        <v>77</v>
      </c>
      <c r="J51" s="8">
        <f t="shared" ref="J51:J56" si="4">6.401/$J$1</f>
        <v>0.21336666666666665</v>
      </c>
      <c r="K51" s="5"/>
      <c r="L51" s="5"/>
      <c r="M51" s="5"/>
      <c r="N51" s="5"/>
      <c r="O51" s="41"/>
      <c r="P51" s="5"/>
      <c r="Q51" s="24">
        <v>66939</v>
      </c>
      <c r="R51" s="3">
        <v>5</v>
      </c>
      <c r="S51" s="1" t="s">
        <v>31</v>
      </c>
      <c r="T51" s="9">
        <f t="shared" ref="T51:T63" si="5">+R51*J51</f>
        <v>1.0668333333333333</v>
      </c>
      <c r="U51" s="9"/>
      <c r="V51" s="54"/>
      <c r="W51" s="1"/>
      <c r="X51" s="36"/>
      <c r="Y51" s="36"/>
    </row>
    <row r="52" spans="2:25" s="59" customFormat="1" x14ac:dyDescent="0.25">
      <c r="B52" s="1" t="s">
        <v>148</v>
      </c>
      <c r="C52" s="3" t="s">
        <v>68</v>
      </c>
      <c r="D52" s="3" t="s">
        <v>70</v>
      </c>
      <c r="E52" s="4">
        <v>36617</v>
      </c>
      <c r="F52" s="4">
        <v>36981</v>
      </c>
      <c r="G52" s="1" t="s">
        <v>150</v>
      </c>
      <c r="H52" s="1" t="s">
        <v>152</v>
      </c>
      <c r="I52" s="3" t="s">
        <v>77</v>
      </c>
      <c r="J52" s="8">
        <f t="shared" si="4"/>
        <v>0.21336666666666665</v>
      </c>
      <c r="K52" s="5"/>
      <c r="L52" s="5"/>
      <c r="M52" s="5"/>
      <c r="N52" s="5"/>
      <c r="O52" s="41"/>
      <c r="P52" s="5"/>
      <c r="Q52" s="24">
        <v>66939</v>
      </c>
      <c r="R52" s="3">
        <v>27</v>
      </c>
      <c r="S52" s="1" t="s">
        <v>31</v>
      </c>
      <c r="T52" s="9">
        <f t="shared" si="5"/>
        <v>5.7608999999999995</v>
      </c>
      <c r="U52" s="9"/>
      <c r="V52" s="54"/>
      <c r="W52" s="1"/>
      <c r="X52" s="36"/>
      <c r="Y52" s="36"/>
    </row>
    <row r="53" spans="2:25" s="59" customFormat="1" x14ac:dyDescent="0.25">
      <c r="B53" s="1" t="s">
        <v>148</v>
      </c>
      <c r="C53" s="3" t="s">
        <v>68</v>
      </c>
      <c r="D53" s="3" t="s">
        <v>70</v>
      </c>
      <c r="E53" s="4">
        <v>36617</v>
      </c>
      <c r="F53" s="4">
        <v>36981</v>
      </c>
      <c r="G53" s="1" t="s">
        <v>150</v>
      </c>
      <c r="H53" s="1" t="s">
        <v>247</v>
      </c>
      <c r="I53" s="3" t="s">
        <v>77</v>
      </c>
      <c r="J53" s="8">
        <f t="shared" si="4"/>
        <v>0.21336666666666665</v>
      </c>
      <c r="K53" s="5"/>
      <c r="L53" s="5"/>
      <c r="M53" s="5"/>
      <c r="N53" s="5"/>
      <c r="O53" s="41"/>
      <c r="P53" s="5"/>
      <c r="Q53" s="24">
        <v>66939</v>
      </c>
      <c r="R53" s="3">
        <v>3</v>
      </c>
      <c r="S53" s="1" t="s">
        <v>31</v>
      </c>
      <c r="T53" s="9">
        <f t="shared" si="5"/>
        <v>0.64009999999999989</v>
      </c>
      <c r="U53" s="9"/>
      <c r="V53" s="54"/>
      <c r="W53" s="1"/>
      <c r="X53" s="36"/>
      <c r="Y53" s="36"/>
    </row>
    <row r="54" spans="2:25" s="59" customFormat="1" x14ac:dyDescent="0.25">
      <c r="B54" s="1" t="s">
        <v>148</v>
      </c>
      <c r="C54" s="3" t="s">
        <v>68</v>
      </c>
      <c r="D54" s="3" t="s">
        <v>70</v>
      </c>
      <c r="E54" s="4">
        <v>36617</v>
      </c>
      <c r="F54" s="4">
        <v>36981</v>
      </c>
      <c r="G54" s="1" t="s">
        <v>150</v>
      </c>
      <c r="H54" s="1" t="s">
        <v>248</v>
      </c>
      <c r="I54" s="3" t="s">
        <v>77</v>
      </c>
      <c r="J54" s="8">
        <f t="shared" si="4"/>
        <v>0.21336666666666665</v>
      </c>
      <c r="K54" s="5"/>
      <c r="L54" s="5"/>
      <c r="M54" s="5"/>
      <c r="N54" s="5"/>
      <c r="O54" s="41"/>
      <c r="P54" s="5"/>
      <c r="Q54" s="24">
        <v>66939</v>
      </c>
      <c r="R54" s="3">
        <v>17</v>
      </c>
      <c r="S54" s="1" t="s">
        <v>31</v>
      </c>
      <c r="T54" s="9">
        <f t="shared" si="5"/>
        <v>3.6272333333333329</v>
      </c>
      <c r="U54" s="9"/>
      <c r="V54" s="54"/>
      <c r="W54" s="1"/>
      <c r="X54" s="36"/>
      <c r="Y54" s="36"/>
    </row>
    <row r="55" spans="2:25" s="59" customFormat="1" x14ac:dyDescent="0.25">
      <c r="B55" s="1" t="s">
        <v>148</v>
      </c>
      <c r="C55" s="3" t="s">
        <v>68</v>
      </c>
      <c r="D55" s="3" t="s">
        <v>69</v>
      </c>
      <c r="E55" s="4">
        <v>36617</v>
      </c>
      <c r="F55" s="4">
        <v>36981</v>
      </c>
      <c r="G55" s="1" t="s">
        <v>150</v>
      </c>
      <c r="H55" s="1" t="s">
        <v>249</v>
      </c>
      <c r="I55" s="3" t="s">
        <v>77</v>
      </c>
      <c r="J55" s="8">
        <f t="shared" si="4"/>
        <v>0.21336666666666665</v>
      </c>
      <c r="K55" s="5"/>
      <c r="L55" s="5"/>
      <c r="M55" s="5"/>
      <c r="N55" s="5"/>
      <c r="O55" s="41"/>
      <c r="P55" s="5"/>
      <c r="Q55" s="24">
        <v>66940</v>
      </c>
      <c r="R55" s="3">
        <v>1</v>
      </c>
      <c r="S55" s="29" t="s">
        <v>204</v>
      </c>
      <c r="T55" s="9">
        <f t="shared" si="5"/>
        <v>0.21336666666666665</v>
      </c>
      <c r="U55" s="9"/>
      <c r="V55" s="54">
        <v>228134</v>
      </c>
      <c r="W55" s="1"/>
      <c r="X55" s="36"/>
      <c r="Y55" s="36"/>
    </row>
    <row r="56" spans="2:25" s="59" customFormat="1" x14ac:dyDescent="0.25">
      <c r="B56" s="1" t="s">
        <v>148</v>
      </c>
      <c r="C56" s="3" t="s">
        <v>68</v>
      </c>
      <c r="D56" s="3" t="s">
        <v>69</v>
      </c>
      <c r="E56" s="4">
        <v>36617</v>
      </c>
      <c r="F56" s="4">
        <v>36981</v>
      </c>
      <c r="G56" s="1" t="s">
        <v>150</v>
      </c>
      <c r="H56" s="1" t="s">
        <v>250</v>
      </c>
      <c r="I56" s="3" t="s">
        <v>77</v>
      </c>
      <c r="J56" s="8">
        <f t="shared" si="4"/>
        <v>0.21336666666666665</v>
      </c>
      <c r="K56" s="5"/>
      <c r="L56" s="5"/>
      <c r="M56" s="5"/>
      <c r="N56" s="5"/>
      <c r="O56" s="41"/>
      <c r="P56" s="5"/>
      <c r="Q56" s="24">
        <v>66940</v>
      </c>
      <c r="R56" s="3">
        <v>1</v>
      </c>
      <c r="S56" s="29" t="s">
        <v>204</v>
      </c>
      <c r="T56" s="9">
        <f t="shared" si="5"/>
        <v>0.21336666666666665</v>
      </c>
      <c r="U56" s="9"/>
      <c r="V56" s="54">
        <v>228134</v>
      </c>
      <c r="W56" s="1"/>
      <c r="X56" s="36"/>
      <c r="Y56" s="36"/>
    </row>
    <row r="57" spans="2:25" s="59" customFormat="1" x14ac:dyDescent="0.25">
      <c r="B57" s="1" t="s">
        <v>148</v>
      </c>
      <c r="C57" s="3" t="s">
        <v>68</v>
      </c>
      <c r="D57" s="3" t="s">
        <v>69</v>
      </c>
      <c r="E57" s="4">
        <v>36647</v>
      </c>
      <c r="F57" s="4">
        <v>37011</v>
      </c>
      <c r="G57" s="1" t="s">
        <v>262</v>
      </c>
      <c r="H57" s="1" t="s">
        <v>263</v>
      </c>
      <c r="I57" s="3" t="s">
        <v>77</v>
      </c>
      <c r="J57" s="8" t="e">
        <f>6.401/#REF!</f>
        <v>#REF!</v>
      </c>
      <c r="K57" s="5"/>
      <c r="L57" s="5"/>
      <c r="M57" s="5"/>
      <c r="N57" s="5"/>
      <c r="O57" s="41"/>
      <c r="P57" s="5"/>
      <c r="Q57" s="24">
        <v>68188</v>
      </c>
      <c r="R57" s="3">
        <v>1</v>
      </c>
      <c r="S57" s="1" t="s">
        <v>264</v>
      </c>
      <c r="T57" s="9" t="e">
        <f>+J57*R57*13</f>
        <v>#REF!</v>
      </c>
      <c r="U57" s="9"/>
      <c r="V57" s="54">
        <v>253195</v>
      </c>
      <c r="W57" s="1"/>
      <c r="X57" s="36"/>
      <c r="Y57" s="36"/>
    </row>
    <row r="58" spans="2:25" s="107" customFormat="1" x14ac:dyDescent="0.25">
      <c r="B58" s="55" t="s">
        <v>148</v>
      </c>
      <c r="C58" s="39" t="s">
        <v>68</v>
      </c>
      <c r="D58" s="39" t="s">
        <v>145</v>
      </c>
      <c r="E58" s="104">
        <v>36312</v>
      </c>
      <c r="F58" s="104">
        <v>37011</v>
      </c>
      <c r="G58" s="57" t="s">
        <v>76</v>
      </c>
      <c r="H58" s="57" t="s">
        <v>289</v>
      </c>
      <c r="I58" s="39" t="s">
        <v>77</v>
      </c>
      <c r="J58" s="105"/>
      <c r="K58" s="23"/>
      <c r="L58" s="23"/>
      <c r="M58" s="23"/>
      <c r="N58" s="23"/>
      <c r="O58" s="106"/>
      <c r="P58" s="23"/>
      <c r="Q58" s="47">
        <v>65403</v>
      </c>
      <c r="R58" s="39"/>
      <c r="S58" s="55" t="s">
        <v>312</v>
      </c>
      <c r="T58" s="28"/>
      <c r="U58" s="28"/>
      <c r="V58" s="50"/>
      <c r="W58" s="55" t="s">
        <v>311</v>
      </c>
      <c r="X58" s="35"/>
      <c r="Y58" s="35"/>
    </row>
    <row r="59" spans="2:25" s="107" customFormat="1" x14ac:dyDescent="0.25">
      <c r="B59" s="55" t="s">
        <v>148</v>
      </c>
      <c r="C59" s="39" t="s">
        <v>68</v>
      </c>
      <c r="D59" s="39" t="s">
        <v>113</v>
      </c>
      <c r="E59" s="104">
        <v>36739</v>
      </c>
      <c r="F59" s="104">
        <v>37103</v>
      </c>
      <c r="G59" s="55" t="s">
        <v>150</v>
      </c>
      <c r="H59" s="55" t="s">
        <v>313</v>
      </c>
      <c r="I59" s="39" t="s">
        <v>77</v>
      </c>
      <c r="J59" s="8">
        <f>6.401/$J$1</f>
        <v>0.21336666666666665</v>
      </c>
      <c r="K59" s="23"/>
      <c r="L59" s="23"/>
      <c r="M59" s="23"/>
      <c r="N59" s="23"/>
      <c r="O59" s="106"/>
      <c r="P59" s="23"/>
      <c r="Q59" s="47">
        <v>68928</v>
      </c>
      <c r="R59" s="39">
        <v>47</v>
      </c>
      <c r="S59" s="55" t="s">
        <v>3</v>
      </c>
      <c r="T59" s="28">
        <f>+J59*R59</f>
        <v>10.028233333333333</v>
      </c>
      <c r="U59" s="28"/>
      <c r="V59" s="50">
        <v>351966</v>
      </c>
      <c r="W59" s="55"/>
      <c r="X59" s="35"/>
      <c r="Y59" s="35"/>
    </row>
    <row r="60" spans="2:25" s="107" customFormat="1" x14ac:dyDescent="0.25">
      <c r="B60" s="55" t="s">
        <v>148</v>
      </c>
      <c r="C60" s="39" t="s">
        <v>68</v>
      </c>
      <c r="D60" s="39" t="s">
        <v>70</v>
      </c>
      <c r="E60" s="104">
        <v>36770</v>
      </c>
      <c r="F60" s="104">
        <v>37134</v>
      </c>
      <c r="G60" s="55" t="s">
        <v>150</v>
      </c>
      <c r="H60" s="55" t="s">
        <v>316</v>
      </c>
      <c r="I60" s="39" t="s">
        <v>77</v>
      </c>
      <c r="J60" s="8">
        <f>6.401/$J$1</f>
        <v>0.21336666666666665</v>
      </c>
      <c r="K60" s="23"/>
      <c r="L60" s="23"/>
      <c r="M60" s="23"/>
      <c r="N60" s="23"/>
      <c r="O60" s="106"/>
      <c r="P60" s="23"/>
      <c r="Q60" s="47">
        <v>69144</v>
      </c>
      <c r="R60" s="39">
        <v>62</v>
      </c>
      <c r="S60" s="55" t="s">
        <v>317</v>
      </c>
      <c r="T60" s="28">
        <f>+J60*R60</f>
        <v>13.228733333333333</v>
      </c>
      <c r="U60" s="28"/>
      <c r="V60" s="50"/>
      <c r="W60" s="55"/>
      <c r="X60" s="35"/>
      <c r="Y60" s="35"/>
    </row>
    <row r="61" spans="2:25" s="107" customFormat="1" x14ac:dyDescent="0.25">
      <c r="B61" s="55" t="s">
        <v>148</v>
      </c>
      <c r="C61" s="39" t="s">
        <v>68</v>
      </c>
      <c r="D61" s="39" t="s">
        <v>70</v>
      </c>
      <c r="E61" s="104">
        <v>36800</v>
      </c>
      <c r="F61" s="104">
        <v>37164</v>
      </c>
      <c r="G61" s="55" t="s">
        <v>150</v>
      </c>
      <c r="H61" s="55" t="s">
        <v>341</v>
      </c>
      <c r="I61" s="39" t="s">
        <v>77</v>
      </c>
      <c r="J61" s="105" t="e">
        <f>6.401/#REF!</f>
        <v>#REF!</v>
      </c>
      <c r="K61" s="23"/>
      <c r="L61" s="23"/>
      <c r="M61" s="23"/>
      <c r="N61" s="23"/>
      <c r="O61" s="106"/>
      <c r="P61" s="23"/>
      <c r="Q61" s="47">
        <v>69424</v>
      </c>
      <c r="R61" s="39">
        <v>13</v>
      </c>
      <c r="S61" s="55" t="s">
        <v>342</v>
      </c>
      <c r="T61" s="28" t="e">
        <f>+J61*R61</f>
        <v>#REF!</v>
      </c>
      <c r="U61" s="28"/>
      <c r="V61" s="50">
        <v>418221</v>
      </c>
      <c r="W61" s="55"/>
      <c r="X61" s="35"/>
      <c r="Y61" s="35"/>
    </row>
    <row r="62" spans="2:25" s="107" customFormat="1" x14ac:dyDescent="0.25">
      <c r="B62" s="55" t="s">
        <v>148</v>
      </c>
      <c r="C62" s="39" t="s">
        <v>68</v>
      </c>
      <c r="D62" s="39" t="s">
        <v>113</v>
      </c>
      <c r="E62" s="104">
        <v>36647</v>
      </c>
      <c r="F62" s="104">
        <v>37011</v>
      </c>
      <c r="G62" s="55" t="s">
        <v>150</v>
      </c>
      <c r="H62" s="55" t="s">
        <v>268</v>
      </c>
      <c r="I62" s="39" t="s">
        <v>77</v>
      </c>
      <c r="J62" s="8">
        <f>6.401/$J$1</f>
        <v>0.21336666666666665</v>
      </c>
      <c r="K62" s="23"/>
      <c r="L62" s="23"/>
      <c r="M62" s="23"/>
      <c r="N62" s="23"/>
      <c r="O62" s="106"/>
      <c r="P62" s="23"/>
      <c r="Q62" s="47">
        <v>68257</v>
      </c>
      <c r="R62" s="39">
        <v>21</v>
      </c>
      <c r="S62" s="55" t="s">
        <v>269</v>
      </c>
      <c r="T62" s="28">
        <f t="shared" si="5"/>
        <v>4.4806999999999997</v>
      </c>
      <c r="U62" s="28"/>
      <c r="V62" s="50">
        <v>254718</v>
      </c>
      <c r="W62" s="55"/>
      <c r="X62" s="35"/>
      <c r="Y62" s="35"/>
    </row>
    <row r="63" spans="2:25" x14ac:dyDescent="0.25">
      <c r="G63" s="27"/>
      <c r="H63" s="27"/>
      <c r="O63" s="45"/>
      <c r="T63" s="9">
        <f t="shared" si="5"/>
        <v>0</v>
      </c>
      <c r="V63" s="38"/>
      <c r="W63" s="27"/>
      <c r="X63" s="38"/>
      <c r="Y63" s="38"/>
    </row>
    <row r="64" spans="2:25" x14ac:dyDescent="0.25">
      <c r="B64" s="10" t="s">
        <v>34</v>
      </c>
      <c r="C64" s="11" t="s">
        <v>34</v>
      </c>
      <c r="D64" s="11" t="s">
        <v>34</v>
      </c>
      <c r="E64" s="13" t="s">
        <v>34</v>
      </c>
      <c r="F64" s="13" t="s">
        <v>34</v>
      </c>
      <c r="G64" s="10" t="s">
        <v>34</v>
      </c>
      <c r="H64" s="30" t="s">
        <v>34</v>
      </c>
      <c r="I64" s="11" t="s">
        <v>34</v>
      </c>
      <c r="J64" s="14"/>
      <c r="K64" s="15"/>
      <c r="L64" s="15"/>
      <c r="M64" s="15"/>
      <c r="N64" s="15"/>
      <c r="O64" s="43"/>
      <c r="P64" s="15"/>
      <c r="Q64" s="26" t="s">
        <v>34</v>
      </c>
      <c r="R64" s="11">
        <f>SUM(R19:R62)</f>
        <v>34630</v>
      </c>
      <c r="S64" s="10" t="s">
        <v>34</v>
      </c>
      <c r="T64" s="22" t="e">
        <f>SUM(T4:T62)</f>
        <v>#REF!</v>
      </c>
      <c r="U64" s="22" t="e">
        <f>SUM(#REF!)</f>
        <v>#REF!</v>
      </c>
      <c r="V64" s="53"/>
      <c r="W64" s="30"/>
      <c r="X64" s="36"/>
      <c r="Y64" s="36"/>
    </row>
    <row r="67" spans="2:25" x14ac:dyDescent="0.25">
      <c r="B67" s="16" t="s">
        <v>35</v>
      </c>
      <c r="C67" s="17" t="s">
        <v>36</v>
      </c>
      <c r="D67" s="17" t="s">
        <v>37</v>
      </c>
      <c r="E67" s="18" t="s">
        <v>38</v>
      </c>
      <c r="F67" s="18"/>
      <c r="G67" s="16" t="s">
        <v>39</v>
      </c>
      <c r="H67" s="16" t="s">
        <v>40</v>
      </c>
      <c r="I67" s="17" t="s">
        <v>73</v>
      </c>
      <c r="J67" s="19" t="s">
        <v>41</v>
      </c>
      <c r="K67" s="17" t="s">
        <v>42</v>
      </c>
      <c r="L67" s="17" t="s">
        <v>43</v>
      </c>
      <c r="M67" s="17" t="s">
        <v>44</v>
      </c>
      <c r="N67" s="17" t="s">
        <v>45</v>
      </c>
      <c r="O67" s="42" t="s">
        <v>46</v>
      </c>
      <c r="P67" s="17" t="s">
        <v>47</v>
      </c>
      <c r="Q67" s="20" t="s">
        <v>146</v>
      </c>
      <c r="R67" s="17" t="s">
        <v>48</v>
      </c>
      <c r="S67" s="16" t="s">
        <v>49</v>
      </c>
      <c r="T67" s="21" t="s">
        <v>72</v>
      </c>
      <c r="U67" s="21" t="s">
        <v>71</v>
      </c>
      <c r="V67" s="52" t="s">
        <v>147</v>
      </c>
      <c r="W67" s="56" t="e">
        <f>+#REF!</f>
        <v>#REF!</v>
      </c>
      <c r="X67" s="36"/>
      <c r="Y67" s="36"/>
    </row>
    <row r="68" spans="2:25" s="59" customFormat="1" x14ac:dyDescent="0.25">
      <c r="B68" s="1" t="s">
        <v>148</v>
      </c>
      <c r="C68" s="3" t="s">
        <v>60</v>
      </c>
      <c r="D68" s="3" t="s">
        <v>113</v>
      </c>
      <c r="E68" s="4">
        <v>36678</v>
      </c>
      <c r="F68" s="4">
        <v>37042</v>
      </c>
      <c r="G68" s="1" t="s">
        <v>61</v>
      </c>
      <c r="H68" s="1" t="s">
        <v>54</v>
      </c>
      <c r="I68" s="3" t="s">
        <v>112</v>
      </c>
      <c r="J68" s="8">
        <f>3.145/J$1</f>
        <v>0.10483333333333333</v>
      </c>
      <c r="K68" s="5">
        <v>1.32E-2</v>
      </c>
      <c r="L68" s="5">
        <v>2.2000000000000001E-3</v>
      </c>
      <c r="M68" s="5">
        <v>0</v>
      </c>
      <c r="N68" s="5">
        <v>0</v>
      </c>
      <c r="O68" s="41">
        <v>2.1160000000000002E-2</v>
      </c>
      <c r="P68" s="5">
        <f>SUM(J68:N68)</f>
        <v>0.12023333333333333</v>
      </c>
      <c r="Q68" s="24">
        <v>68360</v>
      </c>
      <c r="R68" s="3">
        <v>291</v>
      </c>
      <c r="S68" s="1"/>
      <c r="T68" s="9">
        <f t="shared" ref="T68:T76" si="6">J68*J$1*R68</f>
        <v>915.19500000000005</v>
      </c>
      <c r="U68" s="9"/>
      <c r="V68" s="54">
        <v>271311</v>
      </c>
      <c r="W68" s="1"/>
      <c r="X68" s="36"/>
      <c r="Y68" s="36"/>
    </row>
    <row r="69" spans="2:25" s="59" customFormat="1" x14ac:dyDescent="0.25">
      <c r="B69" s="1" t="s">
        <v>148</v>
      </c>
      <c r="C69" s="3" t="s">
        <v>60</v>
      </c>
      <c r="D69" s="3" t="s">
        <v>70</v>
      </c>
      <c r="E69" s="4">
        <v>36678</v>
      </c>
      <c r="F69" s="4">
        <v>37042</v>
      </c>
      <c r="G69" s="1" t="s">
        <v>61</v>
      </c>
      <c r="H69" s="1" t="s">
        <v>54</v>
      </c>
      <c r="I69" s="3" t="s">
        <v>112</v>
      </c>
      <c r="J69" s="8">
        <f>3.145/J$1</f>
        <v>0.10483333333333333</v>
      </c>
      <c r="K69" s="5">
        <v>1.32E-2</v>
      </c>
      <c r="L69" s="5">
        <v>2.2000000000000001E-3</v>
      </c>
      <c r="M69" s="5">
        <v>0</v>
      </c>
      <c r="N69" s="5">
        <v>0</v>
      </c>
      <c r="O69" s="41">
        <v>2.1160000000000002E-2</v>
      </c>
      <c r="P69" s="5">
        <f>SUM(J69:N69)</f>
        <v>0.12023333333333333</v>
      </c>
      <c r="Q69" s="24">
        <v>68385</v>
      </c>
      <c r="R69" s="3">
        <v>223</v>
      </c>
      <c r="S69" s="1"/>
      <c r="T69" s="9">
        <f t="shared" si="6"/>
        <v>701.33500000000004</v>
      </c>
      <c r="U69" s="9"/>
      <c r="V69" s="54">
        <v>280550</v>
      </c>
      <c r="W69" s="1"/>
      <c r="X69" s="36"/>
      <c r="Y69" s="36"/>
    </row>
    <row r="70" spans="2:25" s="59" customFormat="1" x14ac:dyDescent="0.25">
      <c r="B70" s="1" t="s">
        <v>148</v>
      </c>
      <c r="C70" s="3" t="s">
        <v>60</v>
      </c>
      <c r="D70" s="3" t="s">
        <v>113</v>
      </c>
      <c r="E70" s="4">
        <v>36708</v>
      </c>
      <c r="F70" s="4">
        <v>37072</v>
      </c>
      <c r="G70" s="1" t="s">
        <v>61</v>
      </c>
      <c r="H70" s="1" t="s">
        <v>54</v>
      </c>
      <c r="I70" s="3" t="s">
        <v>112</v>
      </c>
      <c r="J70" s="8">
        <f>3.145/J$1</f>
        <v>0.10483333333333333</v>
      </c>
      <c r="K70" s="5">
        <v>1.32E-2</v>
      </c>
      <c r="L70" s="5">
        <v>2.2000000000000001E-3</v>
      </c>
      <c r="M70" s="5">
        <v>0</v>
      </c>
      <c r="N70" s="5">
        <v>0</v>
      </c>
      <c r="O70" s="41">
        <v>2.1160000000000002E-2</v>
      </c>
      <c r="P70" s="5">
        <f>SUM(J70:N70)</f>
        <v>0.12023333333333333</v>
      </c>
      <c r="Q70" s="24">
        <v>68615</v>
      </c>
      <c r="R70" s="3">
        <v>920</v>
      </c>
      <c r="S70" s="1"/>
      <c r="T70" s="9">
        <f t="shared" si="6"/>
        <v>2893.4</v>
      </c>
      <c r="U70" s="9"/>
      <c r="V70" s="54">
        <v>309873</v>
      </c>
      <c r="W70" s="1"/>
      <c r="X70" s="36"/>
      <c r="Y70" s="36"/>
    </row>
    <row r="71" spans="2:25" s="59" customFormat="1" x14ac:dyDescent="0.25">
      <c r="B71" s="1"/>
      <c r="C71" s="3"/>
      <c r="D71" s="3"/>
      <c r="E71" s="4"/>
      <c r="F71" s="4"/>
      <c r="G71" s="1"/>
      <c r="H71" s="1"/>
      <c r="I71" s="3"/>
      <c r="J71" s="8"/>
      <c r="K71" s="5"/>
      <c r="L71" s="5"/>
      <c r="M71" s="5"/>
      <c r="N71" s="5"/>
      <c r="O71" s="41"/>
      <c r="P71" s="5"/>
      <c r="Q71" s="24"/>
      <c r="R71" s="3"/>
      <c r="S71" s="1"/>
      <c r="T71" s="9"/>
      <c r="U71" s="9"/>
      <c r="V71" s="54"/>
      <c r="W71" s="1"/>
      <c r="X71" s="36"/>
      <c r="Y71" s="36"/>
    </row>
    <row r="72" spans="2:25" s="192" customFormat="1" x14ac:dyDescent="0.25">
      <c r="B72" s="183" t="s">
        <v>148</v>
      </c>
      <c r="C72" s="184" t="s">
        <v>60</v>
      </c>
      <c r="D72" s="184" t="s">
        <v>70</v>
      </c>
      <c r="E72" s="182">
        <v>36465</v>
      </c>
      <c r="F72" s="182">
        <v>36830</v>
      </c>
      <c r="G72" s="183" t="s">
        <v>61</v>
      </c>
      <c r="H72" s="183" t="s">
        <v>54</v>
      </c>
      <c r="I72" s="184" t="s">
        <v>112</v>
      </c>
      <c r="J72" s="185">
        <f>3.145/J$1</f>
        <v>0.10483333333333333</v>
      </c>
      <c r="K72" s="186">
        <v>1.32E-2</v>
      </c>
      <c r="L72" s="186">
        <v>2.2000000000000001E-3</v>
      </c>
      <c r="M72" s="186">
        <v>0</v>
      </c>
      <c r="N72" s="186">
        <v>0</v>
      </c>
      <c r="O72" s="187">
        <v>2.1160000000000002E-2</v>
      </c>
      <c r="P72" s="186">
        <f>SUM(J72:N72)</f>
        <v>0.12023333333333333</v>
      </c>
      <c r="Q72" s="188">
        <v>65027</v>
      </c>
      <c r="R72" s="184">
        <v>131</v>
      </c>
      <c r="S72" s="183" t="s">
        <v>67</v>
      </c>
      <c r="T72" s="189">
        <f>J72*J$1*R72</f>
        <v>411.995</v>
      </c>
      <c r="U72" s="189"/>
      <c r="V72" s="190">
        <v>156666</v>
      </c>
      <c r="W72" s="183" t="s">
        <v>66</v>
      </c>
      <c r="X72" s="191"/>
      <c r="Y72" s="191"/>
    </row>
    <row r="73" spans="2:25" s="170" customFormat="1" x14ac:dyDescent="0.25">
      <c r="B73" s="171" t="s">
        <v>59</v>
      </c>
      <c r="C73" s="172" t="s">
        <v>60</v>
      </c>
      <c r="D73" s="172" t="s">
        <v>70</v>
      </c>
      <c r="E73" s="173">
        <v>36831</v>
      </c>
      <c r="F73" s="173">
        <v>37195</v>
      </c>
      <c r="G73" s="171" t="s">
        <v>61</v>
      </c>
      <c r="H73" s="171" t="s">
        <v>54</v>
      </c>
      <c r="I73" s="172" t="s">
        <v>112</v>
      </c>
      <c r="J73" s="174">
        <f>3.145/J$1</f>
        <v>0.10483333333333333</v>
      </c>
      <c r="K73" s="175">
        <v>1.32E-2</v>
      </c>
      <c r="L73" s="175">
        <v>2.2000000000000001E-3</v>
      </c>
      <c r="M73" s="175">
        <v>0</v>
      </c>
      <c r="N73" s="175">
        <v>0</v>
      </c>
      <c r="O73" s="176">
        <v>2.1160000000000002E-2</v>
      </c>
      <c r="P73" s="175">
        <f>SUM(J73:N73)</f>
        <v>0.12023333333333333</v>
      </c>
      <c r="Q73" s="177"/>
      <c r="R73" s="172">
        <v>129</v>
      </c>
      <c r="S73" s="171" t="s">
        <v>363</v>
      </c>
      <c r="T73" s="178">
        <f t="shared" si="6"/>
        <v>405.70499999999998</v>
      </c>
      <c r="U73" s="178"/>
      <c r="V73" s="179">
        <v>156666</v>
      </c>
      <c r="W73" s="171" t="s">
        <v>66</v>
      </c>
      <c r="X73" s="180"/>
      <c r="Y73" s="180"/>
    </row>
    <row r="74" spans="2:25" s="59" customFormat="1" x14ac:dyDescent="0.25">
      <c r="B74" s="1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1"/>
      <c r="P74" s="5"/>
      <c r="Q74" s="24"/>
      <c r="R74" s="3"/>
      <c r="S74" s="1"/>
      <c r="T74" s="9"/>
      <c r="U74" s="9"/>
      <c r="V74" s="54"/>
      <c r="W74" s="1"/>
      <c r="X74" s="36"/>
      <c r="Y74" s="36"/>
    </row>
    <row r="75" spans="2:25" s="59" customFormat="1" x14ac:dyDescent="0.25">
      <c r="B75" s="1" t="s">
        <v>148</v>
      </c>
      <c r="C75" s="3" t="s">
        <v>60</v>
      </c>
      <c r="D75" s="3" t="s">
        <v>70</v>
      </c>
      <c r="E75" s="4">
        <v>36495</v>
      </c>
      <c r="F75" s="4">
        <v>36860</v>
      </c>
      <c r="G75" s="1" t="s">
        <v>61</v>
      </c>
      <c r="H75" s="1" t="s">
        <v>54</v>
      </c>
      <c r="I75" s="3" t="s">
        <v>112</v>
      </c>
      <c r="J75" s="8">
        <f>3.145/J$1</f>
        <v>0.10483333333333333</v>
      </c>
      <c r="K75" s="5">
        <v>1.32E-2</v>
      </c>
      <c r="L75" s="5">
        <v>2.2000000000000001E-3</v>
      </c>
      <c r="M75" s="5">
        <v>0</v>
      </c>
      <c r="N75" s="5">
        <v>0</v>
      </c>
      <c r="O75" s="41">
        <v>2.1160000000000002E-2</v>
      </c>
      <c r="P75" s="5">
        <f>SUM(J75:N75)</f>
        <v>0.12023333333333333</v>
      </c>
      <c r="Q75" s="24">
        <v>65557</v>
      </c>
      <c r="R75" s="3">
        <v>3</v>
      </c>
      <c r="S75" s="1"/>
      <c r="T75" s="9">
        <f t="shared" si="6"/>
        <v>9.4350000000000005</v>
      </c>
      <c r="U75" s="9"/>
      <c r="V75" s="54">
        <v>156669</v>
      </c>
      <c r="W75" s="1"/>
      <c r="X75" s="36"/>
      <c r="Y75" s="36"/>
    </row>
    <row r="76" spans="2:25" s="59" customFormat="1" x14ac:dyDescent="0.25">
      <c r="B76" s="1" t="s">
        <v>148</v>
      </c>
      <c r="C76" s="3" t="s">
        <v>60</v>
      </c>
      <c r="D76" s="3" t="s">
        <v>113</v>
      </c>
      <c r="E76" s="4">
        <v>36708</v>
      </c>
      <c r="F76" s="4" t="s">
        <v>314</v>
      </c>
      <c r="G76" s="1" t="s">
        <v>61</v>
      </c>
      <c r="H76" s="1" t="s">
        <v>54</v>
      </c>
      <c r="I76" s="3" t="s">
        <v>112</v>
      </c>
      <c r="J76" s="8" t="e">
        <f>3.145/J57</f>
        <v>#REF!</v>
      </c>
      <c r="K76" s="5"/>
      <c r="L76" s="5"/>
      <c r="M76" s="5"/>
      <c r="N76" s="5"/>
      <c r="O76" s="41"/>
      <c r="P76" s="5"/>
      <c r="Q76" s="24">
        <v>68634</v>
      </c>
      <c r="R76" s="3">
        <v>1</v>
      </c>
      <c r="S76" s="1"/>
      <c r="T76" s="9" t="e">
        <f t="shared" si="6"/>
        <v>#REF!</v>
      </c>
      <c r="U76" s="9"/>
      <c r="V76" s="54">
        <v>312338</v>
      </c>
      <c r="W76" s="1"/>
      <c r="X76" s="36"/>
      <c r="Y76" s="36"/>
    </row>
    <row r="77" spans="2:25" s="59" customFormat="1" x14ac:dyDescent="0.25">
      <c r="B77" s="1" t="s">
        <v>148</v>
      </c>
      <c r="C77" s="3" t="s">
        <v>60</v>
      </c>
      <c r="D77" s="3" t="s">
        <v>70</v>
      </c>
      <c r="E77" s="4">
        <v>36557</v>
      </c>
      <c r="F77" s="4">
        <v>36922</v>
      </c>
      <c r="G77" s="1" t="s">
        <v>61</v>
      </c>
      <c r="H77" s="1" t="s">
        <v>54</v>
      </c>
      <c r="I77" s="3" t="s">
        <v>112</v>
      </c>
      <c r="J77" s="8">
        <f>3.145/31</f>
        <v>0.10145161290322581</v>
      </c>
      <c r="K77" s="5"/>
      <c r="L77" s="5"/>
      <c r="M77" s="5"/>
      <c r="N77" s="5"/>
      <c r="O77" s="41"/>
      <c r="P77" s="5"/>
      <c r="Q77" s="24">
        <v>66283</v>
      </c>
      <c r="R77" s="3">
        <v>5</v>
      </c>
      <c r="S77" s="1"/>
      <c r="T77" s="169">
        <f>+J77*R77*31</f>
        <v>15.725000000000001</v>
      </c>
      <c r="U77" s="9"/>
      <c r="V77" s="54">
        <v>156674</v>
      </c>
      <c r="W77" s="1"/>
      <c r="X77" s="36"/>
      <c r="Y77" s="36"/>
    </row>
    <row r="78" spans="2:25" s="59" customFormat="1" x14ac:dyDescent="0.25">
      <c r="B78" s="1" t="s">
        <v>148</v>
      </c>
      <c r="C78" s="3" t="s">
        <v>60</v>
      </c>
      <c r="D78" s="3" t="s">
        <v>70</v>
      </c>
      <c r="E78" s="4">
        <v>36617</v>
      </c>
      <c r="F78" s="4">
        <v>36981</v>
      </c>
      <c r="G78" s="1" t="s">
        <v>61</v>
      </c>
      <c r="H78" s="1" t="s">
        <v>54</v>
      </c>
      <c r="I78" s="3" t="s">
        <v>112</v>
      </c>
      <c r="J78" s="8" t="e">
        <f>3.15/J57</f>
        <v>#REF!</v>
      </c>
      <c r="K78" s="5"/>
      <c r="L78" s="5"/>
      <c r="M78" s="5"/>
      <c r="N78" s="5"/>
      <c r="O78" s="41"/>
      <c r="P78" s="5"/>
      <c r="Q78" s="24">
        <v>66941</v>
      </c>
      <c r="R78" s="3">
        <v>53</v>
      </c>
      <c r="S78" s="1"/>
      <c r="T78" s="169" t="e">
        <f>+J78*R78*31</f>
        <v>#REF!</v>
      </c>
      <c r="U78" s="9"/>
      <c r="V78" s="54">
        <v>228122</v>
      </c>
      <c r="W78" s="1"/>
      <c r="X78" s="36"/>
      <c r="Y78" s="36"/>
    </row>
    <row r="79" spans="2:25" s="59" customFormat="1" x14ac:dyDescent="0.25">
      <c r="B79" s="1" t="s">
        <v>148</v>
      </c>
      <c r="C79" s="3" t="s">
        <v>60</v>
      </c>
      <c r="D79" s="3" t="s">
        <v>70</v>
      </c>
      <c r="E79" s="4">
        <v>36656</v>
      </c>
      <c r="F79" s="4">
        <v>36950</v>
      </c>
      <c r="G79" s="1" t="s">
        <v>61</v>
      </c>
      <c r="H79" s="1" t="s">
        <v>54</v>
      </c>
      <c r="I79" s="3" t="s">
        <v>112</v>
      </c>
      <c r="J79" s="8" t="e">
        <f>3.145/J57</f>
        <v>#REF!</v>
      </c>
      <c r="K79" s="5"/>
      <c r="L79" s="5"/>
      <c r="M79" s="5"/>
      <c r="N79" s="5"/>
      <c r="O79" s="41"/>
      <c r="P79" s="5"/>
      <c r="Q79" s="24">
        <v>68309</v>
      </c>
      <c r="R79" s="3">
        <v>9</v>
      </c>
      <c r="S79" s="1"/>
      <c r="T79" s="9" t="e">
        <f>+R79*J79*$J$1</f>
        <v>#REF!</v>
      </c>
      <c r="U79" s="9"/>
      <c r="V79" s="54">
        <v>262090</v>
      </c>
      <c r="W79" s="1" t="s">
        <v>160</v>
      </c>
      <c r="X79" s="36"/>
      <c r="Y79" s="36"/>
    </row>
    <row r="80" spans="2:25" s="59" customFormat="1" x14ac:dyDescent="0.25">
      <c r="B80" s="1" t="s">
        <v>148</v>
      </c>
      <c r="C80" s="3" t="s">
        <v>60</v>
      </c>
      <c r="D80" s="3" t="s">
        <v>70</v>
      </c>
      <c r="E80" s="4">
        <v>36739</v>
      </c>
      <c r="F80" s="4">
        <v>36738</v>
      </c>
      <c r="G80" s="1" t="s">
        <v>61</v>
      </c>
      <c r="H80" s="1" t="s">
        <v>54</v>
      </c>
      <c r="I80" s="3" t="s">
        <v>112</v>
      </c>
      <c r="J80" s="8" t="e">
        <f>3.145/J57</f>
        <v>#REF!</v>
      </c>
      <c r="K80" s="5"/>
      <c r="L80" s="5"/>
      <c r="M80" s="5"/>
      <c r="N80" s="5"/>
      <c r="O80" s="41"/>
      <c r="P80" s="5"/>
      <c r="Q80" s="24">
        <v>68929</v>
      </c>
      <c r="R80" s="3">
        <v>48</v>
      </c>
      <c r="S80" s="1" t="s">
        <v>2</v>
      </c>
      <c r="T80" s="9" t="e">
        <f>+R80*J80*$J$1</f>
        <v>#REF!</v>
      </c>
      <c r="U80" s="9"/>
      <c r="V80" s="54">
        <v>345091</v>
      </c>
      <c r="W80" s="1"/>
      <c r="X80" s="36"/>
      <c r="Y80" s="36"/>
    </row>
    <row r="81" spans="2:25" s="59" customFormat="1" x14ac:dyDescent="0.25">
      <c r="B81" s="1" t="s">
        <v>148</v>
      </c>
      <c r="C81" s="3" t="s">
        <v>60</v>
      </c>
      <c r="D81" s="3" t="s">
        <v>70</v>
      </c>
      <c r="E81" s="4">
        <v>36739</v>
      </c>
      <c r="F81" s="4">
        <v>37103</v>
      </c>
      <c r="G81" s="1" t="s">
        <v>61</v>
      </c>
      <c r="H81" s="1" t="s">
        <v>54</v>
      </c>
      <c r="I81" s="3" t="s">
        <v>112</v>
      </c>
      <c r="J81" s="8" t="e">
        <f>3.145/J57</f>
        <v>#REF!</v>
      </c>
      <c r="K81" s="5"/>
      <c r="L81" s="5"/>
      <c r="M81" s="5"/>
      <c r="N81" s="5"/>
      <c r="O81" s="41"/>
      <c r="P81" s="5"/>
      <c r="Q81" s="24">
        <v>68927</v>
      </c>
      <c r="R81" s="3">
        <v>4</v>
      </c>
      <c r="S81" s="1" t="s">
        <v>1</v>
      </c>
      <c r="T81" s="9" t="e">
        <f>+R81*J81*$J$1</f>
        <v>#REF!</v>
      </c>
      <c r="U81" s="9"/>
      <c r="V81" s="54">
        <v>345112</v>
      </c>
      <c r="W81" s="1"/>
      <c r="X81" s="36"/>
      <c r="Y81" s="36"/>
    </row>
    <row r="82" spans="2:25" s="59" customFormat="1" x14ac:dyDescent="0.25">
      <c r="B82" s="1" t="s">
        <v>148</v>
      </c>
      <c r="C82" s="3" t="s">
        <v>60</v>
      </c>
      <c r="D82" s="3" t="s">
        <v>70</v>
      </c>
      <c r="E82" s="4">
        <v>36770</v>
      </c>
      <c r="F82" s="4">
        <v>37104</v>
      </c>
      <c r="G82" s="1" t="s">
        <v>61</v>
      </c>
      <c r="H82" s="1" t="s">
        <v>54</v>
      </c>
      <c r="I82" s="3" t="s">
        <v>112</v>
      </c>
      <c r="J82" s="8" t="e">
        <f>3.145/J57</f>
        <v>#REF!</v>
      </c>
      <c r="K82" s="5"/>
      <c r="L82" s="5"/>
      <c r="M82" s="5"/>
      <c r="N82" s="5"/>
      <c r="O82" s="41"/>
      <c r="P82" s="5"/>
      <c r="Q82" s="24">
        <v>69145</v>
      </c>
      <c r="R82" s="3">
        <v>63</v>
      </c>
      <c r="S82" s="1" t="s">
        <v>318</v>
      </c>
      <c r="T82" s="9" t="e">
        <f>+R82*J82*J57</f>
        <v>#REF!</v>
      </c>
      <c r="U82" s="9"/>
      <c r="V82" s="54">
        <v>372169</v>
      </c>
      <c r="W82" s="1"/>
      <c r="X82" s="36"/>
      <c r="Y82" s="36"/>
    </row>
    <row r="83" spans="2:25" s="59" customFormat="1" x14ac:dyDescent="0.25">
      <c r="B83" s="1" t="s">
        <v>148</v>
      </c>
      <c r="C83" s="3" t="s">
        <v>60</v>
      </c>
      <c r="D83" s="3" t="s">
        <v>70</v>
      </c>
      <c r="E83" s="4">
        <v>36800</v>
      </c>
      <c r="F83" s="4">
        <v>36799</v>
      </c>
      <c r="G83" s="1" t="s">
        <v>61</v>
      </c>
      <c r="H83" s="1" t="s">
        <v>54</v>
      </c>
      <c r="I83" s="3" t="s">
        <v>112</v>
      </c>
      <c r="J83" s="8" t="e">
        <f>3.145/J57</f>
        <v>#REF!</v>
      </c>
      <c r="K83" s="5"/>
      <c r="L83" s="5"/>
      <c r="M83" s="5"/>
      <c r="N83" s="5"/>
      <c r="O83" s="41"/>
      <c r="P83" s="5"/>
      <c r="Q83" s="24">
        <v>69357</v>
      </c>
      <c r="R83" s="3">
        <v>13</v>
      </c>
      <c r="S83" s="1" t="s">
        <v>343</v>
      </c>
      <c r="T83" s="9" t="e">
        <f>+R83*J83*J57</f>
        <v>#REF!</v>
      </c>
      <c r="U83" s="9"/>
      <c r="V83" s="54">
        <v>418249</v>
      </c>
      <c r="W83" s="1"/>
      <c r="X83" s="36"/>
      <c r="Y83" s="36"/>
    </row>
    <row r="84" spans="2:25" s="59" customFormat="1" x14ac:dyDescent="0.25">
      <c r="B84" s="1" t="s">
        <v>148</v>
      </c>
      <c r="C84" s="3" t="s">
        <v>60</v>
      </c>
      <c r="D84" s="3" t="s">
        <v>113</v>
      </c>
      <c r="E84" s="4">
        <v>36647</v>
      </c>
      <c r="F84" s="4">
        <v>37011</v>
      </c>
      <c r="G84" s="1" t="s">
        <v>61</v>
      </c>
      <c r="H84" s="1" t="s">
        <v>54</v>
      </c>
      <c r="I84" s="3" t="s">
        <v>112</v>
      </c>
      <c r="J84" s="8" t="e">
        <f>3.154/J57</f>
        <v>#REF!</v>
      </c>
      <c r="K84" s="5"/>
      <c r="L84" s="5"/>
      <c r="M84" s="5"/>
      <c r="N84" s="5"/>
      <c r="O84" s="41"/>
      <c r="P84" s="5"/>
      <c r="Q84" s="24">
        <v>68281</v>
      </c>
      <c r="R84" s="3">
        <v>21</v>
      </c>
      <c r="S84" s="1" t="s">
        <v>267</v>
      </c>
      <c r="T84" s="9" t="e">
        <f>+R84*J84*$J$1</f>
        <v>#REF!</v>
      </c>
      <c r="U84" s="9"/>
      <c r="V84" s="54">
        <v>256413</v>
      </c>
      <c r="W84" s="1"/>
      <c r="X84" s="36"/>
      <c r="Y84" s="36"/>
    </row>
    <row r="85" spans="2:25" x14ac:dyDescent="0.25">
      <c r="G85" s="27"/>
      <c r="H85" s="27"/>
      <c r="O85" s="45"/>
      <c r="V85" s="38"/>
      <c r="W85" s="27"/>
      <c r="X85" s="38"/>
      <c r="Y85" s="38"/>
    </row>
    <row r="86" spans="2:25" s="59" customFormat="1" x14ac:dyDescent="0.25">
      <c r="B86" s="1"/>
      <c r="C86" s="3"/>
      <c r="D86" s="3"/>
      <c r="E86" s="4"/>
      <c r="F86" s="4"/>
      <c r="G86" s="1"/>
      <c r="H86" s="1"/>
      <c r="I86" s="3"/>
      <c r="J86" s="8"/>
      <c r="K86" s="5"/>
      <c r="L86" s="5"/>
      <c r="M86" s="5"/>
      <c r="N86" s="5"/>
      <c r="O86" s="41"/>
      <c r="P86" s="5"/>
      <c r="Q86" s="24"/>
      <c r="R86" s="3"/>
      <c r="S86" s="1"/>
      <c r="T86" s="9"/>
      <c r="U86" s="9"/>
      <c r="V86" s="54"/>
      <c r="W86" s="1"/>
      <c r="X86" s="36"/>
      <c r="Y86" s="36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Pricing Notes</vt:lpstr>
      <vt:lpstr>Spot Deals</vt:lpstr>
      <vt:lpstr>CGAS</vt:lpstr>
      <vt:lpstr>Pricing</vt:lpstr>
      <vt:lpstr>CES Retail East</vt:lpstr>
      <vt:lpstr>CES Retail Mrkt</vt:lpstr>
      <vt:lpstr>Sheet1</vt:lpstr>
      <vt:lpstr>Sheet2</vt:lpstr>
      <vt:lpstr>'CES Retail East'!Print_Area</vt:lpstr>
      <vt:lpstr>'CES Retail Mrkt'!Print_Area</vt:lpstr>
      <vt:lpstr>'Pricing Notes'!Print_Area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2000-10-24T19:18:59Z</cp:lastPrinted>
  <dcterms:created xsi:type="dcterms:W3CDTF">1998-07-21T12:15:25Z</dcterms:created>
  <dcterms:modified xsi:type="dcterms:W3CDTF">2023-09-10T12:06:38Z</dcterms:modified>
</cp:coreProperties>
</file>