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252" windowWidth="14796" windowHeight="8856" tabRatio="602" activeTab="3"/>
  </bookViews>
  <sheets>
    <sheet name="Sheet1" sheetId="31" r:id="rId1"/>
    <sheet name="3rd Party Deals" sheetId="30" r:id="rId2"/>
    <sheet name="Spot wENA" sheetId="21" r:id="rId3"/>
    <sheet name="CGAS" sheetId="22" r:id="rId4"/>
    <sheet name="Pricing" sheetId="25" r:id="rId5"/>
    <sheet name="NEW Retail East" sheetId="19" r:id="rId6"/>
    <sheet name="New Retail Mrkt" sheetId="28" r:id="rId7"/>
  </sheets>
  <definedNames>
    <definedName name="_xlnm.Print_Area" localSheetId="5">'NEW Retail East'!$A$1:$AC$123</definedName>
    <definedName name="_xlnm.Print_Area" localSheetId="6">'New Retail Mrkt'!$A$7:$V$66</definedName>
  </definedNames>
  <calcPr calcId="0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O6" i="30"/>
  <c r="P6" i="30"/>
  <c r="S6" i="30"/>
  <c r="T6" i="30"/>
  <c r="A7" i="30"/>
  <c r="B7" i="30"/>
  <c r="C7" i="30"/>
  <c r="D7" i="30"/>
  <c r="F7" i="30"/>
  <c r="G7" i="30"/>
  <c r="H7" i="30"/>
  <c r="J7" i="30"/>
  <c r="K7" i="30"/>
  <c r="L7" i="30"/>
  <c r="N7" i="30"/>
  <c r="O7" i="30"/>
  <c r="P7" i="30"/>
  <c r="S7" i="30"/>
  <c r="T7" i="30"/>
  <c r="A8" i="30"/>
  <c r="B8" i="30"/>
  <c r="C8" i="30"/>
  <c r="D8" i="30"/>
  <c r="F8" i="30"/>
  <c r="G8" i="30"/>
  <c r="H8" i="30"/>
  <c r="J8" i="30"/>
  <c r="K8" i="30"/>
  <c r="L8" i="30"/>
  <c r="N8" i="30"/>
  <c r="O8" i="30"/>
  <c r="P8" i="30"/>
  <c r="S8" i="30"/>
  <c r="T8" i="30"/>
  <c r="A9" i="30"/>
  <c r="B9" i="30"/>
  <c r="C9" i="30"/>
  <c r="D9" i="30"/>
  <c r="F9" i="30"/>
  <c r="G9" i="30"/>
  <c r="H9" i="30"/>
  <c r="J9" i="30"/>
  <c r="K9" i="30"/>
  <c r="L9" i="30"/>
  <c r="N9" i="30"/>
  <c r="O9" i="30"/>
  <c r="P9" i="30"/>
  <c r="S9" i="30"/>
  <c r="T9" i="30"/>
  <c r="A10" i="30"/>
  <c r="B10" i="30"/>
  <c r="C10" i="30"/>
  <c r="D10" i="30"/>
  <c r="F10" i="30"/>
  <c r="G10" i="30"/>
  <c r="H10" i="30"/>
  <c r="J10" i="30"/>
  <c r="K10" i="30"/>
  <c r="L10" i="30"/>
  <c r="N10" i="30"/>
  <c r="O10" i="30"/>
  <c r="P10" i="30"/>
  <c r="S10" i="30"/>
  <c r="T10" i="30"/>
  <c r="A11" i="30"/>
  <c r="B11" i="30"/>
  <c r="C11" i="30"/>
  <c r="D11" i="30"/>
  <c r="F11" i="30"/>
  <c r="G11" i="30"/>
  <c r="H11" i="30"/>
  <c r="J11" i="30"/>
  <c r="K11" i="30"/>
  <c r="L11" i="30"/>
  <c r="N11" i="30"/>
  <c r="O11" i="30"/>
  <c r="P11" i="30"/>
  <c r="S11" i="30"/>
  <c r="T11" i="30"/>
  <c r="A12" i="30"/>
  <c r="B12" i="30"/>
  <c r="C12" i="30"/>
  <c r="D12" i="30"/>
  <c r="F12" i="30"/>
  <c r="G12" i="30"/>
  <c r="H12" i="30"/>
  <c r="J12" i="30"/>
  <c r="K12" i="30"/>
  <c r="L12" i="30"/>
  <c r="O12" i="30"/>
  <c r="P12" i="30"/>
  <c r="S12" i="30"/>
  <c r="T12" i="30"/>
  <c r="A13" i="30"/>
  <c r="B13" i="30"/>
  <c r="C13" i="30"/>
  <c r="D13" i="30"/>
  <c r="F13" i="30"/>
  <c r="G13" i="30"/>
  <c r="H13" i="30"/>
  <c r="J13" i="30"/>
  <c r="K13" i="30"/>
  <c r="L13" i="30"/>
  <c r="O13" i="30"/>
  <c r="P13" i="30"/>
  <c r="S13" i="30"/>
  <c r="T13" i="30"/>
  <c r="A14" i="30"/>
  <c r="B14" i="30"/>
  <c r="C14" i="30"/>
  <c r="D14" i="30"/>
  <c r="F14" i="30"/>
  <c r="G14" i="30"/>
  <c r="H14" i="30"/>
  <c r="J14" i="30"/>
  <c r="K14" i="30"/>
  <c r="L14" i="30"/>
  <c r="N14" i="30"/>
  <c r="O14" i="30"/>
  <c r="P14" i="30"/>
  <c r="S14" i="30"/>
  <c r="T14" i="30"/>
  <c r="A15" i="30"/>
  <c r="B15" i="30"/>
  <c r="C15" i="30"/>
  <c r="D15" i="30"/>
  <c r="F15" i="30"/>
  <c r="G15" i="30"/>
  <c r="H15" i="30"/>
  <c r="J15" i="30"/>
  <c r="K15" i="30"/>
  <c r="L15" i="30"/>
  <c r="N15" i="30"/>
  <c r="O15" i="30"/>
  <c r="P15" i="30"/>
  <c r="S15" i="30"/>
  <c r="T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S16" i="30"/>
  <c r="T16" i="30"/>
  <c r="A17" i="30"/>
  <c r="B17" i="30"/>
  <c r="C17" i="30"/>
  <c r="D17" i="30"/>
  <c r="F17" i="30"/>
  <c r="G17" i="30"/>
  <c r="H17" i="30"/>
  <c r="J17" i="30"/>
  <c r="K17" i="30"/>
  <c r="L17" i="30"/>
  <c r="N17" i="30"/>
  <c r="O17" i="30"/>
  <c r="P17" i="30"/>
  <c r="S17" i="30"/>
  <c r="T17" i="30"/>
  <c r="A18" i="30"/>
  <c r="B18" i="30"/>
  <c r="C18" i="30"/>
  <c r="D18" i="30"/>
  <c r="F18" i="30"/>
  <c r="G18" i="30"/>
  <c r="H18" i="30"/>
  <c r="J18" i="30"/>
  <c r="K18" i="30"/>
  <c r="L18" i="30"/>
  <c r="N18" i="30"/>
  <c r="O18" i="30"/>
  <c r="P18" i="30"/>
  <c r="S18" i="30"/>
  <c r="T18" i="30"/>
  <c r="A19" i="30"/>
  <c r="B19" i="30"/>
  <c r="C19" i="30"/>
  <c r="D19" i="30"/>
  <c r="F19" i="30"/>
  <c r="G19" i="30"/>
  <c r="H19" i="30"/>
  <c r="J19" i="30"/>
  <c r="K19" i="30"/>
  <c r="L19" i="30"/>
  <c r="N19" i="30"/>
  <c r="O19" i="30"/>
  <c r="P19" i="30"/>
  <c r="S19" i="30"/>
  <c r="T19" i="30"/>
  <c r="A20" i="30"/>
  <c r="B20" i="30"/>
  <c r="C20" i="30"/>
  <c r="D20" i="30"/>
  <c r="F20" i="30"/>
  <c r="G20" i="30"/>
  <c r="H20" i="30"/>
  <c r="J20" i="30"/>
  <c r="K20" i="30"/>
  <c r="L20" i="30"/>
  <c r="N20" i="30"/>
  <c r="O20" i="30"/>
  <c r="P20" i="30"/>
  <c r="S20" i="30"/>
  <c r="T20" i="30"/>
  <c r="A21" i="30"/>
  <c r="B21" i="30"/>
  <c r="C21" i="30"/>
  <c r="D21" i="30"/>
  <c r="F21" i="30"/>
  <c r="G21" i="30"/>
  <c r="H21" i="30"/>
  <c r="J21" i="30"/>
  <c r="K21" i="30"/>
  <c r="L21" i="30"/>
  <c r="N21" i="30"/>
  <c r="O21" i="30"/>
  <c r="P21" i="30"/>
  <c r="S21" i="30"/>
  <c r="T21" i="30"/>
  <c r="A22" i="30"/>
  <c r="B22" i="30"/>
  <c r="C22" i="30"/>
  <c r="D22" i="30"/>
  <c r="F22" i="30"/>
  <c r="G22" i="30"/>
  <c r="H22" i="30"/>
  <c r="J22" i="30"/>
  <c r="K22" i="30"/>
  <c r="L22" i="30"/>
  <c r="N22" i="30"/>
  <c r="O22" i="30"/>
  <c r="P22" i="30"/>
  <c r="S22" i="30"/>
  <c r="T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S23" i="30"/>
  <c r="T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S24" i="30"/>
  <c r="T24" i="30"/>
  <c r="A25" i="30"/>
  <c r="B25" i="30"/>
  <c r="C25" i="30"/>
  <c r="D25" i="30"/>
  <c r="F25" i="30"/>
  <c r="G25" i="30"/>
  <c r="H25" i="30"/>
  <c r="J25" i="30"/>
  <c r="K25" i="30"/>
  <c r="L25" i="30"/>
  <c r="N25" i="30"/>
  <c r="O25" i="30"/>
  <c r="P25" i="30"/>
  <c r="S25" i="30"/>
  <c r="T25" i="30"/>
  <c r="A26" i="30"/>
  <c r="B26" i="30"/>
  <c r="C26" i="30"/>
  <c r="D26" i="30"/>
  <c r="F26" i="30"/>
  <c r="G26" i="30"/>
  <c r="H26" i="30"/>
  <c r="J26" i="30"/>
  <c r="K26" i="30"/>
  <c r="L26" i="30"/>
  <c r="N26" i="30"/>
  <c r="O26" i="30"/>
  <c r="P26" i="30"/>
  <c r="S26" i="30"/>
  <c r="T26" i="30"/>
  <c r="A27" i="30"/>
  <c r="B27" i="30"/>
  <c r="C27" i="30"/>
  <c r="D27" i="30"/>
  <c r="F27" i="30"/>
  <c r="G27" i="30"/>
  <c r="H27" i="30"/>
  <c r="J27" i="30"/>
  <c r="K27" i="30"/>
  <c r="L27" i="30"/>
  <c r="N27" i="30"/>
  <c r="O27" i="30"/>
  <c r="P27" i="30"/>
  <c r="S27" i="30"/>
  <c r="T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S28" i="30"/>
  <c r="T28" i="30"/>
  <c r="A29" i="30"/>
  <c r="B29" i="30"/>
  <c r="C29" i="30"/>
  <c r="D29" i="30"/>
  <c r="F29" i="30"/>
  <c r="G29" i="30"/>
  <c r="H29" i="30"/>
  <c r="J29" i="30"/>
  <c r="K29" i="30"/>
  <c r="L29" i="30"/>
  <c r="N29" i="30"/>
  <c r="O29" i="30"/>
  <c r="P29" i="30"/>
  <c r="S29" i="30"/>
  <c r="T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S30" i="30"/>
  <c r="T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S31" i="30"/>
  <c r="T31" i="30"/>
  <c r="A32" i="30"/>
  <c r="B32" i="30"/>
  <c r="C32" i="30"/>
  <c r="D32" i="30"/>
  <c r="F32" i="30"/>
  <c r="G32" i="30"/>
  <c r="H32" i="30"/>
  <c r="J32" i="30"/>
  <c r="K32" i="30"/>
  <c r="L32" i="30"/>
  <c r="N32" i="30"/>
  <c r="O32" i="30"/>
  <c r="P32" i="30"/>
  <c r="S32" i="30"/>
  <c r="T32" i="30"/>
  <c r="A33" i="30"/>
  <c r="B33" i="30"/>
  <c r="C33" i="30"/>
  <c r="D33" i="30"/>
  <c r="F33" i="30"/>
  <c r="G33" i="30"/>
  <c r="H33" i="30"/>
  <c r="J33" i="30"/>
  <c r="K33" i="30"/>
  <c r="L33" i="30"/>
  <c r="N33" i="30"/>
  <c r="O33" i="30"/>
  <c r="P33" i="30"/>
  <c r="S33" i="30"/>
  <c r="T33" i="30"/>
  <c r="B34" i="30"/>
  <c r="C34" i="30"/>
  <c r="D34" i="30"/>
  <c r="F34" i="30"/>
  <c r="G34" i="30"/>
  <c r="H34" i="30"/>
  <c r="J34" i="30"/>
  <c r="K34" i="30"/>
  <c r="L34" i="30"/>
  <c r="N34" i="30"/>
  <c r="O34" i="30"/>
  <c r="P34" i="30"/>
  <c r="S34" i="30"/>
  <c r="T34" i="30"/>
  <c r="B35" i="30"/>
  <c r="C35" i="30"/>
  <c r="D35" i="30"/>
  <c r="F35" i="30"/>
  <c r="G35" i="30"/>
  <c r="H35" i="30"/>
  <c r="J35" i="30"/>
  <c r="K35" i="30"/>
  <c r="L35" i="30"/>
  <c r="N35" i="30"/>
  <c r="O35" i="30"/>
  <c r="P35" i="30"/>
  <c r="S35" i="30"/>
  <c r="T35" i="30"/>
  <c r="B36" i="30"/>
  <c r="C36" i="30"/>
  <c r="D36" i="30"/>
  <c r="F36" i="30"/>
  <c r="G36" i="30"/>
  <c r="H36" i="30"/>
  <c r="J36" i="30"/>
  <c r="K36" i="30"/>
  <c r="L36" i="30"/>
  <c r="N36" i="30"/>
  <c r="O36" i="30"/>
  <c r="P36" i="30"/>
  <c r="S36" i="30"/>
  <c r="T36" i="30"/>
  <c r="R5" i="22"/>
  <c r="F6" i="22"/>
  <c r="I6" i="22"/>
  <c r="K6" i="22"/>
  <c r="N6" i="22"/>
  <c r="O6" i="22"/>
  <c r="P6" i="22"/>
  <c r="R6" i="22"/>
  <c r="T6" i="22"/>
  <c r="V6" i="22"/>
  <c r="Y6" i="22"/>
  <c r="AE6" i="22"/>
  <c r="AF6" i="22"/>
  <c r="AH6" i="22"/>
  <c r="AI6" i="22"/>
  <c r="A7" i="22"/>
  <c r="C7" i="22"/>
  <c r="F7" i="22"/>
  <c r="H7" i="22"/>
  <c r="I7" i="22"/>
  <c r="K7" i="22"/>
  <c r="M7" i="22"/>
  <c r="N7" i="22"/>
  <c r="O7" i="22"/>
  <c r="P7" i="22"/>
  <c r="R7" i="22"/>
  <c r="T7" i="22"/>
  <c r="V7" i="22"/>
  <c r="Y7" i="22"/>
  <c r="AE7" i="22"/>
  <c r="AF7" i="22"/>
  <c r="AH7" i="22"/>
  <c r="AI7" i="22"/>
  <c r="A8" i="22"/>
  <c r="C8" i="22"/>
  <c r="F8" i="22"/>
  <c r="H8" i="22"/>
  <c r="I8" i="22"/>
  <c r="K8" i="22"/>
  <c r="M8" i="22"/>
  <c r="N8" i="22"/>
  <c r="O8" i="22"/>
  <c r="P8" i="22"/>
  <c r="R8" i="22"/>
  <c r="T8" i="22"/>
  <c r="V8" i="22"/>
  <c r="Y8" i="22"/>
  <c r="AE8" i="22"/>
  <c r="AF8" i="22"/>
  <c r="AH8" i="22"/>
  <c r="AI8" i="22"/>
  <c r="A9" i="22"/>
  <c r="C9" i="22"/>
  <c r="F9" i="22"/>
  <c r="H9" i="22"/>
  <c r="I9" i="22"/>
  <c r="K9" i="22"/>
  <c r="M9" i="22"/>
  <c r="N9" i="22"/>
  <c r="O9" i="22"/>
  <c r="P9" i="22"/>
  <c r="R9" i="22"/>
  <c r="T9" i="22"/>
  <c r="V9" i="22"/>
  <c r="Y9" i="22"/>
  <c r="AE9" i="22"/>
  <c r="AF9" i="22"/>
  <c r="AH9" i="22"/>
  <c r="AI9" i="22"/>
  <c r="A10" i="22"/>
  <c r="C10" i="22"/>
  <c r="F10" i="22"/>
  <c r="H10" i="22"/>
  <c r="I10" i="22"/>
  <c r="K10" i="22"/>
  <c r="M10" i="22"/>
  <c r="N10" i="22"/>
  <c r="O10" i="22"/>
  <c r="P10" i="22"/>
  <c r="R10" i="22"/>
  <c r="T10" i="22"/>
  <c r="V10" i="22"/>
  <c r="Y10" i="22"/>
  <c r="AE10" i="22"/>
  <c r="AF10" i="22"/>
  <c r="AH10" i="22"/>
  <c r="AI10" i="22"/>
  <c r="A11" i="22"/>
  <c r="C11" i="22"/>
  <c r="F11" i="22"/>
  <c r="H11" i="22"/>
  <c r="I11" i="22"/>
  <c r="K11" i="22"/>
  <c r="M11" i="22"/>
  <c r="N11" i="22"/>
  <c r="O11" i="22"/>
  <c r="P11" i="22"/>
  <c r="R11" i="22"/>
  <c r="T11" i="22"/>
  <c r="V11" i="22"/>
  <c r="Y11" i="22"/>
  <c r="AE11" i="22"/>
  <c r="AF11" i="22"/>
  <c r="AH11" i="22"/>
  <c r="AI11" i="22"/>
  <c r="A12" i="22"/>
  <c r="B12" i="22"/>
  <c r="E12" i="22"/>
  <c r="F12" i="22"/>
  <c r="H12" i="22"/>
  <c r="I12" i="22"/>
  <c r="K12" i="22"/>
  <c r="M12" i="22"/>
  <c r="N12" i="22"/>
  <c r="O12" i="22"/>
  <c r="P12" i="22"/>
  <c r="R12" i="22"/>
  <c r="T12" i="22"/>
  <c r="V12" i="22"/>
  <c r="Y12" i="22"/>
  <c r="AE12" i="22"/>
  <c r="AF12" i="22"/>
  <c r="AH12" i="22"/>
  <c r="AI12" i="22"/>
  <c r="A13" i="22"/>
  <c r="B13" i="22"/>
  <c r="C13" i="22"/>
  <c r="E13" i="22"/>
  <c r="F13" i="22"/>
  <c r="H13" i="22"/>
  <c r="I13" i="22"/>
  <c r="K13" i="22"/>
  <c r="M13" i="22"/>
  <c r="N13" i="22"/>
  <c r="O13" i="22"/>
  <c r="P13" i="22"/>
  <c r="R13" i="22"/>
  <c r="T13" i="22"/>
  <c r="V13" i="22"/>
  <c r="Y13" i="22"/>
  <c r="AE13" i="22"/>
  <c r="AF13" i="22"/>
  <c r="AH13" i="22"/>
  <c r="AI13" i="22"/>
  <c r="A14" i="22"/>
  <c r="B14" i="22"/>
  <c r="C14" i="22"/>
  <c r="E14" i="22"/>
  <c r="F14" i="22"/>
  <c r="H14" i="22"/>
  <c r="I14" i="22"/>
  <c r="K14" i="22"/>
  <c r="M14" i="22"/>
  <c r="N14" i="22"/>
  <c r="O14" i="22"/>
  <c r="P14" i="22"/>
  <c r="R14" i="22"/>
  <c r="T14" i="22"/>
  <c r="V14" i="22"/>
  <c r="Y14" i="22"/>
  <c r="AE14" i="22"/>
  <c r="AF14" i="22"/>
  <c r="AH14" i="22"/>
  <c r="AI14" i="22"/>
  <c r="A15" i="22"/>
  <c r="B15" i="22"/>
  <c r="C15" i="22"/>
  <c r="E15" i="22"/>
  <c r="F15" i="22"/>
  <c r="H15" i="22"/>
  <c r="I15" i="22"/>
  <c r="K15" i="22"/>
  <c r="M15" i="22"/>
  <c r="N15" i="22"/>
  <c r="O15" i="22"/>
  <c r="P15" i="22"/>
  <c r="R15" i="22"/>
  <c r="T15" i="22"/>
  <c r="V15" i="22"/>
  <c r="Y15" i="22"/>
  <c r="AE15" i="22"/>
  <c r="AF15" i="22"/>
  <c r="AH15" i="22"/>
  <c r="AI15" i="22"/>
  <c r="A16" i="22"/>
  <c r="B16" i="22"/>
  <c r="C16" i="22"/>
  <c r="E16" i="22"/>
  <c r="F16" i="22"/>
  <c r="H16" i="22"/>
  <c r="I16" i="22"/>
  <c r="K16" i="22"/>
  <c r="M16" i="22"/>
  <c r="N16" i="22"/>
  <c r="O16" i="22"/>
  <c r="P16" i="22"/>
  <c r="R16" i="22"/>
  <c r="T16" i="22"/>
  <c r="V16" i="22"/>
  <c r="Y16" i="22"/>
  <c r="AE16" i="22"/>
  <c r="AF16" i="22"/>
  <c r="AH16" i="22"/>
  <c r="AI16" i="22"/>
  <c r="A17" i="22"/>
  <c r="B17" i="22"/>
  <c r="C17" i="22"/>
  <c r="E17" i="22"/>
  <c r="F17" i="22"/>
  <c r="H17" i="22"/>
  <c r="I17" i="22"/>
  <c r="K17" i="22"/>
  <c r="M17" i="22"/>
  <c r="N17" i="22"/>
  <c r="O17" i="22"/>
  <c r="P17" i="22"/>
  <c r="R17" i="22"/>
  <c r="T17" i="22"/>
  <c r="V17" i="22"/>
  <c r="Y17" i="22"/>
  <c r="AE17" i="22"/>
  <c r="AF17" i="22"/>
  <c r="A18" i="22"/>
  <c r="B18" i="22"/>
  <c r="C18" i="22"/>
  <c r="E18" i="22"/>
  <c r="F18" i="22"/>
  <c r="H18" i="22"/>
  <c r="I18" i="22"/>
  <c r="K18" i="22"/>
  <c r="M18" i="22"/>
  <c r="N18" i="22"/>
  <c r="O18" i="22"/>
  <c r="P18" i="22"/>
  <c r="R18" i="22"/>
  <c r="T18" i="22"/>
  <c r="V18" i="22"/>
  <c r="Y18" i="22"/>
  <c r="AE18" i="22"/>
  <c r="AF18" i="22"/>
  <c r="AI18" i="22"/>
  <c r="A19" i="22"/>
  <c r="B19" i="22"/>
  <c r="C19" i="22"/>
  <c r="E19" i="22"/>
  <c r="F19" i="22"/>
  <c r="H19" i="22"/>
  <c r="I19" i="22"/>
  <c r="K19" i="22"/>
  <c r="M19" i="22"/>
  <c r="N19" i="22"/>
  <c r="O19" i="22"/>
  <c r="P19" i="22"/>
  <c r="R19" i="22"/>
  <c r="T19" i="22"/>
  <c r="V19" i="22"/>
  <c r="Y19" i="22"/>
  <c r="AE19" i="22"/>
  <c r="AF19" i="22"/>
  <c r="A20" i="22"/>
  <c r="B20" i="22"/>
  <c r="C20" i="22"/>
  <c r="E20" i="22"/>
  <c r="F20" i="22"/>
  <c r="H20" i="22"/>
  <c r="I20" i="22"/>
  <c r="K20" i="22"/>
  <c r="M20" i="22"/>
  <c r="N20" i="22"/>
  <c r="O20" i="22"/>
  <c r="P20" i="22"/>
  <c r="R20" i="22"/>
  <c r="T20" i="22"/>
  <c r="V20" i="22"/>
  <c r="Y20" i="22"/>
  <c r="AE20" i="22"/>
  <c r="AF20" i="22"/>
  <c r="A21" i="22"/>
  <c r="B21" i="22"/>
  <c r="C21" i="22"/>
  <c r="E21" i="22"/>
  <c r="F21" i="22"/>
  <c r="H21" i="22"/>
  <c r="I21" i="22"/>
  <c r="K21" i="22"/>
  <c r="M21" i="22"/>
  <c r="N21" i="22"/>
  <c r="O21" i="22"/>
  <c r="P21" i="22"/>
  <c r="R21" i="22"/>
  <c r="T21" i="22"/>
  <c r="V21" i="22"/>
  <c r="Y21" i="22"/>
  <c r="AE21" i="22"/>
  <c r="AF21" i="22"/>
  <c r="A22" i="22"/>
  <c r="B22" i="22"/>
  <c r="C22" i="22"/>
  <c r="E22" i="22"/>
  <c r="F22" i="22"/>
  <c r="H22" i="22"/>
  <c r="I22" i="22"/>
  <c r="K22" i="22"/>
  <c r="M22" i="22"/>
  <c r="N22" i="22"/>
  <c r="O22" i="22"/>
  <c r="P22" i="22"/>
  <c r="R22" i="22"/>
  <c r="T22" i="22"/>
  <c r="V22" i="22"/>
  <c r="Y22" i="22"/>
  <c r="AE22" i="22"/>
  <c r="AF22" i="22"/>
  <c r="A23" i="22"/>
  <c r="B23" i="22"/>
  <c r="C23" i="22"/>
  <c r="E23" i="22"/>
  <c r="F23" i="22"/>
  <c r="H23" i="22"/>
  <c r="I23" i="22"/>
  <c r="K23" i="22"/>
  <c r="M23" i="22"/>
  <c r="N23" i="22"/>
  <c r="O23" i="22"/>
  <c r="P23" i="22"/>
  <c r="R23" i="22"/>
  <c r="T23" i="22"/>
  <c r="V23" i="22"/>
  <c r="Y23" i="22"/>
  <c r="AE23" i="22"/>
  <c r="AF23" i="22"/>
  <c r="A24" i="22"/>
  <c r="B24" i="22"/>
  <c r="C24" i="22"/>
  <c r="E24" i="22"/>
  <c r="F24" i="22"/>
  <c r="H24" i="22"/>
  <c r="I24" i="22"/>
  <c r="K24" i="22"/>
  <c r="M24" i="22"/>
  <c r="N24" i="22"/>
  <c r="O24" i="22"/>
  <c r="P24" i="22"/>
  <c r="R24" i="22"/>
  <c r="T24" i="22"/>
  <c r="V24" i="22"/>
  <c r="Y24" i="22"/>
  <c r="AE24" i="22"/>
  <c r="AF24" i="22"/>
  <c r="A25" i="22"/>
  <c r="B25" i="22"/>
  <c r="C25" i="22"/>
  <c r="E25" i="22"/>
  <c r="F25" i="22"/>
  <c r="H25" i="22"/>
  <c r="I25" i="22"/>
  <c r="K25" i="22"/>
  <c r="M25" i="22"/>
  <c r="N25" i="22"/>
  <c r="O25" i="22"/>
  <c r="P25" i="22"/>
  <c r="R25" i="22"/>
  <c r="T25" i="22"/>
  <c r="V25" i="22"/>
  <c r="Y25" i="22"/>
  <c r="AE25" i="22"/>
  <c r="AF25" i="22"/>
  <c r="A26" i="22"/>
  <c r="B26" i="22"/>
  <c r="C26" i="22"/>
  <c r="E26" i="22"/>
  <c r="F26" i="22"/>
  <c r="H26" i="22"/>
  <c r="I26" i="22"/>
  <c r="K26" i="22"/>
  <c r="M26" i="22"/>
  <c r="N26" i="22"/>
  <c r="O26" i="22"/>
  <c r="P26" i="22"/>
  <c r="R26" i="22"/>
  <c r="T26" i="22"/>
  <c r="V26" i="22"/>
  <c r="Y26" i="22"/>
  <c r="AE26" i="22"/>
  <c r="AF26" i="22"/>
  <c r="A27" i="22"/>
  <c r="B27" i="22"/>
  <c r="C27" i="22"/>
  <c r="E27" i="22"/>
  <c r="F27" i="22"/>
  <c r="H27" i="22"/>
  <c r="I27" i="22"/>
  <c r="K27" i="22"/>
  <c r="M27" i="22"/>
  <c r="N27" i="22"/>
  <c r="O27" i="22"/>
  <c r="P27" i="22"/>
  <c r="R27" i="22"/>
  <c r="T27" i="22"/>
  <c r="V27" i="22"/>
  <c r="Y27" i="22"/>
  <c r="AE27" i="22"/>
  <c r="AF27" i="22"/>
  <c r="A28" i="22"/>
  <c r="B28" i="22"/>
  <c r="C28" i="22"/>
  <c r="E28" i="22"/>
  <c r="F28" i="22"/>
  <c r="H28" i="22"/>
  <c r="I28" i="22"/>
  <c r="K28" i="22"/>
  <c r="M28" i="22"/>
  <c r="N28" i="22"/>
  <c r="O28" i="22"/>
  <c r="P28" i="22"/>
  <c r="R28" i="22"/>
  <c r="T28" i="22"/>
  <c r="V28" i="22"/>
  <c r="Y28" i="22"/>
  <c r="AE28" i="22"/>
  <c r="AF28" i="22"/>
  <c r="A29" i="22"/>
  <c r="B29" i="22"/>
  <c r="C29" i="22"/>
  <c r="E29" i="22"/>
  <c r="F29" i="22"/>
  <c r="H29" i="22"/>
  <c r="I29" i="22"/>
  <c r="K29" i="22"/>
  <c r="M29" i="22"/>
  <c r="N29" i="22"/>
  <c r="O29" i="22"/>
  <c r="P29" i="22"/>
  <c r="R29" i="22"/>
  <c r="T29" i="22"/>
  <c r="V29" i="22"/>
  <c r="Y29" i="22"/>
  <c r="AE29" i="22"/>
  <c r="AF29" i="22"/>
  <c r="A30" i="22"/>
  <c r="B30" i="22"/>
  <c r="C30" i="22"/>
  <c r="E30" i="22"/>
  <c r="F30" i="22"/>
  <c r="H30" i="22"/>
  <c r="I30" i="22"/>
  <c r="K30" i="22"/>
  <c r="M30" i="22"/>
  <c r="N30" i="22"/>
  <c r="O30" i="22"/>
  <c r="P30" i="22"/>
  <c r="R30" i="22"/>
  <c r="T30" i="22"/>
  <c r="V30" i="22"/>
  <c r="Y30" i="22"/>
  <c r="AE30" i="22"/>
  <c r="AF30" i="22"/>
  <c r="A31" i="22"/>
  <c r="B31" i="22"/>
  <c r="C31" i="22"/>
  <c r="E31" i="22"/>
  <c r="F31" i="22"/>
  <c r="H31" i="22"/>
  <c r="I31" i="22"/>
  <c r="K31" i="22"/>
  <c r="M31" i="22"/>
  <c r="N31" i="22"/>
  <c r="O31" i="22"/>
  <c r="P31" i="22"/>
  <c r="R31" i="22"/>
  <c r="T31" i="22"/>
  <c r="V31" i="22"/>
  <c r="Y31" i="22"/>
  <c r="A32" i="22"/>
  <c r="B32" i="22"/>
  <c r="C32" i="22"/>
  <c r="E32" i="22"/>
  <c r="F32" i="22"/>
  <c r="H32" i="22"/>
  <c r="I32" i="22"/>
  <c r="K32" i="22"/>
  <c r="M32" i="22"/>
  <c r="N32" i="22"/>
  <c r="O32" i="22"/>
  <c r="P32" i="22"/>
  <c r="R32" i="22"/>
  <c r="T32" i="22"/>
  <c r="V32" i="22"/>
  <c r="Y32" i="22"/>
  <c r="A33" i="22"/>
  <c r="B33" i="22"/>
  <c r="C33" i="22"/>
  <c r="E33" i="22"/>
  <c r="F33" i="22"/>
  <c r="H33" i="22"/>
  <c r="I33" i="22"/>
  <c r="K33" i="22"/>
  <c r="M33" i="22"/>
  <c r="N33" i="22"/>
  <c r="O33" i="22"/>
  <c r="P33" i="22"/>
  <c r="R33" i="22"/>
  <c r="T33" i="22"/>
  <c r="V33" i="22"/>
  <c r="Y33" i="22"/>
  <c r="A34" i="22"/>
  <c r="B34" i="22"/>
  <c r="C34" i="22"/>
  <c r="E34" i="22"/>
  <c r="F34" i="22"/>
  <c r="H34" i="22"/>
  <c r="I34" i="22"/>
  <c r="K34" i="22"/>
  <c r="M34" i="22"/>
  <c r="N34" i="22"/>
  <c r="O34" i="22"/>
  <c r="P34" i="22"/>
  <c r="R34" i="22"/>
  <c r="T34" i="22"/>
  <c r="V34" i="22"/>
  <c r="Y34" i="22"/>
  <c r="A35" i="22"/>
  <c r="B35" i="22"/>
  <c r="C35" i="22"/>
  <c r="E35" i="22"/>
  <c r="F35" i="22"/>
  <c r="H35" i="22"/>
  <c r="I35" i="22"/>
  <c r="K35" i="22"/>
  <c r="M35" i="22"/>
  <c r="N35" i="22"/>
  <c r="O35" i="22"/>
  <c r="P35" i="22"/>
  <c r="R35" i="22"/>
  <c r="T35" i="22"/>
  <c r="V35" i="22"/>
  <c r="Y35" i="22"/>
  <c r="A36" i="22"/>
  <c r="B36" i="22"/>
  <c r="C36" i="22"/>
  <c r="E36" i="22"/>
  <c r="F36" i="22"/>
  <c r="H36" i="22"/>
  <c r="I36" i="22"/>
  <c r="K36" i="22"/>
  <c r="M36" i="22"/>
  <c r="N36" i="22"/>
  <c r="O36" i="22"/>
  <c r="P36" i="22"/>
  <c r="R36" i="22"/>
  <c r="T36" i="22"/>
  <c r="V36" i="22"/>
  <c r="Y36" i="22"/>
  <c r="B38" i="22"/>
  <c r="C38" i="22"/>
  <c r="E38" i="22"/>
  <c r="F38" i="22"/>
  <c r="K38" i="22"/>
  <c r="M38" i="22"/>
  <c r="N38" i="22"/>
  <c r="O38" i="22"/>
  <c r="P38" i="22"/>
  <c r="R38" i="22"/>
  <c r="T38" i="22"/>
  <c r="V38" i="22"/>
  <c r="E41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W32" i="19"/>
  <c r="P33" i="19"/>
  <c r="T33" i="19"/>
  <c r="J34" i="19"/>
  <c r="P34" i="19"/>
  <c r="T34" i="19"/>
  <c r="W34" i="19"/>
  <c r="P35" i="19"/>
  <c r="T35" i="19"/>
  <c r="J36" i="19"/>
  <c r="P36" i="19"/>
  <c r="T36" i="19"/>
  <c r="W36" i="19"/>
  <c r="P37" i="19"/>
  <c r="T37" i="19"/>
  <c r="J38" i="19"/>
  <c r="P38" i="19"/>
  <c r="T38" i="19"/>
  <c r="W38" i="19"/>
  <c r="T39" i="19"/>
  <c r="J40" i="19"/>
  <c r="T40" i="19"/>
  <c r="P41" i="19"/>
  <c r="T41" i="19"/>
  <c r="J42" i="19"/>
  <c r="P42" i="19"/>
  <c r="T42" i="19"/>
  <c r="W42" i="19"/>
  <c r="P43" i="19"/>
  <c r="T43" i="19"/>
  <c r="J44" i="19"/>
  <c r="P44" i="19"/>
  <c r="T44" i="19"/>
  <c r="J45" i="19"/>
  <c r="P45" i="19"/>
  <c r="T45" i="19"/>
  <c r="W45" i="19"/>
  <c r="J46" i="19"/>
  <c r="T46" i="19"/>
  <c r="J47" i="19"/>
  <c r="T47" i="19"/>
  <c r="J48" i="19"/>
  <c r="T48" i="19"/>
  <c r="J49" i="19"/>
  <c r="T49" i="19"/>
  <c r="J50" i="19"/>
  <c r="T50" i="19"/>
  <c r="J51" i="19"/>
  <c r="T51" i="19"/>
  <c r="J52" i="19"/>
  <c r="T52" i="19"/>
  <c r="J53" i="19"/>
  <c r="T53" i="19"/>
  <c r="J54" i="19"/>
  <c r="T54" i="19"/>
  <c r="J55" i="19"/>
  <c r="T55" i="19"/>
  <c r="J56" i="19"/>
  <c r="T56" i="19"/>
  <c r="J57" i="19"/>
  <c r="T57" i="19"/>
  <c r="J58" i="19"/>
  <c r="T58" i="19"/>
  <c r="J59" i="19"/>
  <c r="T59" i="19"/>
  <c r="J60" i="19"/>
  <c r="T60" i="19"/>
  <c r="J61" i="19"/>
  <c r="T61" i="19"/>
  <c r="J62" i="19"/>
  <c r="T62" i="19"/>
  <c r="J63" i="19"/>
  <c r="T63" i="19"/>
  <c r="R64" i="19"/>
  <c r="T65" i="19"/>
  <c r="W66" i="19"/>
  <c r="T68" i="19"/>
  <c r="W69" i="19"/>
  <c r="J70" i="19"/>
  <c r="P70" i="19"/>
  <c r="T70" i="19"/>
  <c r="J71" i="19"/>
  <c r="P71" i="19"/>
  <c r="Q71" i="19"/>
  <c r="S71" i="19"/>
  <c r="T71" i="19"/>
  <c r="V71" i="19"/>
  <c r="J72" i="19"/>
  <c r="P72" i="19"/>
  <c r="Q72" i="19"/>
  <c r="R72" i="19"/>
  <c r="S72" i="19"/>
  <c r="T72" i="19"/>
  <c r="V72" i="19"/>
  <c r="J73" i="19"/>
  <c r="P73" i="19"/>
  <c r="T73" i="19"/>
  <c r="F74" i="19"/>
  <c r="J74" i="19"/>
  <c r="P74" i="19"/>
  <c r="Q74" i="19"/>
  <c r="S74" i="19"/>
  <c r="T74" i="19"/>
  <c r="V74" i="19"/>
  <c r="F75" i="19"/>
  <c r="J75" i="19"/>
  <c r="P75" i="19"/>
  <c r="Q75" i="19"/>
  <c r="R75" i="19"/>
  <c r="S75" i="19"/>
  <c r="T75" i="19"/>
  <c r="V75" i="19"/>
  <c r="J76" i="19"/>
  <c r="P76" i="19"/>
  <c r="T76" i="19"/>
  <c r="F77" i="19"/>
  <c r="J77" i="19"/>
  <c r="P77" i="19"/>
  <c r="Q77" i="19"/>
  <c r="S77" i="19"/>
  <c r="T77" i="19"/>
  <c r="V77" i="19"/>
  <c r="E78" i="19"/>
  <c r="F78" i="19"/>
  <c r="J78" i="19"/>
  <c r="P78" i="19"/>
  <c r="Q78" i="19"/>
  <c r="R78" i="19"/>
  <c r="S78" i="19"/>
  <c r="T78" i="19"/>
  <c r="V78" i="19"/>
  <c r="J79" i="19"/>
  <c r="P79" i="19"/>
  <c r="T79" i="19"/>
  <c r="J80" i="19"/>
  <c r="P80" i="19"/>
  <c r="Q80" i="19"/>
  <c r="S80" i="19"/>
  <c r="T80" i="19"/>
  <c r="V80" i="19"/>
  <c r="J81" i="19"/>
  <c r="P81" i="19"/>
  <c r="Q81" i="19"/>
  <c r="R81" i="19"/>
  <c r="S81" i="19"/>
  <c r="T81" i="19"/>
  <c r="V81" i="19"/>
  <c r="J82" i="19"/>
  <c r="P82" i="19"/>
  <c r="T82" i="19"/>
  <c r="J83" i="19"/>
  <c r="P83" i="19"/>
  <c r="Q83" i="19"/>
  <c r="S83" i="19"/>
  <c r="T83" i="19"/>
  <c r="V83" i="19"/>
  <c r="J84" i="19"/>
  <c r="P84" i="19"/>
  <c r="Q84" i="19"/>
  <c r="R84" i="19"/>
  <c r="S84" i="19"/>
  <c r="T84" i="19"/>
  <c r="V84" i="19"/>
  <c r="J85" i="19"/>
  <c r="P85" i="19"/>
  <c r="T85" i="19"/>
  <c r="J86" i="19"/>
  <c r="P86" i="19"/>
  <c r="T86" i="19"/>
  <c r="J87" i="19"/>
  <c r="P87" i="19"/>
  <c r="T87" i="19"/>
  <c r="J88" i="19"/>
  <c r="P88" i="19"/>
  <c r="Q88" i="19"/>
  <c r="S88" i="19"/>
  <c r="T88" i="19"/>
  <c r="V88" i="19"/>
  <c r="J89" i="19"/>
  <c r="P89" i="19"/>
  <c r="Q89" i="19"/>
  <c r="R89" i="19"/>
  <c r="S89" i="19"/>
  <c r="T89" i="19"/>
  <c r="V89" i="19"/>
  <c r="J90" i="19"/>
  <c r="P90" i="19"/>
  <c r="T90" i="19"/>
  <c r="J91" i="19"/>
  <c r="P91" i="19"/>
  <c r="Q91" i="19"/>
  <c r="S91" i="19"/>
  <c r="T91" i="19"/>
  <c r="V91" i="19"/>
  <c r="J92" i="19"/>
  <c r="P92" i="19"/>
  <c r="Q92" i="19"/>
  <c r="R92" i="19"/>
  <c r="S92" i="19"/>
  <c r="T92" i="19"/>
  <c r="V92" i="19"/>
  <c r="J93" i="19"/>
  <c r="P93" i="19"/>
  <c r="T93" i="19"/>
  <c r="J94" i="19"/>
  <c r="P94" i="19"/>
  <c r="T94" i="19"/>
  <c r="F95" i="19"/>
  <c r="J95" i="19"/>
  <c r="P95" i="19"/>
  <c r="Q95" i="19"/>
  <c r="S95" i="19"/>
  <c r="T95" i="19"/>
  <c r="V95" i="19"/>
  <c r="F96" i="19"/>
  <c r="J96" i="19"/>
  <c r="P96" i="19"/>
  <c r="Q96" i="19"/>
  <c r="R96" i="19"/>
  <c r="S96" i="19"/>
  <c r="T96" i="19"/>
  <c r="V96" i="19"/>
  <c r="J97" i="19"/>
  <c r="P97" i="19"/>
  <c r="R97" i="19"/>
  <c r="T97" i="19"/>
  <c r="J98" i="19"/>
  <c r="P98" i="19"/>
  <c r="T98" i="19"/>
  <c r="P99" i="19"/>
  <c r="T99" i="19"/>
  <c r="P100" i="19"/>
  <c r="Q100" i="19"/>
  <c r="S100" i="19"/>
  <c r="T100" i="19"/>
  <c r="V100" i="19"/>
  <c r="P101" i="19"/>
  <c r="T101" i="19"/>
  <c r="P102" i="19"/>
  <c r="Q102" i="19"/>
  <c r="S102" i="19"/>
  <c r="T102" i="19"/>
  <c r="P103" i="19"/>
  <c r="T103" i="19"/>
  <c r="P104" i="19"/>
  <c r="S104" i="19"/>
  <c r="T104" i="19"/>
  <c r="P105" i="19"/>
  <c r="T105" i="19"/>
  <c r="P106" i="19"/>
  <c r="T106" i="19"/>
  <c r="P107" i="19"/>
  <c r="T107" i="19"/>
  <c r="P108" i="19"/>
  <c r="S108" i="19"/>
  <c r="T108" i="19"/>
  <c r="P109" i="19"/>
  <c r="T109" i="19"/>
  <c r="P110" i="19"/>
  <c r="T110" i="19"/>
  <c r="P111" i="19"/>
  <c r="T111" i="19"/>
  <c r="P112" i="19"/>
  <c r="S112" i="19"/>
  <c r="T112" i="19"/>
  <c r="P113" i="19"/>
  <c r="T113" i="19"/>
  <c r="P114" i="19"/>
  <c r="S114" i="19"/>
  <c r="T114" i="19"/>
  <c r="V114" i="19"/>
  <c r="J115" i="19"/>
  <c r="T115" i="19"/>
  <c r="J116" i="19"/>
  <c r="T116" i="19"/>
  <c r="J117" i="19"/>
  <c r="T117" i="19"/>
  <c r="J118" i="19"/>
  <c r="T118" i="19"/>
  <c r="J119" i="19"/>
  <c r="T119" i="19"/>
  <c r="J120" i="19"/>
  <c r="T120" i="19"/>
  <c r="J121" i="19"/>
  <c r="T121" i="19"/>
  <c r="T122" i="19"/>
  <c r="T126" i="19"/>
  <c r="V7" i="28"/>
  <c r="P8" i="28"/>
  <c r="P9" i="28"/>
  <c r="J10" i="28"/>
  <c r="T10" i="28"/>
  <c r="T11" i="28"/>
  <c r="J12" i="28"/>
  <c r="T12" i="28"/>
  <c r="J13" i="28"/>
  <c r="T13" i="28"/>
  <c r="J14" i="28"/>
  <c r="T14" i="28"/>
  <c r="J15" i="28"/>
  <c r="T15" i="28"/>
  <c r="J16" i="28"/>
  <c r="T16" i="28"/>
  <c r="J17" i="28"/>
  <c r="T17" i="28"/>
  <c r="J18" i="28"/>
  <c r="P18" i="28"/>
  <c r="T18" i="28"/>
  <c r="P19" i="28"/>
  <c r="T19" i="28"/>
  <c r="P20" i="28"/>
  <c r="T20" i="28"/>
  <c r="P21" i="28"/>
  <c r="T21" i="28"/>
  <c r="P22" i="28"/>
  <c r="T22" i="28"/>
  <c r="J23" i="28"/>
  <c r="T23" i="28"/>
  <c r="J24" i="28"/>
  <c r="T24" i="28"/>
  <c r="J25" i="28"/>
  <c r="T25" i="28"/>
  <c r="J26" i="28"/>
  <c r="T26" i="28"/>
  <c r="J27" i="28"/>
  <c r="P27" i="28"/>
  <c r="T27" i="28"/>
  <c r="J28" i="28"/>
  <c r="P28" i="28"/>
  <c r="T28" i="28"/>
  <c r="J29" i="28"/>
  <c r="P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T42" i="28"/>
  <c r="J43" i="28"/>
  <c r="T43" i="28"/>
  <c r="J44" i="28"/>
  <c r="T44" i="28"/>
  <c r="J45" i="28"/>
  <c r="T45" i="28"/>
  <c r="J46" i="28"/>
  <c r="T46" i="28"/>
  <c r="J47" i="28"/>
  <c r="P47" i="28"/>
  <c r="T47" i="28"/>
  <c r="J48" i="28"/>
  <c r="P48" i="28"/>
  <c r="T48" i="28"/>
  <c r="J49" i="28"/>
  <c r="T49" i="28"/>
  <c r="J50" i="28"/>
  <c r="T50" i="28"/>
  <c r="J51" i="28"/>
  <c r="T51" i="28"/>
  <c r="J52" i="28"/>
  <c r="P52" i="28"/>
  <c r="T52" i="28"/>
  <c r="J53" i="28"/>
  <c r="P53" i="28"/>
  <c r="T53" i="28"/>
  <c r="J54" i="28"/>
  <c r="P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T62" i="28"/>
  <c r="J63" i="28"/>
  <c r="T63" i="28"/>
  <c r="J64" i="28"/>
  <c r="T64" i="28"/>
  <c r="J65" i="28"/>
  <c r="T65" i="28"/>
  <c r="T67" i="28"/>
  <c r="T70" i="28"/>
  <c r="E9" i="25"/>
  <c r="I10" i="25"/>
  <c r="C11" i="25"/>
  <c r="E11" i="25"/>
  <c r="I11" i="25"/>
  <c r="C12" i="25"/>
  <c r="E13" i="25"/>
  <c r="J18" i="25"/>
  <c r="J19" i="25"/>
  <c r="J20" i="25"/>
  <c r="D22" i="25"/>
  <c r="C23" i="25"/>
  <c r="C24" i="25"/>
  <c r="D24" i="31"/>
  <c r="E24" i="31"/>
  <c r="F24" i="31"/>
  <c r="E29" i="31"/>
  <c r="F30" i="31"/>
  <c r="G31" i="31"/>
  <c r="E32" i="31"/>
  <c r="F32" i="31"/>
  <c r="G32" i="31"/>
  <c r="H32" i="31"/>
  <c r="D33" i="31"/>
  <c r="E33" i="31"/>
  <c r="F33" i="31"/>
  <c r="G33" i="31"/>
  <c r="D34" i="31"/>
  <c r="E34" i="31"/>
  <c r="F34" i="31"/>
  <c r="G34" i="31"/>
  <c r="H34" i="31"/>
  <c r="D36" i="31"/>
  <c r="E36" i="31"/>
  <c r="F36" i="31"/>
  <c r="G36" i="31"/>
  <c r="H36" i="31"/>
  <c r="D45" i="31"/>
  <c r="D47" i="31"/>
  <c r="D6" i="21"/>
  <c r="H6" i="21"/>
  <c r="L6" i="21"/>
  <c r="P6" i="21"/>
  <c r="T6" i="21"/>
  <c r="X6" i="21"/>
  <c r="Z6" i="21"/>
  <c r="A7" i="21"/>
  <c r="B7" i="21"/>
  <c r="C7" i="21"/>
  <c r="D7" i="21"/>
  <c r="F7" i="21"/>
  <c r="G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J10" i="21"/>
  <c r="K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N14" i="21"/>
  <c r="O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N17" i="21"/>
  <c r="O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R25" i="21"/>
  <c r="S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V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  <comment ref="AA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<sst xmlns="http://schemas.openxmlformats.org/spreadsheetml/2006/main" count="1407" uniqueCount="327">
  <si>
    <t>#29635</t>
  </si>
  <si>
    <t>#29637</t>
  </si>
  <si>
    <t>#29638</t>
  </si>
  <si>
    <t>#29636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</si>
  <si>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</si>
  <si>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</si>
  <si>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</si>
  <si>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</si>
  <si>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</si>
  <si>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</si>
  <si>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</si>
  <si>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</si>
  <si>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</si>
  <si>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</si>
  <si>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</si>
  <si>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</si>
  <si>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</si>
  <si>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</si>
  <si>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</si>
  <si>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</si>
  <si>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</si>
  <si>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</si>
  <si>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</si>
  <si>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</si>
  <si>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</si>
  <si>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</si>
  <si>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</si>
  <si>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</si>
  <si>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</si>
  <si>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</si>
  <si>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</si>
  <si>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</si>
  <si>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</si>
  <si>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</si>
  <si>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</si>
  <si>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</si>
  <si>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</si>
  <si>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</si>
  <si>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</si>
  <si>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</si>
  <si>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</si>
  <si>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</si>
  <si>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</si>
  <si>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</si>
  <si>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</si>
  <si>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</si>
  <si>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</si>
  <si>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</si>
  <si>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</si>
  <si>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</si>
  <si>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</si>
  <si>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</si>
  <si>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</si>
  <si>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</si>
  <si>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</si>
  <si>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</si>
  <si>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</si>
  <si>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FT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</si>
  <si>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</si>
  <si>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</si>
  <si>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</si>
  <si>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</si>
  <si>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</si>
  <si>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</si>
  <si>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</si>
  <si>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</si>
  <si>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</si>
  <si>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</si>
  <si>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</si>
  <si>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</si>
  <si>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</si>
  <si>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</si>
  <si>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</si>
  <si>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</si>
  <si>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</si>
  <si>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</si>
  <si>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</si>
  <si>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</si>
  <si>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</si>
  <si>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</si>
  <si>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</si>
  <si>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</si>
  <si>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</si>
  <si>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</si>
  <si>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</si>
  <si>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</si>
  <si>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</si>
  <si>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</si>
  <si>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</si>
  <si>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</si>
  <si>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</si>
  <si>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</si>
  <si>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</si>
  <si>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</si>
  <si>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</si>
  <si>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</si>
  <si>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</si>
  <si>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</si>
  <si>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</si>
  <si>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</si>
  <si>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</si>
  <si>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</si>
  <si>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</si>
  <si>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Price</t>
  </si>
  <si>
    <t>19-32</t>
  </si>
  <si>
    <t>19E</t>
  </si>
  <si>
    <t>25-36</t>
  </si>
  <si>
    <t>25-39</t>
  </si>
  <si>
    <t>SSNG45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</si>
  <si>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</si>
  <si>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</si>
  <si>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</si>
  <si>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</si>
  <si>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</si>
  <si>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</si>
  <si>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</si>
  <si>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</si>
  <si>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</si>
  <si>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Deal 227081, 227113</t>
  </si>
  <si>
    <t>#28962</t>
  </si>
  <si>
    <t>#28933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</si>
  <si>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</si>
  <si>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</si>
  <si>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</si>
  <si>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</si>
  <si>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</si>
  <si>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</si>
  <si>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</si>
  <si>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</si>
  <si>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Z2</t>
  </si>
  <si>
    <t>z3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</si>
  <si>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</si>
  <si>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</si>
  <si>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</si>
  <si>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</si>
  <si>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</si>
  <si>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</si>
  <si>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</si>
  <si>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</si>
  <si>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</si>
  <si>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</si>
  <si>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</si>
  <si>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</si>
  <si>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</si>
  <si>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</si>
  <si>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</si>
  <si>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</si>
  <si>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</si>
  <si>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</si>
  <si>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</si>
  <si>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</si>
  <si>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</si>
  <si>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</si>
  <si>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</si>
  <si>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</si>
  <si>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</si>
  <si>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</si>
  <si>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</si>
  <si>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</si>
  <si>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</si>
  <si>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</si>
  <si>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</si>
  <si>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</si>
  <si>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</si>
  <si>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</si>
  <si>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</si>
  <si>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</si>
  <si>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</si>
  <si>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</si>
  <si>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</si>
  <si>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</si>
  <si>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</si>
  <si>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</si>
  <si>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</si>
  <si>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</si>
  <si>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</si>
  <si>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</si>
  <si>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</si>
  <si>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</si>
  <si>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</si>
  <si>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</si>
  <si>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CES/CMD</t>
  </si>
  <si>
    <t>#30816/30820</t>
  </si>
  <si>
    <t>#30821/30817</t>
  </si>
  <si>
    <t>Amount</t>
  </si>
  <si>
    <t>GD SALES</t>
  </si>
  <si>
    <t>GD Purch</t>
  </si>
  <si>
    <t>EES</t>
  </si>
  <si>
    <t xml:space="preserve">Total </t>
  </si>
  <si>
    <t>Spot Sells</t>
  </si>
  <si>
    <t>3rd Party</t>
  </si>
  <si>
    <t>Receipt</t>
  </si>
  <si>
    <t>Citygate</t>
  </si>
  <si>
    <t>Adjusted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</si>
  <si>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</si>
  <si>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</si>
  <si>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</si>
  <si>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</si>
  <si>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</si>
  <si>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</si>
  <si>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</si>
  <si>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</si>
  <si>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</si>
  <si>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</si>
  <si>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</si>
  <si>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</si>
  <si>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Deal 523459</t>
  </si>
  <si>
    <t>ENA will buy the CGAS Pool gas back at the FOM price for CGAS.</t>
  </si>
  <si>
    <t>Pool</t>
  </si>
  <si>
    <t>Per Jeff's Sheet</t>
  </si>
  <si>
    <t xml:space="preserve">A06 </t>
  </si>
  <si>
    <t>EOG</t>
  </si>
  <si>
    <t>B-9  Broad Run</t>
  </si>
  <si>
    <t>C16 Delmont</t>
  </si>
  <si>
    <t>Deal 551042 (bookout with deal 380571)</t>
  </si>
  <si>
    <t>Created deal 551027 to bookout with deals 376880, 380492, and 551007.</t>
  </si>
  <si>
    <t>Deals 551007</t>
  </si>
  <si>
    <t>CES/CPA</t>
  </si>
  <si>
    <t>#31220/31219</t>
  </si>
  <si>
    <t>Monthly Vol</t>
  </si>
  <si>
    <t>Daily</t>
  </si>
  <si>
    <t>Note:  New Power purchased gas from ENA at CGLF Mainline (deal 380571).  ENA will buy this gas back at the CGLF Onshore Index plus $.10,</t>
  </si>
  <si>
    <t>and sell the gas back to New Power at CGAS pool at CGLFOnshore Index +$.10 + variable cost from Mainline to Leach, deal 551007,</t>
  </si>
  <si>
    <t>Deal 380571</t>
  </si>
  <si>
    <t>Sched Fee Deal 551007</t>
  </si>
  <si>
    <t>Deal 549411</t>
  </si>
  <si>
    <t>Demand Charges deal 380571</t>
  </si>
  <si>
    <t>All volumes for CGAS are DAILY</t>
  </si>
  <si>
    <t>Jan</t>
  </si>
  <si>
    <t>Feb</t>
  </si>
  <si>
    <t>Mar</t>
  </si>
  <si>
    <t>Apr</t>
  </si>
  <si>
    <t>May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</si>
  <si>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</si>
  <si>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</si>
  <si>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</si>
  <si>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</si>
  <si>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</si>
  <si>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</si>
  <si>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</si>
  <si>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</si>
  <si>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</si>
  <si>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</si>
  <si>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</si>
  <si>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</si>
  <si>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</si>
  <si>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</si>
  <si>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</si>
  <si>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</si>
  <si>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</si>
  <si>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Exhibit 1</t>
  </si>
  <si>
    <t>380492 at NX1 + .28</t>
  </si>
  <si>
    <t>168997 at NX1 + .28</t>
  </si>
  <si>
    <t>168997 at NX1 + .455</t>
  </si>
  <si>
    <t>376880 at NX1 + .24</t>
  </si>
  <si>
    <t>Transfer from CGLF</t>
  </si>
  <si>
    <t>Total sales to New Power</t>
  </si>
  <si>
    <t>Setup</t>
  </si>
  <si>
    <t>COH</t>
  </si>
  <si>
    <t>STRG</t>
  </si>
  <si>
    <t>New Power East Desk Transportation Capacity for January 2001</t>
  </si>
  <si>
    <t>Buy/(Sell)</t>
  </si>
  <si>
    <t>COH-Stor</t>
  </si>
  <si>
    <t>200100097</t>
  </si>
  <si>
    <t>2001000094</t>
  </si>
  <si>
    <t>2001000098</t>
  </si>
  <si>
    <t>z2</t>
  </si>
  <si>
    <t>#31330</t>
  </si>
  <si>
    <t>#31331</t>
  </si>
  <si>
    <t>Storage Withdrawal:</t>
  </si>
  <si>
    <t>Withdrawal</t>
  </si>
  <si>
    <t>Less GRI &amp; ACA on SST</t>
  </si>
  <si>
    <t>??</t>
  </si>
  <si>
    <t>2001000472-Reliant</t>
  </si>
  <si>
    <t>2001000473-Reliant</t>
  </si>
  <si>
    <t>2001000471-Reliant</t>
  </si>
  <si>
    <t>2001000470-Reliant</t>
  </si>
  <si>
    <t>2001000386</t>
  </si>
  <si>
    <t>2001000421</t>
  </si>
  <si>
    <t>2001000467</t>
  </si>
  <si>
    <t>Reliant</t>
  </si>
  <si>
    <t>2001000463</t>
  </si>
  <si>
    <t>2001000462</t>
  </si>
  <si>
    <t>2001000465</t>
  </si>
  <si>
    <t>2001000464</t>
  </si>
  <si>
    <t>2001000420</t>
  </si>
  <si>
    <t>2001000460</t>
  </si>
  <si>
    <t>2001000461</t>
  </si>
  <si>
    <t>2001000466</t>
  </si>
  <si>
    <t>2001000510</t>
  </si>
  <si>
    <t>2001000419</t>
  </si>
  <si>
    <t>2001000384</t>
  </si>
  <si>
    <t>2001000335</t>
  </si>
  <si>
    <t>Deal 649352</t>
  </si>
  <si>
    <t>#022872</t>
  </si>
  <si>
    <t>#22870</t>
  </si>
  <si>
    <t>#22869</t>
  </si>
  <si>
    <t>#22871</t>
  </si>
  <si>
    <t>Homesville</t>
  </si>
  <si>
    <t>#3.8347</t>
  </si>
  <si>
    <t>#02860</t>
  </si>
  <si>
    <t xml:space="preserve">Z4 </t>
  </si>
  <si>
    <t>#22862</t>
  </si>
  <si>
    <t>St 65</t>
  </si>
  <si>
    <t>#22864</t>
  </si>
  <si>
    <t>#22865</t>
  </si>
  <si>
    <t>#22867</t>
  </si>
  <si>
    <t>#22859</t>
  </si>
  <si>
    <t>#022861</t>
  </si>
  <si>
    <t>#22863</t>
  </si>
  <si>
    <t>#022866</t>
  </si>
  <si>
    <t>#22753</t>
  </si>
  <si>
    <t>#22752</t>
  </si>
  <si>
    <t>#22815</t>
  </si>
  <si>
    <t>#022817</t>
  </si>
  <si>
    <t>#22813</t>
  </si>
  <si>
    <t>#22821</t>
  </si>
  <si>
    <t>#022820</t>
  </si>
  <si>
    <t>#22818</t>
  </si>
  <si>
    <t>#022736</t>
  </si>
  <si>
    <t>#22735</t>
  </si>
  <si>
    <t>#022819</t>
  </si>
  <si>
    <t>#22814</t>
  </si>
  <si>
    <t>#22816</t>
  </si>
  <si>
    <t>#22812</t>
  </si>
  <si>
    <t>New Power Pool Supply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</si>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</sst>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5" fontId="0" fillId="0" borderId="0" xfId="2" applyNumberFormat="1" applyFont="1" applyFill="1" applyAlignment="1">
      <alignment horizontal="center"/>
    </xf>
    <xf numFmtId="165" fontId="0" fillId="0" borderId="0" xfId="0" applyNumberFormat="1" applyFill="1"/>
    <xf numFmtId="7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77" fontId="0" fillId="0" borderId="4" xfId="1" applyNumberFormat="1" applyFont="1" applyFill="1" applyBorder="1" applyAlignment="1">
      <alignment horizontal="center"/>
    </xf>
    <xf numFmtId="177" fontId="0" fillId="0" borderId="5" xfId="1" applyNumberFormat="1" applyFont="1" applyFill="1" applyBorder="1" applyAlignment="1">
      <alignment horizontal="center"/>
    </xf>
    <xf numFmtId="177" fontId="0" fillId="0" borderId="6" xfId="1" applyNumberFormat="1" applyFont="1" applyFill="1" applyBorder="1" applyAlignment="1">
      <alignment horizontal="center"/>
    </xf>
    <xf numFmtId="177" fontId="0" fillId="0" borderId="7" xfId="1" applyNumberFormat="1" applyFont="1" applyFill="1" applyBorder="1" applyAlignment="1">
      <alignment horizontal="center"/>
    </xf>
    <xf numFmtId="177" fontId="0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/>
    <xf numFmtId="43" fontId="0" fillId="0" borderId="0" xfId="1" applyNumberFormat="1" applyFont="1" applyFill="1"/>
    <xf numFmtId="37" fontId="0" fillId="0" borderId="0" xfId="0" applyNumberFormat="1" applyFill="1"/>
    <xf numFmtId="165" fontId="7" fillId="2" borderId="0" xfId="0" applyNumberFormat="1" applyFont="1" applyFill="1"/>
    <xf numFmtId="17" fontId="0" fillId="0" borderId="0" xfId="0" applyNumberForma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0" fillId="3" borderId="0" xfId="0" applyFill="1"/>
    <xf numFmtId="1" fontId="0" fillId="0" borderId="0" xfId="1" quotePrefix="1" applyNumberFormat="1" applyFont="1" applyFill="1" applyAlignment="1">
      <alignment horizontal="center"/>
    </xf>
    <xf numFmtId="0" fontId="0" fillId="0" borderId="8" xfId="1" applyNumberFormat="1" applyFont="1" applyFill="1" applyBorder="1" applyAlignment="1">
      <alignment horizontal="center"/>
    </xf>
    <xf numFmtId="1" fontId="4" fillId="0" borderId="0" xfId="0" applyNumberFormat="1" applyFont="1" applyFill="1" applyAlignment="1">
      <alignment horizontal="left"/>
    </xf>
    <xf numFmtId="177" fontId="0" fillId="0" borderId="0" xfId="1" quotePrefix="1" applyNumberFormat="1" applyFont="1" applyFill="1"/>
    <xf numFmtId="40" fontId="2" fillId="0" borderId="0" xfId="0" applyNumberFormat="1" applyFont="1" applyFill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2" fillId="0" borderId="0" xfId="0" quotePrefix="1" applyNumberFormat="1" applyFont="1" applyFill="1" applyAlignment="1">
      <alignment horizontal="right"/>
    </xf>
    <xf numFmtId="38" fontId="0" fillId="2" borderId="0" xfId="0" applyNumberFormat="1" applyFill="1"/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1" fontId="2" fillId="3" borderId="0" xfId="0" applyNumberFormat="1" applyFont="1" applyFill="1" applyAlignment="1">
      <alignment horizontal="left"/>
    </xf>
    <xf numFmtId="43" fontId="2" fillId="3" borderId="0" xfId="1" quotePrefix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1" fontId="2" fillId="2" borderId="0" xfId="1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1" fontId="2" fillId="2" borderId="0" xfId="0" applyNumberFormat="1" applyFont="1" applyFill="1" applyAlignment="1">
      <alignment horizontal="left"/>
    </xf>
    <xf numFmtId="199" fontId="2" fillId="2" borderId="0" xfId="0" quotePrefix="1" applyNumberFormat="1" applyFont="1" applyFill="1" applyAlignment="1">
      <alignment horizontal="left"/>
    </xf>
    <xf numFmtId="43" fontId="2" fillId="2" borderId="0" xfId="1" quotePrefix="1" applyFont="1" applyFill="1" applyAlignment="1">
      <alignment horizontal="left"/>
    </xf>
    <xf numFmtId="0" fontId="2" fillId="2" borderId="0" xfId="1" quotePrefix="1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4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left"/>
    </xf>
    <xf numFmtId="164" fontId="2" fillId="2" borderId="0" xfId="0" applyNumberFormat="1" applyFont="1" applyFill="1" applyAlignment="1">
      <alignment horizontal="center"/>
    </xf>
    <xf numFmtId="181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" fontId="0" fillId="2" borderId="0" xfId="1" quotePrefix="1" applyNumberFormat="1" applyFont="1" applyFill="1" applyAlignment="1">
      <alignment horizontal="center"/>
    </xf>
    <xf numFmtId="177" fontId="0" fillId="2" borderId="0" xfId="1" applyNumberFormat="1" applyFont="1" applyFill="1" applyAlignment="1">
      <alignment horizontal="center"/>
    </xf>
    <xf numFmtId="177" fontId="0" fillId="2" borderId="0" xfId="1" applyNumberFormat="1" applyFont="1" applyFill="1" applyBorder="1" applyAlignment="1">
      <alignment horizontal="center"/>
    </xf>
    <xf numFmtId="177" fontId="0" fillId="2" borderId="0" xfId="1" applyNumberFormat="1" applyFont="1" applyFill="1"/>
    <xf numFmtId="165" fontId="0" fillId="2" borderId="0" xfId="2" applyNumberFormat="1" applyFont="1" applyFill="1" applyAlignment="1">
      <alignment horizontal="center"/>
    </xf>
    <xf numFmtId="43" fontId="0" fillId="2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7"/>
  <sheetViews>
    <sheetView topLeftCell="A17" workbookViewId="0">
      <selection activeCell="E36" sqref="E36"/>
    </sheetView>
  </sheetViews>
  <sheetFormatPr defaultRowHeight="13.2" x14ac:dyDescent="0.25"/>
  <sheetData>
    <row r="2" spans="1:8" ht="15.6" x14ac:dyDescent="0.3">
      <c r="A2" s="99" t="s">
        <v>227</v>
      </c>
    </row>
    <row r="6" spans="1:8" x14ac:dyDescent="0.25">
      <c r="D6" t="s">
        <v>228</v>
      </c>
      <c r="E6" t="s">
        <v>229</v>
      </c>
      <c r="F6" t="s">
        <v>230</v>
      </c>
      <c r="G6" t="s">
        <v>231</v>
      </c>
      <c r="H6" t="s">
        <v>232</v>
      </c>
    </row>
    <row r="7" spans="1:8" x14ac:dyDescent="0.25">
      <c r="B7" t="s">
        <v>233</v>
      </c>
      <c r="D7">
        <v>175</v>
      </c>
      <c r="E7">
        <v>84</v>
      </c>
      <c r="F7">
        <v>33</v>
      </c>
    </row>
    <row r="8" spans="1:8" x14ac:dyDescent="0.25">
      <c r="B8" t="s">
        <v>234</v>
      </c>
      <c r="D8">
        <v>3240</v>
      </c>
      <c r="E8">
        <v>3197</v>
      </c>
      <c r="F8">
        <v>2339</v>
      </c>
    </row>
    <row r="9" spans="1:8" x14ac:dyDescent="0.25">
      <c r="B9" t="s">
        <v>235</v>
      </c>
      <c r="D9">
        <v>1736</v>
      </c>
      <c r="E9">
        <v>797</v>
      </c>
      <c r="F9">
        <v>292</v>
      </c>
    </row>
    <row r="10" spans="1:8" x14ac:dyDescent="0.25">
      <c r="B10" t="s">
        <v>236</v>
      </c>
      <c r="D10">
        <v>762</v>
      </c>
      <c r="E10">
        <v>373</v>
      </c>
      <c r="F10">
        <v>150</v>
      </c>
    </row>
    <row r="11" spans="1:8" x14ac:dyDescent="0.25">
      <c r="B11" t="s">
        <v>237</v>
      </c>
      <c r="D11">
        <v>3740</v>
      </c>
      <c r="E11">
        <v>1818</v>
      </c>
      <c r="F11">
        <v>725</v>
      </c>
    </row>
    <row r="12" spans="1:8" x14ac:dyDescent="0.25">
      <c r="B12" t="s">
        <v>238</v>
      </c>
      <c r="D12">
        <v>569</v>
      </c>
      <c r="E12">
        <v>282</v>
      </c>
      <c r="F12">
        <v>115</v>
      </c>
    </row>
    <row r="13" spans="1:8" x14ac:dyDescent="0.25">
      <c r="B13" t="s">
        <v>239</v>
      </c>
      <c r="D13">
        <v>501</v>
      </c>
      <c r="E13">
        <v>260</v>
      </c>
      <c r="F13">
        <v>113</v>
      </c>
    </row>
    <row r="14" spans="1:8" x14ac:dyDescent="0.25">
      <c r="B14" t="s">
        <v>240</v>
      </c>
      <c r="D14">
        <v>2948</v>
      </c>
      <c r="E14">
        <v>1345</v>
      </c>
      <c r="F14">
        <v>488</v>
      </c>
    </row>
    <row r="15" spans="1:8" x14ac:dyDescent="0.25">
      <c r="B15" t="s">
        <v>241</v>
      </c>
      <c r="D15">
        <v>554</v>
      </c>
      <c r="E15">
        <v>258</v>
      </c>
      <c r="F15">
        <v>97</v>
      </c>
    </row>
    <row r="16" spans="1:8" x14ac:dyDescent="0.25">
      <c r="B16" t="s">
        <v>242</v>
      </c>
      <c r="D16">
        <v>671</v>
      </c>
      <c r="E16">
        <v>333</v>
      </c>
      <c r="F16">
        <v>136</v>
      </c>
    </row>
    <row r="17" spans="2:8" x14ac:dyDescent="0.25">
      <c r="B17" t="s">
        <v>243</v>
      </c>
      <c r="D17">
        <v>841</v>
      </c>
      <c r="E17">
        <v>431</v>
      </c>
      <c r="F17">
        <v>184</v>
      </c>
    </row>
    <row r="18" spans="2:8" x14ac:dyDescent="0.25">
      <c r="B18" t="s">
        <v>244</v>
      </c>
      <c r="D18">
        <v>27</v>
      </c>
      <c r="E18">
        <v>27</v>
      </c>
      <c r="F18">
        <v>19</v>
      </c>
    </row>
    <row r="19" spans="2:8" x14ac:dyDescent="0.25">
      <c r="B19" t="s">
        <v>245</v>
      </c>
      <c r="D19">
        <v>7202</v>
      </c>
      <c r="E19">
        <v>6936</v>
      </c>
      <c r="F19">
        <v>4912</v>
      </c>
    </row>
    <row r="20" spans="2:8" x14ac:dyDescent="0.25">
      <c r="B20" t="s">
        <v>246</v>
      </c>
      <c r="D20">
        <v>89</v>
      </c>
      <c r="E20">
        <v>88</v>
      </c>
      <c r="F20">
        <v>64</v>
      </c>
    </row>
    <row r="21" spans="2:8" x14ac:dyDescent="0.25">
      <c r="B21" t="s">
        <v>247</v>
      </c>
      <c r="D21">
        <v>110</v>
      </c>
      <c r="E21">
        <v>105</v>
      </c>
      <c r="F21">
        <v>74</v>
      </c>
    </row>
    <row r="22" spans="2:8" x14ac:dyDescent="0.25">
      <c r="B22" t="s">
        <v>248</v>
      </c>
      <c r="D22">
        <v>52</v>
      </c>
      <c r="E22">
        <v>49</v>
      </c>
      <c r="F22">
        <v>38</v>
      </c>
    </row>
    <row r="23" spans="2:8" x14ac:dyDescent="0.25">
      <c r="B23" t="s">
        <v>249</v>
      </c>
      <c r="D23">
        <v>1084</v>
      </c>
      <c r="E23">
        <v>877</v>
      </c>
      <c r="F23">
        <v>364</v>
      </c>
    </row>
    <row r="24" spans="2:8" ht="13.8" thickBot="1" x14ac:dyDescent="0.3">
      <c r="C24" t="s">
        <v>250</v>
      </c>
      <c r="D24" s="100">
        <f>SUM(D7:D23)</f>
        <v>24301</v>
      </c>
      <c r="E24" s="100">
        <f>SUM(E7:E23)</f>
        <v>17260</v>
      </c>
      <c r="F24" s="100">
        <f>SUM(F7:F23)</f>
        <v>10143</v>
      </c>
    </row>
    <row r="25" spans="2:8" ht="13.8" thickTop="1" x14ac:dyDescent="0.25"/>
    <row r="29" spans="2:8" x14ac:dyDescent="0.25">
      <c r="C29" s="101" t="s">
        <v>251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5">
      <c r="C30" s="101" t="s">
        <v>252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5">
      <c r="C31" s="101" t="s">
        <v>253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5">
      <c r="C32" s="101" t="s">
        <v>254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2:8" x14ac:dyDescent="0.25">
      <c r="C33" s="101" t="s">
        <v>255</v>
      </c>
      <c r="D33">
        <f>ROUND(0.9718*41486/31,0)</f>
        <v>1301</v>
      </c>
      <c r="E33">
        <f>ROUND(0.9718*36508/28,0)</f>
        <v>1267</v>
      </c>
      <c r="F33" s="102">
        <f>ROUND(0.9718*26671/31,0)</f>
        <v>836</v>
      </c>
      <c r="G33" s="102">
        <f>ROUND(0.9718*13166/31,0)</f>
        <v>413</v>
      </c>
      <c r="H33">
        <v>0</v>
      </c>
    </row>
    <row r="34" spans="2:8" ht="13.8" thickBot="1" x14ac:dyDescent="0.3">
      <c r="D34" s="100">
        <f>SUM(D29:D33)</f>
        <v>7378</v>
      </c>
      <c r="E34" s="100">
        <f>SUM(E29:E33)</f>
        <v>7778</v>
      </c>
      <c r="F34" s="100">
        <f>SUM(F29:F33)</f>
        <v>5410</v>
      </c>
      <c r="G34" s="100">
        <f>SUM(G29:G33)</f>
        <v>5979</v>
      </c>
      <c r="H34" s="100">
        <f>SUM(H29:H33)</f>
        <v>2277</v>
      </c>
    </row>
    <row r="35" spans="2:8" ht="13.8" thickTop="1" x14ac:dyDescent="0.25"/>
    <row r="36" spans="2:8" x14ac:dyDescent="0.25">
      <c r="C36" s="101" t="s">
        <v>256</v>
      </c>
      <c r="D36">
        <f>SUM(D34,D24)</f>
        <v>31679</v>
      </c>
      <c r="E36">
        <f>SUM(E34,E24)</f>
        <v>25038</v>
      </c>
      <c r="F36">
        <f>SUM(F34,F24)</f>
        <v>15553</v>
      </c>
      <c r="G36">
        <f>SUM(G34,G24)</f>
        <v>5979</v>
      </c>
      <c r="H36">
        <f>SUM(H34,H24)</f>
        <v>2277</v>
      </c>
    </row>
    <row r="38" spans="2:8" x14ac:dyDescent="0.25">
      <c r="F38">
        <v>27835</v>
      </c>
    </row>
    <row r="39" spans="2:8" x14ac:dyDescent="0.25">
      <c r="B39" t="s">
        <v>257</v>
      </c>
    </row>
    <row r="40" spans="2:8" x14ac:dyDescent="0.25">
      <c r="C40" t="s">
        <v>36</v>
      </c>
      <c r="D40">
        <v>488</v>
      </c>
    </row>
    <row r="41" spans="2:8" x14ac:dyDescent="0.25">
      <c r="C41" t="s">
        <v>258</v>
      </c>
      <c r="D41">
        <v>65380</v>
      </c>
    </row>
    <row r="42" spans="2:8" x14ac:dyDescent="0.25">
      <c r="C42" t="s">
        <v>35</v>
      </c>
      <c r="D42">
        <v>13157</v>
      </c>
    </row>
    <row r="43" spans="2:8" x14ac:dyDescent="0.25">
      <c r="C43" t="s">
        <v>56</v>
      </c>
      <c r="D43">
        <v>1220</v>
      </c>
    </row>
    <row r="44" spans="2:8" x14ac:dyDescent="0.25">
      <c r="C44" t="s">
        <v>259</v>
      </c>
      <c r="D44">
        <v>-39493</v>
      </c>
    </row>
    <row r="45" spans="2:8" x14ac:dyDescent="0.25">
      <c r="D45">
        <f>SUM(D40:D44)</f>
        <v>40752</v>
      </c>
    </row>
    <row r="47" spans="2:8" x14ac:dyDescent="0.25">
      <c r="D47">
        <f>+D45-D36</f>
        <v>9073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"/>
  <sheetViews>
    <sheetView workbookViewId="0">
      <pane xSplit="1" ySplit="5" topLeftCell="M16" activePane="bottomRight" state="frozen"/>
      <selection pane="topRight" activeCell="B1" sqref="B1"/>
      <selection pane="bottomLeft" activeCell="A6" sqref="A6"/>
      <selection pane="bottomRight" activeCell="S16" sqref="S16:S36"/>
    </sheetView>
  </sheetViews>
  <sheetFormatPr defaultColWidth="9.109375" defaultRowHeight="13.2" x14ac:dyDescent="0.25"/>
  <cols>
    <col min="1" max="1" width="5.6640625" style="80" customWidth="1"/>
    <col min="2" max="2" width="13" style="65" customWidth="1"/>
    <col min="3" max="4" width="13" style="82" customWidth="1"/>
    <col min="5" max="5" width="4.33203125" style="65" customWidth="1"/>
    <col min="6" max="6" width="13" style="65" customWidth="1"/>
    <col min="7" max="8" width="13" style="82" customWidth="1"/>
    <col min="9" max="9" width="4.33203125" style="65" customWidth="1"/>
    <col min="10" max="10" width="13" style="65" customWidth="1"/>
    <col min="11" max="12" width="13" style="82" customWidth="1"/>
    <col min="13" max="13" width="4.33203125" style="65" customWidth="1"/>
    <col min="14" max="14" width="13" style="65" customWidth="1"/>
    <col min="15" max="16" width="13" style="82" customWidth="1"/>
    <col min="17" max="17" width="4.33203125" style="65" customWidth="1"/>
    <col min="18" max="18" width="4.109375" style="25" customWidth="1"/>
    <col min="19" max="19" width="9.109375" style="25"/>
    <col min="20" max="20" width="9.109375" style="93"/>
    <col min="21" max="16384" width="9.109375" style="25"/>
  </cols>
  <sheetData>
    <row r="2" spans="1:20" x14ac:dyDescent="0.25">
      <c r="A2" s="78"/>
      <c r="N2" s="65">
        <v>656574</v>
      </c>
    </row>
    <row r="3" spans="1:20" x14ac:dyDescent="0.25">
      <c r="A3" s="78"/>
      <c r="F3" s="65" t="s">
        <v>211</v>
      </c>
      <c r="J3" s="65" t="s">
        <v>187</v>
      </c>
      <c r="N3" s="65" t="s">
        <v>325</v>
      </c>
    </row>
    <row r="4" spans="1:20" x14ac:dyDescent="0.25">
      <c r="A4" s="78"/>
      <c r="B4" s="65" t="s">
        <v>210</v>
      </c>
      <c r="F4" s="65" t="s">
        <v>212</v>
      </c>
      <c r="J4" s="65" t="s">
        <v>213</v>
      </c>
      <c r="N4" s="65" t="s">
        <v>326</v>
      </c>
      <c r="S4" s="25" t="s">
        <v>91</v>
      </c>
      <c r="T4" s="93" t="s">
        <v>94</v>
      </c>
    </row>
    <row r="5" spans="1:20" x14ac:dyDescent="0.25">
      <c r="A5" s="78"/>
      <c r="B5" s="38">
        <v>597271</v>
      </c>
      <c r="C5" s="82" t="s">
        <v>103</v>
      </c>
      <c r="D5" s="82" t="s">
        <v>184</v>
      </c>
      <c r="F5" s="38">
        <v>597290</v>
      </c>
      <c r="G5" s="82" t="s">
        <v>103</v>
      </c>
      <c r="H5" s="82" t="s">
        <v>184</v>
      </c>
      <c r="J5" s="65">
        <v>597293</v>
      </c>
      <c r="K5" s="82" t="s">
        <v>103</v>
      </c>
      <c r="L5" s="82" t="s">
        <v>184</v>
      </c>
      <c r="O5" s="82" t="s">
        <v>103</v>
      </c>
      <c r="P5" s="82" t="s">
        <v>184</v>
      </c>
      <c r="S5" s="25" t="s">
        <v>191</v>
      </c>
      <c r="T5" s="93" t="s">
        <v>192</v>
      </c>
    </row>
    <row r="6" spans="1:20" x14ac:dyDescent="0.25">
      <c r="A6" s="78">
        <v>1</v>
      </c>
      <c r="B6" s="112">
        <v>3285</v>
      </c>
      <c r="C6" s="82">
        <f>5.29+0.0125</f>
        <v>5.3025000000000002</v>
      </c>
      <c r="D6" s="83">
        <f>+B6*C6</f>
        <v>17418.712500000001</v>
      </c>
      <c r="F6" s="112">
        <v>3942</v>
      </c>
      <c r="G6" s="82">
        <f>5.29+0.0125</f>
        <v>5.3025000000000002</v>
      </c>
      <c r="H6" s="83">
        <f>+F6*G6</f>
        <v>20902.455000000002</v>
      </c>
      <c r="J6" s="112">
        <v>3026</v>
      </c>
      <c r="K6" s="82">
        <f>5.29+0.0125</f>
        <v>5.3025000000000002</v>
      </c>
      <c r="L6" s="83">
        <f>+J6*K6</f>
        <v>16045.365</v>
      </c>
      <c r="N6" s="112">
        <v>0</v>
      </c>
      <c r="O6" s="82">
        <f>5.29+0.0125</f>
        <v>5.3025000000000002</v>
      </c>
      <c r="P6" s="83">
        <f>+N6*O6</f>
        <v>0</v>
      </c>
      <c r="S6" s="65">
        <f>SUM(B6,F6,J6,N6)</f>
        <v>10253</v>
      </c>
      <c r="T6" s="93">
        <f>ROUND(+S6*(1-0.02184),0)-1</f>
        <v>10028</v>
      </c>
    </row>
    <row r="7" spans="1:20" x14ac:dyDescent="0.25">
      <c r="A7" s="78">
        <f>+A6+1</f>
        <v>2</v>
      </c>
      <c r="B7" s="65">
        <f>+B6</f>
        <v>3285</v>
      </c>
      <c r="C7" s="82">
        <f>+C6</f>
        <v>5.3025000000000002</v>
      </c>
      <c r="D7" s="83">
        <f t="shared" ref="D7:D33" si="0">+B7*C7</f>
        <v>17418.712500000001</v>
      </c>
      <c r="F7" s="65">
        <f>+F6</f>
        <v>3942</v>
      </c>
      <c r="G7" s="82">
        <f>+G6</f>
        <v>5.3025000000000002</v>
      </c>
      <c r="H7" s="83">
        <f t="shared" ref="H7:H36" si="1">+F7*G7</f>
        <v>20902.455000000002</v>
      </c>
      <c r="J7" s="65">
        <f>+J6</f>
        <v>3026</v>
      </c>
      <c r="K7" s="82">
        <f>+K6</f>
        <v>5.3025000000000002</v>
      </c>
      <c r="L7" s="83">
        <f t="shared" ref="L7:L36" si="2">+J7*K7</f>
        <v>16045.365</v>
      </c>
      <c r="N7" s="65">
        <f>+N6</f>
        <v>0</v>
      </c>
      <c r="O7" s="82">
        <f>+O6</f>
        <v>5.3025000000000002</v>
      </c>
      <c r="P7" s="83">
        <f t="shared" ref="P7:P36" si="3">+N7*O7</f>
        <v>0</v>
      </c>
      <c r="S7" s="65">
        <f t="shared" ref="S7:S36" si="4">SUM(B7,F7,J7,N7)</f>
        <v>10253</v>
      </c>
      <c r="T7" s="93">
        <f t="shared" ref="T7:T36" si="5">ROUND(+S7*(1-0.02184),0)-1</f>
        <v>10028</v>
      </c>
    </row>
    <row r="8" spans="1:20" x14ac:dyDescent="0.25">
      <c r="A8" s="78">
        <f t="shared" ref="A8:A33" si="6">+A7+1</f>
        <v>3</v>
      </c>
      <c r="B8" s="65">
        <f t="shared" ref="B8:B36" si="7">+B7</f>
        <v>3285</v>
      </c>
      <c r="C8" s="82">
        <f t="shared" ref="C8:C33" si="8">+C7</f>
        <v>5.3025000000000002</v>
      </c>
      <c r="D8" s="83">
        <f t="shared" si="0"/>
        <v>17418.712500000001</v>
      </c>
      <c r="F8" s="65">
        <f t="shared" ref="F8:F36" si="9">+F7</f>
        <v>3942</v>
      </c>
      <c r="G8" s="82">
        <f t="shared" ref="G8:G36" si="10">+G7</f>
        <v>5.3025000000000002</v>
      </c>
      <c r="H8" s="83">
        <f t="shared" si="1"/>
        <v>20902.455000000002</v>
      </c>
      <c r="J8" s="65">
        <f t="shared" ref="J8:J36" si="11">+J7</f>
        <v>3026</v>
      </c>
      <c r="K8" s="82">
        <f t="shared" ref="K8:K36" si="12">+K7</f>
        <v>5.3025000000000002</v>
      </c>
      <c r="L8" s="83">
        <f t="shared" si="2"/>
        <v>16045.365</v>
      </c>
      <c r="N8" s="65">
        <f t="shared" ref="N8:N36" si="13">+N7</f>
        <v>0</v>
      </c>
      <c r="O8" s="82">
        <f t="shared" ref="O8:O36" si="14">+O7</f>
        <v>5.3025000000000002</v>
      </c>
      <c r="P8" s="83">
        <f t="shared" si="3"/>
        <v>0</v>
      </c>
      <c r="S8" s="65">
        <f t="shared" si="4"/>
        <v>10253</v>
      </c>
      <c r="T8" s="93">
        <f t="shared" si="5"/>
        <v>10028</v>
      </c>
    </row>
    <row r="9" spans="1:20" x14ac:dyDescent="0.25">
      <c r="A9" s="78">
        <f t="shared" si="6"/>
        <v>4</v>
      </c>
      <c r="B9" s="65">
        <f t="shared" si="7"/>
        <v>3285</v>
      </c>
      <c r="C9" s="82">
        <f t="shared" si="8"/>
        <v>5.3025000000000002</v>
      </c>
      <c r="D9" s="83">
        <f t="shared" si="0"/>
        <v>17418.712500000001</v>
      </c>
      <c r="F9" s="65">
        <f t="shared" si="9"/>
        <v>3942</v>
      </c>
      <c r="G9" s="82">
        <f t="shared" si="10"/>
        <v>5.3025000000000002</v>
      </c>
      <c r="H9" s="83">
        <f t="shared" si="1"/>
        <v>20902.455000000002</v>
      </c>
      <c r="J9" s="65">
        <f t="shared" si="11"/>
        <v>3026</v>
      </c>
      <c r="K9" s="82">
        <f t="shared" si="12"/>
        <v>5.3025000000000002</v>
      </c>
      <c r="L9" s="83">
        <f t="shared" si="2"/>
        <v>16045.365</v>
      </c>
      <c r="N9" s="65">
        <f t="shared" si="13"/>
        <v>0</v>
      </c>
      <c r="O9" s="82">
        <f t="shared" si="14"/>
        <v>5.3025000000000002</v>
      </c>
      <c r="P9" s="83">
        <f t="shared" si="3"/>
        <v>0</v>
      </c>
      <c r="S9" s="65">
        <f t="shared" si="4"/>
        <v>10253</v>
      </c>
      <c r="T9" s="93">
        <f t="shared" si="5"/>
        <v>10028</v>
      </c>
    </row>
    <row r="10" spans="1:20" x14ac:dyDescent="0.25">
      <c r="A10" s="78">
        <f t="shared" si="6"/>
        <v>5</v>
      </c>
      <c r="B10" s="65">
        <f t="shared" si="7"/>
        <v>3285</v>
      </c>
      <c r="C10" s="82">
        <f t="shared" si="8"/>
        <v>5.3025000000000002</v>
      </c>
      <c r="D10" s="83">
        <f t="shared" si="0"/>
        <v>17418.712500000001</v>
      </c>
      <c r="F10" s="65">
        <f t="shared" si="9"/>
        <v>3942</v>
      </c>
      <c r="G10" s="82">
        <f t="shared" si="10"/>
        <v>5.3025000000000002</v>
      </c>
      <c r="H10" s="83">
        <f t="shared" si="1"/>
        <v>20902.455000000002</v>
      </c>
      <c r="J10" s="65">
        <f t="shared" si="11"/>
        <v>3026</v>
      </c>
      <c r="K10" s="82">
        <f t="shared" si="12"/>
        <v>5.3025000000000002</v>
      </c>
      <c r="L10" s="83">
        <f t="shared" si="2"/>
        <v>16045.365</v>
      </c>
      <c r="N10" s="65">
        <f t="shared" si="13"/>
        <v>0</v>
      </c>
      <c r="O10" s="82">
        <f t="shared" si="14"/>
        <v>5.3025000000000002</v>
      </c>
      <c r="P10" s="83">
        <f t="shared" si="3"/>
        <v>0</v>
      </c>
      <c r="S10" s="65">
        <f t="shared" si="4"/>
        <v>10253</v>
      </c>
      <c r="T10" s="93">
        <f t="shared" si="5"/>
        <v>10028</v>
      </c>
    </row>
    <row r="11" spans="1:20" x14ac:dyDescent="0.25">
      <c r="A11" s="78">
        <f t="shared" si="6"/>
        <v>6</v>
      </c>
      <c r="B11" s="65">
        <f t="shared" si="7"/>
        <v>3285</v>
      </c>
      <c r="C11" s="82">
        <f t="shared" si="8"/>
        <v>5.3025000000000002</v>
      </c>
      <c r="D11" s="83">
        <f t="shared" si="0"/>
        <v>17418.712500000001</v>
      </c>
      <c r="F11" s="65">
        <f t="shared" si="9"/>
        <v>3942</v>
      </c>
      <c r="G11" s="82">
        <f t="shared" si="10"/>
        <v>5.3025000000000002</v>
      </c>
      <c r="H11" s="83">
        <f t="shared" si="1"/>
        <v>20902.455000000002</v>
      </c>
      <c r="J11" s="65">
        <f t="shared" si="11"/>
        <v>3026</v>
      </c>
      <c r="K11" s="82">
        <f t="shared" si="12"/>
        <v>5.3025000000000002</v>
      </c>
      <c r="L11" s="83">
        <f t="shared" si="2"/>
        <v>16045.365</v>
      </c>
      <c r="N11" s="65">
        <f t="shared" si="13"/>
        <v>0</v>
      </c>
      <c r="O11" s="82">
        <f t="shared" si="14"/>
        <v>5.3025000000000002</v>
      </c>
      <c r="P11" s="83">
        <f t="shared" si="3"/>
        <v>0</v>
      </c>
      <c r="S11" s="65">
        <f t="shared" si="4"/>
        <v>10253</v>
      </c>
      <c r="T11" s="93">
        <f t="shared" si="5"/>
        <v>10028</v>
      </c>
    </row>
    <row r="12" spans="1:20" x14ac:dyDescent="0.25">
      <c r="A12" s="78">
        <f t="shared" si="6"/>
        <v>7</v>
      </c>
      <c r="B12" s="65">
        <f t="shared" si="7"/>
        <v>3285</v>
      </c>
      <c r="C12" s="82">
        <f t="shared" si="8"/>
        <v>5.3025000000000002</v>
      </c>
      <c r="D12" s="83">
        <f t="shared" si="0"/>
        <v>17418.712500000001</v>
      </c>
      <c r="F12" s="65">
        <f t="shared" si="9"/>
        <v>3942</v>
      </c>
      <c r="G12" s="82">
        <f t="shared" si="10"/>
        <v>5.3025000000000002</v>
      </c>
      <c r="H12" s="83">
        <f t="shared" si="1"/>
        <v>20902.455000000002</v>
      </c>
      <c r="J12" s="65">
        <f t="shared" si="11"/>
        <v>3026</v>
      </c>
      <c r="K12" s="82">
        <f t="shared" si="12"/>
        <v>5.3025000000000002</v>
      </c>
      <c r="L12" s="83">
        <f t="shared" si="2"/>
        <v>16045.365</v>
      </c>
      <c r="N12" s="65">
        <v>15418</v>
      </c>
      <c r="O12" s="82">
        <f t="shared" si="14"/>
        <v>5.3025000000000002</v>
      </c>
      <c r="P12" s="83">
        <f t="shared" si="3"/>
        <v>81753.945000000007</v>
      </c>
      <c r="S12" s="65">
        <f t="shared" si="4"/>
        <v>25671</v>
      </c>
      <c r="T12" s="93">
        <f t="shared" si="5"/>
        <v>25109</v>
      </c>
    </row>
    <row r="13" spans="1:20" x14ac:dyDescent="0.25">
      <c r="A13" s="78">
        <f t="shared" si="6"/>
        <v>8</v>
      </c>
      <c r="B13" s="65">
        <f t="shared" si="7"/>
        <v>3285</v>
      </c>
      <c r="C13" s="82">
        <f t="shared" si="8"/>
        <v>5.3025000000000002</v>
      </c>
      <c r="D13" s="83">
        <f t="shared" si="0"/>
        <v>17418.712500000001</v>
      </c>
      <c r="F13" s="65">
        <f t="shared" si="9"/>
        <v>3942</v>
      </c>
      <c r="G13" s="82">
        <f t="shared" si="10"/>
        <v>5.3025000000000002</v>
      </c>
      <c r="H13" s="83">
        <f t="shared" si="1"/>
        <v>20902.455000000002</v>
      </c>
      <c r="J13" s="65">
        <f t="shared" si="11"/>
        <v>3026</v>
      </c>
      <c r="K13" s="82">
        <f t="shared" si="12"/>
        <v>5.3025000000000002</v>
      </c>
      <c r="L13" s="83">
        <f t="shared" si="2"/>
        <v>16045.365</v>
      </c>
      <c r="N13" s="65">
        <v>0</v>
      </c>
      <c r="O13" s="82">
        <f t="shared" si="14"/>
        <v>5.3025000000000002</v>
      </c>
      <c r="P13" s="83">
        <f t="shared" si="3"/>
        <v>0</v>
      </c>
      <c r="S13" s="65">
        <f t="shared" si="4"/>
        <v>10253</v>
      </c>
      <c r="T13" s="93">
        <f t="shared" si="5"/>
        <v>10028</v>
      </c>
    </row>
    <row r="14" spans="1:20" x14ac:dyDescent="0.25">
      <c r="A14" s="78">
        <f t="shared" si="6"/>
        <v>9</v>
      </c>
      <c r="B14" s="65">
        <f t="shared" si="7"/>
        <v>3285</v>
      </c>
      <c r="C14" s="82">
        <f t="shared" si="8"/>
        <v>5.3025000000000002</v>
      </c>
      <c r="D14" s="83">
        <f t="shared" si="0"/>
        <v>17418.712500000001</v>
      </c>
      <c r="F14" s="65">
        <f t="shared" si="9"/>
        <v>3942</v>
      </c>
      <c r="G14" s="82">
        <f t="shared" si="10"/>
        <v>5.3025000000000002</v>
      </c>
      <c r="H14" s="83">
        <f t="shared" si="1"/>
        <v>20902.455000000002</v>
      </c>
      <c r="J14" s="65">
        <f t="shared" si="11"/>
        <v>3026</v>
      </c>
      <c r="K14" s="82">
        <f t="shared" si="12"/>
        <v>5.3025000000000002</v>
      </c>
      <c r="L14" s="83">
        <f t="shared" si="2"/>
        <v>16045.365</v>
      </c>
      <c r="N14" s="65">
        <f t="shared" si="13"/>
        <v>0</v>
      </c>
      <c r="O14" s="82">
        <f t="shared" si="14"/>
        <v>5.3025000000000002</v>
      </c>
      <c r="P14" s="83">
        <f t="shared" si="3"/>
        <v>0</v>
      </c>
      <c r="S14" s="65">
        <f t="shared" si="4"/>
        <v>10253</v>
      </c>
      <c r="T14" s="93">
        <f t="shared" si="5"/>
        <v>10028</v>
      </c>
    </row>
    <row r="15" spans="1:20" x14ac:dyDescent="0.25">
      <c r="A15" s="78">
        <f t="shared" si="6"/>
        <v>10</v>
      </c>
      <c r="B15" s="65">
        <f t="shared" si="7"/>
        <v>3285</v>
      </c>
      <c r="C15" s="82">
        <f t="shared" si="8"/>
        <v>5.3025000000000002</v>
      </c>
      <c r="D15" s="83">
        <f t="shared" si="0"/>
        <v>17418.712500000001</v>
      </c>
      <c r="F15" s="65">
        <f t="shared" si="9"/>
        <v>3942</v>
      </c>
      <c r="G15" s="82">
        <f t="shared" si="10"/>
        <v>5.3025000000000002</v>
      </c>
      <c r="H15" s="83">
        <f t="shared" si="1"/>
        <v>20902.455000000002</v>
      </c>
      <c r="J15" s="65">
        <f t="shared" si="11"/>
        <v>3026</v>
      </c>
      <c r="K15" s="82">
        <f t="shared" si="12"/>
        <v>5.3025000000000002</v>
      </c>
      <c r="L15" s="83">
        <f t="shared" si="2"/>
        <v>16045.365</v>
      </c>
      <c r="N15" s="65">
        <f t="shared" si="13"/>
        <v>0</v>
      </c>
      <c r="O15" s="82">
        <f t="shared" si="14"/>
        <v>5.3025000000000002</v>
      </c>
      <c r="P15" s="83">
        <f t="shared" si="3"/>
        <v>0</v>
      </c>
      <c r="S15" s="65">
        <f t="shared" si="4"/>
        <v>10253</v>
      </c>
      <c r="T15" s="93">
        <f t="shared" si="5"/>
        <v>10028</v>
      </c>
    </row>
    <row r="16" spans="1:20" x14ac:dyDescent="0.25">
      <c r="A16" s="78">
        <f t="shared" si="6"/>
        <v>11</v>
      </c>
      <c r="B16" s="65">
        <f t="shared" si="7"/>
        <v>3285</v>
      </c>
      <c r="C16" s="82">
        <f t="shared" si="8"/>
        <v>5.3025000000000002</v>
      </c>
      <c r="D16" s="83">
        <f t="shared" si="0"/>
        <v>17418.712500000001</v>
      </c>
      <c r="F16" s="65">
        <f t="shared" si="9"/>
        <v>3942</v>
      </c>
      <c r="G16" s="82">
        <f t="shared" si="10"/>
        <v>5.3025000000000002</v>
      </c>
      <c r="H16" s="83">
        <f t="shared" si="1"/>
        <v>20902.455000000002</v>
      </c>
      <c r="J16" s="65">
        <f t="shared" si="11"/>
        <v>3026</v>
      </c>
      <c r="K16" s="82">
        <f t="shared" si="12"/>
        <v>5.3025000000000002</v>
      </c>
      <c r="L16" s="83">
        <f t="shared" si="2"/>
        <v>16045.365</v>
      </c>
      <c r="N16" s="65">
        <f t="shared" si="13"/>
        <v>0</v>
      </c>
      <c r="O16" s="82">
        <f t="shared" si="14"/>
        <v>5.3025000000000002</v>
      </c>
      <c r="P16" s="83">
        <f t="shared" si="3"/>
        <v>0</v>
      </c>
      <c r="S16" s="65">
        <f t="shared" si="4"/>
        <v>10253</v>
      </c>
      <c r="T16" s="93">
        <f t="shared" si="5"/>
        <v>10028</v>
      </c>
    </row>
    <row r="17" spans="1:20" x14ac:dyDescent="0.25">
      <c r="A17" s="78">
        <f t="shared" si="6"/>
        <v>12</v>
      </c>
      <c r="B17" s="65">
        <f t="shared" si="7"/>
        <v>3285</v>
      </c>
      <c r="C17" s="82">
        <f t="shared" si="8"/>
        <v>5.3025000000000002</v>
      </c>
      <c r="D17" s="83">
        <f t="shared" si="0"/>
        <v>17418.712500000001</v>
      </c>
      <c r="F17" s="65">
        <f t="shared" si="9"/>
        <v>3942</v>
      </c>
      <c r="G17" s="82">
        <f t="shared" si="10"/>
        <v>5.3025000000000002</v>
      </c>
      <c r="H17" s="83">
        <f t="shared" si="1"/>
        <v>20902.455000000002</v>
      </c>
      <c r="J17" s="65">
        <f t="shared" si="11"/>
        <v>3026</v>
      </c>
      <c r="K17" s="82">
        <f t="shared" si="12"/>
        <v>5.3025000000000002</v>
      </c>
      <c r="L17" s="83">
        <f t="shared" si="2"/>
        <v>16045.365</v>
      </c>
      <c r="N17" s="65">
        <f t="shared" si="13"/>
        <v>0</v>
      </c>
      <c r="O17" s="82">
        <f t="shared" si="14"/>
        <v>5.3025000000000002</v>
      </c>
      <c r="P17" s="83">
        <f t="shared" si="3"/>
        <v>0</v>
      </c>
      <c r="S17" s="65">
        <f t="shared" si="4"/>
        <v>10253</v>
      </c>
      <c r="T17" s="93">
        <f t="shared" si="5"/>
        <v>10028</v>
      </c>
    </row>
    <row r="18" spans="1:20" x14ac:dyDescent="0.25">
      <c r="A18" s="78">
        <f t="shared" si="6"/>
        <v>13</v>
      </c>
      <c r="B18" s="65">
        <f t="shared" si="7"/>
        <v>3285</v>
      </c>
      <c r="C18" s="82">
        <f t="shared" si="8"/>
        <v>5.3025000000000002</v>
      </c>
      <c r="D18" s="83">
        <f t="shared" si="0"/>
        <v>17418.712500000001</v>
      </c>
      <c r="F18" s="65">
        <f t="shared" si="9"/>
        <v>3942</v>
      </c>
      <c r="G18" s="82">
        <f t="shared" si="10"/>
        <v>5.3025000000000002</v>
      </c>
      <c r="H18" s="83">
        <f t="shared" si="1"/>
        <v>20902.455000000002</v>
      </c>
      <c r="J18" s="65">
        <f t="shared" si="11"/>
        <v>3026</v>
      </c>
      <c r="K18" s="82">
        <f t="shared" si="12"/>
        <v>5.3025000000000002</v>
      </c>
      <c r="L18" s="83">
        <f t="shared" si="2"/>
        <v>16045.365</v>
      </c>
      <c r="N18" s="65">
        <f t="shared" si="13"/>
        <v>0</v>
      </c>
      <c r="O18" s="82">
        <f t="shared" si="14"/>
        <v>5.3025000000000002</v>
      </c>
      <c r="P18" s="83">
        <f t="shared" si="3"/>
        <v>0</v>
      </c>
      <c r="S18" s="65">
        <f t="shared" si="4"/>
        <v>10253</v>
      </c>
      <c r="T18" s="93">
        <f t="shared" si="5"/>
        <v>10028</v>
      </c>
    </row>
    <row r="19" spans="1:20" x14ac:dyDescent="0.25">
      <c r="A19" s="78">
        <f t="shared" si="6"/>
        <v>14</v>
      </c>
      <c r="B19" s="65">
        <f t="shared" si="7"/>
        <v>3285</v>
      </c>
      <c r="C19" s="82">
        <f t="shared" si="8"/>
        <v>5.3025000000000002</v>
      </c>
      <c r="D19" s="83">
        <f t="shared" si="0"/>
        <v>17418.712500000001</v>
      </c>
      <c r="F19" s="65">
        <f t="shared" si="9"/>
        <v>3942</v>
      </c>
      <c r="G19" s="82">
        <f t="shared" si="10"/>
        <v>5.3025000000000002</v>
      </c>
      <c r="H19" s="83">
        <f t="shared" si="1"/>
        <v>20902.455000000002</v>
      </c>
      <c r="J19" s="65">
        <f t="shared" si="11"/>
        <v>3026</v>
      </c>
      <c r="K19" s="82">
        <f t="shared" si="12"/>
        <v>5.3025000000000002</v>
      </c>
      <c r="L19" s="83">
        <f t="shared" si="2"/>
        <v>16045.365</v>
      </c>
      <c r="N19" s="65">
        <f t="shared" si="13"/>
        <v>0</v>
      </c>
      <c r="O19" s="82">
        <f t="shared" si="14"/>
        <v>5.3025000000000002</v>
      </c>
      <c r="P19" s="83">
        <f t="shared" si="3"/>
        <v>0</v>
      </c>
      <c r="S19" s="65">
        <f t="shared" si="4"/>
        <v>10253</v>
      </c>
      <c r="T19" s="93">
        <f t="shared" si="5"/>
        <v>10028</v>
      </c>
    </row>
    <row r="20" spans="1:20" x14ac:dyDescent="0.25">
      <c r="A20" s="78">
        <f t="shared" si="6"/>
        <v>15</v>
      </c>
      <c r="B20" s="65">
        <f t="shared" si="7"/>
        <v>3285</v>
      </c>
      <c r="C20" s="82">
        <f t="shared" si="8"/>
        <v>5.3025000000000002</v>
      </c>
      <c r="D20" s="83">
        <f t="shared" si="0"/>
        <v>17418.712500000001</v>
      </c>
      <c r="F20" s="65">
        <f t="shared" si="9"/>
        <v>3942</v>
      </c>
      <c r="G20" s="82">
        <f t="shared" si="10"/>
        <v>5.3025000000000002</v>
      </c>
      <c r="H20" s="83">
        <f t="shared" si="1"/>
        <v>20902.455000000002</v>
      </c>
      <c r="J20" s="65">
        <f t="shared" si="11"/>
        <v>3026</v>
      </c>
      <c r="K20" s="82">
        <f t="shared" si="12"/>
        <v>5.3025000000000002</v>
      </c>
      <c r="L20" s="83">
        <f t="shared" si="2"/>
        <v>16045.365</v>
      </c>
      <c r="N20" s="65">
        <f t="shared" si="13"/>
        <v>0</v>
      </c>
      <c r="O20" s="82">
        <f t="shared" si="14"/>
        <v>5.3025000000000002</v>
      </c>
      <c r="P20" s="83">
        <f t="shared" si="3"/>
        <v>0</v>
      </c>
      <c r="S20" s="65">
        <f t="shared" si="4"/>
        <v>10253</v>
      </c>
      <c r="T20" s="93">
        <f t="shared" si="5"/>
        <v>10028</v>
      </c>
    </row>
    <row r="21" spans="1:20" x14ac:dyDescent="0.25">
      <c r="A21" s="78">
        <f t="shared" si="6"/>
        <v>16</v>
      </c>
      <c r="B21" s="65">
        <f t="shared" si="7"/>
        <v>3285</v>
      </c>
      <c r="C21" s="82">
        <f t="shared" si="8"/>
        <v>5.3025000000000002</v>
      </c>
      <c r="D21" s="83">
        <f t="shared" si="0"/>
        <v>17418.712500000001</v>
      </c>
      <c r="F21" s="65">
        <f t="shared" si="9"/>
        <v>3942</v>
      </c>
      <c r="G21" s="82">
        <f t="shared" si="10"/>
        <v>5.3025000000000002</v>
      </c>
      <c r="H21" s="83">
        <f t="shared" si="1"/>
        <v>20902.455000000002</v>
      </c>
      <c r="J21" s="65">
        <f t="shared" si="11"/>
        <v>3026</v>
      </c>
      <c r="K21" s="82">
        <f t="shared" si="12"/>
        <v>5.3025000000000002</v>
      </c>
      <c r="L21" s="83">
        <f t="shared" si="2"/>
        <v>16045.365</v>
      </c>
      <c r="N21" s="65">
        <f t="shared" si="13"/>
        <v>0</v>
      </c>
      <c r="O21" s="82">
        <f t="shared" si="14"/>
        <v>5.3025000000000002</v>
      </c>
      <c r="P21" s="83">
        <f t="shared" si="3"/>
        <v>0</v>
      </c>
      <c r="S21" s="65">
        <f t="shared" si="4"/>
        <v>10253</v>
      </c>
      <c r="T21" s="93">
        <f t="shared" si="5"/>
        <v>10028</v>
      </c>
    </row>
    <row r="22" spans="1:20" x14ac:dyDescent="0.25">
      <c r="A22" s="78">
        <f t="shared" si="6"/>
        <v>17</v>
      </c>
      <c r="B22" s="65">
        <f t="shared" si="7"/>
        <v>3285</v>
      </c>
      <c r="C22" s="82">
        <f t="shared" si="8"/>
        <v>5.3025000000000002</v>
      </c>
      <c r="D22" s="83">
        <f t="shared" si="0"/>
        <v>17418.712500000001</v>
      </c>
      <c r="F22" s="65">
        <f t="shared" si="9"/>
        <v>3942</v>
      </c>
      <c r="G22" s="82">
        <f t="shared" si="10"/>
        <v>5.3025000000000002</v>
      </c>
      <c r="H22" s="83">
        <f t="shared" si="1"/>
        <v>20902.455000000002</v>
      </c>
      <c r="J22" s="65">
        <f t="shared" si="11"/>
        <v>3026</v>
      </c>
      <c r="K22" s="82">
        <f t="shared" si="12"/>
        <v>5.3025000000000002</v>
      </c>
      <c r="L22" s="83">
        <f t="shared" si="2"/>
        <v>16045.365</v>
      </c>
      <c r="N22" s="65">
        <f t="shared" si="13"/>
        <v>0</v>
      </c>
      <c r="O22" s="82">
        <f t="shared" si="14"/>
        <v>5.3025000000000002</v>
      </c>
      <c r="P22" s="83">
        <f t="shared" si="3"/>
        <v>0</v>
      </c>
      <c r="S22" s="65">
        <f t="shared" si="4"/>
        <v>10253</v>
      </c>
      <c r="T22" s="93">
        <f t="shared" si="5"/>
        <v>10028</v>
      </c>
    </row>
    <row r="23" spans="1:20" x14ac:dyDescent="0.25">
      <c r="A23" s="78">
        <f t="shared" si="6"/>
        <v>18</v>
      </c>
      <c r="B23" s="65">
        <f t="shared" si="7"/>
        <v>3285</v>
      </c>
      <c r="C23" s="82">
        <f t="shared" si="8"/>
        <v>5.3025000000000002</v>
      </c>
      <c r="D23" s="83">
        <f t="shared" si="0"/>
        <v>17418.712500000001</v>
      </c>
      <c r="F23" s="65">
        <f t="shared" si="9"/>
        <v>3942</v>
      </c>
      <c r="G23" s="82">
        <f t="shared" si="10"/>
        <v>5.3025000000000002</v>
      </c>
      <c r="H23" s="83">
        <f t="shared" si="1"/>
        <v>20902.455000000002</v>
      </c>
      <c r="J23" s="65">
        <f t="shared" si="11"/>
        <v>3026</v>
      </c>
      <c r="K23" s="82">
        <f t="shared" si="12"/>
        <v>5.3025000000000002</v>
      </c>
      <c r="L23" s="83">
        <f t="shared" si="2"/>
        <v>16045.365</v>
      </c>
      <c r="N23" s="65">
        <f t="shared" si="13"/>
        <v>0</v>
      </c>
      <c r="O23" s="82">
        <f t="shared" si="14"/>
        <v>5.3025000000000002</v>
      </c>
      <c r="P23" s="83">
        <f t="shared" si="3"/>
        <v>0</v>
      </c>
      <c r="S23" s="65">
        <f t="shared" si="4"/>
        <v>10253</v>
      </c>
      <c r="T23" s="93">
        <f t="shared" si="5"/>
        <v>10028</v>
      </c>
    </row>
    <row r="24" spans="1:20" x14ac:dyDescent="0.25">
      <c r="A24" s="78">
        <f t="shared" si="6"/>
        <v>19</v>
      </c>
      <c r="B24" s="65">
        <f t="shared" si="7"/>
        <v>3285</v>
      </c>
      <c r="C24" s="82">
        <f t="shared" si="8"/>
        <v>5.3025000000000002</v>
      </c>
      <c r="D24" s="83">
        <f t="shared" si="0"/>
        <v>17418.712500000001</v>
      </c>
      <c r="F24" s="65">
        <f t="shared" si="9"/>
        <v>3942</v>
      </c>
      <c r="G24" s="82">
        <f t="shared" si="10"/>
        <v>5.3025000000000002</v>
      </c>
      <c r="H24" s="83">
        <f t="shared" si="1"/>
        <v>20902.455000000002</v>
      </c>
      <c r="J24" s="65">
        <f t="shared" si="11"/>
        <v>3026</v>
      </c>
      <c r="K24" s="82">
        <f t="shared" si="12"/>
        <v>5.3025000000000002</v>
      </c>
      <c r="L24" s="83">
        <f t="shared" si="2"/>
        <v>16045.365</v>
      </c>
      <c r="N24" s="65">
        <f t="shared" si="13"/>
        <v>0</v>
      </c>
      <c r="O24" s="82">
        <f t="shared" si="14"/>
        <v>5.3025000000000002</v>
      </c>
      <c r="P24" s="83">
        <f t="shared" si="3"/>
        <v>0</v>
      </c>
      <c r="S24" s="65">
        <f t="shared" si="4"/>
        <v>10253</v>
      </c>
      <c r="T24" s="93">
        <f t="shared" si="5"/>
        <v>10028</v>
      </c>
    </row>
    <row r="25" spans="1:20" x14ac:dyDescent="0.25">
      <c r="A25" s="78">
        <f t="shared" si="6"/>
        <v>20</v>
      </c>
      <c r="B25" s="65">
        <f t="shared" si="7"/>
        <v>3285</v>
      </c>
      <c r="C25" s="82">
        <f t="shared" si="8"/>
        <v>5.3025000000000002</v>
      </c>
      <c r="D25" s="83">
        <f t="shared" si="0"/>
        <v>17418.712500000001</v>
      </c>
      <c r="F25" s="65">
        <f t="shared" si="9"/>
        <v>3942</v>
      </c>
      <c r="G25" s="82">
        <f t="shared" si="10"/>
        <v>5.3025000000000002</v>
      </c>
      <c r="H25" s="83">
        <f t="shared" si="1"/>
        <v>20902.455000000002</v>
      </c>
      <c r="J25" s="65">
        <f t="shared" si="11"/>
        <v>3026</v>
      </c>
      <c r="K25" s="82">
        <f t="shared" si="12"/>
        <v>5.3025000000000002</v>
      </c>
      <c r="L25" s="83">
        <f t="shared" si="2"/>
        <v>16045.365</v>
      </c>
      <c r="N25" s="65">
        <f t="shared" si="13"/>
        <v>0</v>
      </c>
      <c r="O25" s="82">
        <f t="shared" si="14"/>
        <v>5.3025000000000002</v>
      </c>
      <c r="P25" s="83">
        <f t="shared" si="3"/>
        <v>0</v>
      </c>
      <c r="S25" s="65">
        <f t="shared" si="4"/>
        <v>10253</v>
      </c>
      <c r="T25" s="93">
        <f t="shared" si="5"/>
        <v>10028</v>
      </c>
    </row>
    <row r="26" spans="1:20" x14ac:dyDescent="0.25">
      <c r="A26" s="78">
        <f t="shared" si="6"/>
        <v>21</v>
      </c>
      <c r="B26" s="65">
        <f t="shared" si="7"/>
        <v>3285</v>
      </c>
      <c r="C26" s="82">
        <f t="shared" si="8"/>
        <v>5.3025000000000002</v>
      </c>
      <c r="D26" s="83">
        <f t="shared" si="0"/>
        <v>17418.712500000001</v>
      </c>
      <c r="F26" s="65">
        <f t="shared" si="9"/>
        <v>3942</v>
      </c>
      <c r="G26" s="82">
        <f t="shared" si="10"/>
        <v>5.3025000000000002</v>
      </c>
      <c r="H26" s="83">
        <f t="shared" si="1"/>
        <v>20902.455000000002</v>
      </c>
      <c r="J26" s="65">
        <f t="shared" si="11"/>
        <v>3026</v>
      </c>
      <c r="K26" s="82">
        <f t="shared" si="12"/>
        <v>5.3025000000000002</v>
      </c>
      <c r="L26" s="83">
        <f t="shared" si="2"/>
        <v>16045.365</v>
      </c>
      <c r="N26" s="65">
        <f t="shared" si="13"/>
        <v>0</v>
      </c>
      <c r="O26" s="82">
        <f t="shared" si="14"/>
        <v>5.3025000000000002</v>
      </c>
      <c r="P26" s="83">
        <f t="shared" si="3"/>
        <v>0</v>
      </c>
      <c r="S26" s="65">
        <f t="shared" si="4"/>
        <v>10253</v>
      </c>
      <c r="T26" s="93">
        <f t="shared" si="5"/>
        <v>10028</v>
      </c>
    </row>
    <row r="27" spans="1:20" x14ac:dyDescent="0.25">
      <c r="A27" s="78">
        <f t="shared" si="6"/>
        <v>22</v>
      </c>
      <c r="B27" s="65">
        <f t="shared" si="7"/>
        <v>3285</v>
      </c>
      <c r="C27" s="82">
        <f t="shared" si="8"/>
        <v>5.3025000000000002</v>
      </c>
      <c r="D27" s="83">
        <f t="shared" si="0"/>
        <v>17418.712500000001</v>
      </c>
      <c r="F27" s="65">
        <f t="shared" si="9"/>
        <v>3942</v>
      </c>
      <c r="G27" s="82">
        <f t="shared" si="10"/>
        <v>5.3025000000000002</v>
      </c>
      <c r="H27" s="83">
        <f t="shared" si="1"/>
        <v>20902.455000000002</v>
      </c>
      <c r="J27" s="65">
        <f t="shared" si="11"/>
        <v>3026</v>
      </c>
      <c r="K27" s="82">
        <f t="shared" si="12"/>
        <v>5.3025000000000002</v>
      </c>
      <c r="L27" s="83">
        <f t="shared" si="2"/>
        <v>16045.365</v>
      </c>
      <c r="N27" s="65">
        <f t="shared" si="13"/>
        <v>0</v>
      </c>
      <c r="O27" s="82">
        <f t="shared" si="14"/>
        <v>5.3025000000000002</v>
      </c>
      <c r="P27" s="83">
        <f t="shared" si="3"/>
        <v>0</v>
      </c>
      <c r="S27" s="65">
        <f t="shared" si="4"/>
        <v>10253</v>
      </c>
      <c r="T27" s="93">
        <f t="shared" si="5"/>
        <v>10028</v>
      </c>
    </row>
    <row r="28" spans="1:20" x14ac:dyDescent="0.25">
      <c r="A28" s="78">
        <f t="shared" si="6"/>
        <v>23</v>
      </c>
      <c r="B28" s="65">
        <f t="shared" si="7"/>
        <v>3285</v>
      </c>
      <c r="C28" s="82">
        <f t="shared" si="8"/>
        <v>5.3025000000000002</v>
      </c>
      <c r="D28" s="83">
        <f t="shared" si="0"/>
        <v>17418.712500000001</v>
      </c>
      <c r="F28" s="65">
        <f t="shared" si="9"/>
        <v>3942</v>
      </c>
      <c r="G28" s="82">
        <f t="shared" si="10"/>
        <v>5.3025000000000002</v>
      </c>
      <c r="H28" s="83">
        <f t="shared" si="1"/>
        <v>20902.455000000002</v>
      </c>
      <c r="J28" s="65">
        <f t="shared" si="11"/>
        <v>3026</v>
      </c>
      <c r="K28" s="82">
        <f t="shared" si="12"/>
        <v>5.3025000000000002</v>
      </c>
      <c r="L28" s="83">
        <f t="shared" si="2"/>
        <v>16045.365</v>
      </c>
      <c r="N28" s="65">
        <f t="shared" si="13"/>
        <v>0</v>
      </c>
      <c r="O28" s="82">
        <f t="shared" si="14"/>
        <v>5.3025000000000002</v>
      </c>
      <c r="P28" s="83">
        <f t="shared" si="3"/>
        <v>0</v>
      </c>
      <c r="S28" s="65">
        <f t="shared" si="4"/>
        <v>10253</v>
      </c>
      <c r="T28" s="93">
        <f t="shared" si="5"/>
        <v>10028</v>
      </c>
    </row>
    <row r="29" spans="1:20" x14ac:dyDescent="0.25">
      <c r="A29" s="78">
        <f t="shared" si="6"/>
        <v>24</v>
      </c>
      <c r="B29" s="65">
        <f t="shared" si="7"/>
        <v>3285</v>
      </c>
      <c r="C29" s="82">
        <f t="shared" si="8"/>
        <v>5.3025000000000002</v>
      </c>
      <c r="D29" s="83">
        <f t="shared" si="0"/>
        <v>17418.712500000001</v>
      </c>
      <c r="F29" s="65">
        <f t="shared" si="9"/>
        <v>3942</v>
      </c>
      <c r="G29" s="82">
        <f t="shared" si="10"/>
        <v>5.3025000000000002</v>
      </c>
      <c r="H29" s="83">
        <f t="shared" si="1"/>
        <v>20902.455000000002</v>
      </c>
      <c r="J29" s="65">
        <f t="shared" si="11"/>
        <v>3026</v>
      </c>
      <c r="K29" s="82">
        <f t="shared" si="12"/>
        <v>5.3025000000000002</v>
      </c>
      <c r="L29" s="83">
        <f t="shared" si="2"/>
        <v>16045.365</v>
      </c>
      <c r="N29" s="65">
        <f t="shared" si="13"/>
        <v>0</v>
      </c>
      <c r="O29" s="82">
        <f t="shared" si="14"/>
        <v>5.3025000000000002</v>
      </c>
      <c r="P29" s="83">
        <f t="shared" si="3"/>
        <v>0</v>
      </c>
      <c r="S29" s="65">
        <f t="shared" si="4"/>
        <v>10253</v>
      </c>
      <c r="T29" s="93">
        <f t="shared" si="5"/>
        <v>10028</v>
      </c>
    </row>
    <row r="30" spans="1:20" x14ac:dyDescent="0.25">
      <c r="A30" s="78">
        <f t="shared" si="6"/>
        <v>25</v>
      </c>
      <c r="B30" s="65">
        <f t="shared" si="7"/>
        <v>3285</v>
      </c>
      <c r="C30" s="82">
        <f t="shared" si="8"/>
        <v>5.3025000000000002</v>
      </c>
      <c r="D30" s="83">
        <f t="shared" si="0"/>
        <v>17418.712500000001</v>
      </c>
      <c r="F30" s="65">
        <f t="shared" si="9"/>
        <v>3942</v>
      </c>
      <c r="G30" s="82">
        <f t="shared" si="10"/>
        <v>5.3025000000000002</v>
      </c>
      <c r="H30" s="83">
        <f t="shared" si="1"/>
        <v>20902.455000000002</v>
      </c>
      <c r="J30" s="65">
        <f t="shared" si="11"/>
        <v>3026</v>
      </c>
      <c r="K30" s="82">
        <f t="shared" si="12"/>
        <v>5.3025000000000002</v>
      </c>
      <c r="L30" s="83">
        <f t="shared" si="2"/>
        <v>16045.365</v>
      </c>
      <c r="N30" s="65">
        <f t="shared" si="13"/>
        <v>0</v>
      </c>
      <c r="O30" s="82">
        <f t="shared" si="14"/>
        <v>5.3025000000000002</v>
      </c>
      <c r="P30" s="83">
        <f t="shared" si="3"/>
        <v>0</v>
      </c>
      <c r="S30" s="65">
        <f t="shared" si="4"/>
        <v>10253</v>
      </c>
      <c r="T30" s="93">
        <f t="shared" si="5"/>
        <v>10028</v>
      </c>
    </row>
    <row r="31" spans="1:20" x14ac:dyDescent="0.25">
      <c r="A31" s="78">
        <f t="shared" si="6"/>
        <v>26</v>
      </c>
      <c r="B31" s="65">
        <f t="shared" si="7"/>
        <v>3285</v>
      </c>
      <c r="C31" s="82">
        <f t="shared" si="8"/>
        <v>5.3025000000000002</v>
      </c>
      <c r="D31" s="83">
        <f t="shared" si="0"/>
        <v>17418.712500000001</v>
      </c>
      <c r="F31" s="65">
        <f t="shared" si="9"/>
        <v>3942</v>
      </c>
      <c r="G31" s="82">
        <f t="shared" si="10"/>
        <v>5.3025000000000002</v>
      </c>
      <c r="H31" s="83">
        <f t="shared" si="1"/>
        <v>20902.455000000002</v>
      </c>
      <c r="J31" s="65">
        <f t="shared" si="11"/>
        <v>3026</v>
      </c>
      <c r="K31" s="82">
        <f t="shared" si="12"/>
        <v>5.3025000000000002</v>
      </c>
      <c r="L31" s="83">
        <f t="shared" si="2"/>
        <v>16045.365</v>
      </c>
      <c r="N31" s="65">
        <f t="shared" si="13"/>
        <v>0</v>
      </c>
      <c r="O31" s="82">
        <f t="shared" si="14"/>
        <v>5.3025000000000002</v>
      </c>
      <c r="P31" s="83">
        <f t="shared" si="3"/>
        <v>0</v>
      </c>
      <c r="S31" s="65">
        <f t="shared" si="4"/>
        <v>10253</v>
      </c>
      <c r="T31" s="93">
        <f t="shared" si="5"/>
        <v>10028</v>
      </c>
    </row>
    <row r="32" spans="1:20" x14ac:dyDescent="0.25">
      <c r="A32" s="78">
        <f t="shared" si="6"/>
        <v>27</v>
      </c>
      <c r="B32" s="65">
        <f t="shared" si="7"/>
        <v>3285</v>
      </c>
      <c r="C32" s="82">
        <f t="shared" si="8"/>
        <v>5.3025000000000002</v>
      </c>
      <c r="D32" s="83">
        <f t="shared" si="0"/>
        <v>17418.712500000001</v>
      </c>
      <c r="F32" s="65">
        <f t="shared" si="9"/>
        <v>3942</v>
      </c>
      <c r="G32" s="82">
        <f t="shared" si="10"/>
        <v>5.3025000000000002</v>
      </c>
      <c r="H32" s="83">
        <f t="shared" si="1"/>
        <v>20902.455000000002</v>
      </c>
      <c r="J32" s="65">
        <f t="shared" si="11"/>
        <v>3026</v>
      </c>
      <c r="K32" s="82">
        <f t="shared" si="12"/>
        <v>5.3025000000000002</v>
      </c>
      <c r="L32" s="83">
        <f t="shared" si="2"/>
        <v>16045.365</v>
      </c>
      <c r="N32" s="65">
        <f t="shared" si="13"/>
        <v>0</v>
      </c>
      <c r="O32" s="82">
        <f t="shared" si="14"/>
        <v>5.3025000000000002</v>
      </c>
      <c r="P32" s="83">
        <f t="shared" si="3"/>
        <v>0</v>
      </c>
      <c r="S32" s="65">
        <f t="shared" si="4"/>
        <v>10253</v>
      </c>
      <c r="T32" s="93">
        <f t="shared" si="5"/>
        <v>10028</v>
      </c>
    </row>
    <row r="33" spans="1:20" x14ac:dyDescent="0.25">
      <c r="A33" s="78">
        <f t="shared" si="6"/>
        <v>28</v>
      </c>
      <c r="B33" s="65">
        <f t="shared" si="7"/>
        <v>3285</v>
      </c>
      <c r="C33" s="82">
        <f t="shared" si="8"/>
        <v>5.3025000000000002</v>
      </c>
      <c r="D33" s="83">
        <f t="shared" si="0"/>
        <v>17418.712500000001</v>
      </c>
      <c r="F33" s="65">
        <f t="shared" si="9"/>
        <v>3942</v>
      </c>
      <c r="G33" s="82">
        <f t="shared" si="10"/>
        <v>5.3025000000000002</v>
      </c>
      <c r="H33" s="83">
        <f t="shared" si="1"/>
        <v>20902.455000000002</v>
      </c>
      <c r="J33" s="65">
        <f t="shared" si="11"/>
        <v>3026</v>
      </c>
      <c r="K33" s="82">
        <f t="shared" si="12"/>
        <v>5.3025000000000002</v>
      </c>
      <c r="L33" s="83">
        <f t="shared" si="2"/>
        <v>16045.365</v>
      </c>
      <c r="N33" s="65">
        <f t="shared" si="13"/>
        <v>0</v>
      </c>
      <c r="O33" s="82">
        <f t="shared" si="14"/>
        <v>5.3025000000000002</v>
      </c>
      <c r="P33" s="83">
        <f t="shared" si="3"/>
        <v>0</v>
      </c>
      <c r="S33" s="65">
        <f t="shared" si="4"/>
        <v>10253</v>
      </c>
      <c r="T33" s="93">
        <f t="shared" si="5"/>
        <v>10028</v>
      </c>
    </row>
    <row r="34" spans="1:20" x14ac:dyDescent="0.25">
      <c r="A34" s="78">
        <v>29</v>
      </c>
      <c r="B34" s="65">
        <f t="shared" si="7"/>
        <v>3285</v>
      </c>
      <c r="C34" s="82">
        <f>+C33</f>
        <v>5.3025000000000002</v>
      </c>
      <c r="D34" s="83">
        <f>+B34*C34</f>
        <v>17418.712500000001</v>
      </c>
      <c r="F34" s="65">
        <f t="shared" si="9"/>
        <v>3942</v>
      </c>
      <c r="G34" s="82">
        <f t="shared" si="10"/>
        <v>5.3025000000000002</v>
      </c>
      <c r="H34" s="83">
        <f t="shared" si="1"/>
        <v>20902.455000000002</v>
      </c>
      <c r="J34" s="65">
        <f t="shared" si="11"/>
        <v>3026</v>
      </c>
      <c r="K34" s="82">
        <f t="shared" si="12"/>
        <v>5.3025000000000002</v>
      </c>
      <c r="L34" s="83">
        <f t="shared" si="2"/>
        <v>16045.365</v>
      </c>
      <c r="N34" s="65">
        <f t="shared" si="13"/>
        <v>0</v>
      </c>
      <c r="O34" s="82">
        <f t="shared" si="14"/>
        <v>5.3025000000000002</v>
      </c>
      <c r="P34" s="83">
        <f t="shared" si="3"/>
        <v>0</v>
      </c>
      <c r="S34" s="65">
        <f t="shared" si="4"/>
        <v>10253</v>
      </c>
      <c r="T34" s="93">
        <f t="shared" si="5"/>
        <v>10028</v>
      </c>
    </row>
    <row r="35" spans="1:20" x14ac:dyDescent="0.25">
      <c r="A35" s="78">
        <v>30</v>
      </c>
      <c r="B35" s="65">
        <f t="shared" si="7"/>
        <v>3285</v>
      </c>
      <c r="C35" s="82">
        <f>+C34</f>
        <v>5.3025000000000002</v>
      </c>
      <c r="D35" s="83">
        <f>+B35*C35</f>
        <v>17418.712500000001</v>
      </c>
      <c r="F35" s="65">
        <f t="shared" si="9"/>
        <v>3942</v>
      </c>
      <c r="G35" s="82">
        <f t="shared" si="10"/>
        <v>5.3025000000000002</v>
      </c>
      <c r="H35" s="83">
        <f t="shared" si="1"/>
        <v>20902.455000000002</v>
      </c>
      <c r="J35" s="65">
        <f t="shared" si="11"/>
        <v>3026</v>
      </c>
      <c r="K35" s="82">
        <f t="shared" si="12"/>
        <v>5.3025000000000002</v>
      </c>
      <c r="L35" s="83">
        <f t="shared" si="2"/>
        <v>16045.365</v>
      </c>
      <c r="N35" s="65">
        <f t="shared" si="13"/>
        <v>0</v>
      </c>
      <c r="O35" s="82">
        <f t="shared" si="14"/>
        <v>5.3025000000000002</v>
      </c>
      <c r="P35" s="83">
        <f t="shared" si="3"/>
        <v>0</v>
      </c>
      <c r="S35" s="65">
        <f t="shared" si="4"/>
        <v>10253</v>
      </c>
      <c r="T35" s="93">
        <f t="shared" si="5"/>
        <v>10028</v>
      </c>
    </row>
    <row r="36" spans="1:20" x14ac:dyDescent="0.25">
      <c r="A36" s="80">
        <v>31</v>
      </c>
      <c r="B36" s="65">
        <f t="shared" si="7"/>
        <v>3285</v>
      </c>
      <c r="C36" s="82">
        <f>+C35</f>
        <v>5.3025000000000002</v>
      </c>
      <c r="D36" s="83">
        <f>+B36*C36</f>
        <v>17418.712500000001</v>
      </c>
      <c r="F36" s="65">
        <f t="shared" si="9"/>
        <v>3942</v>
      </c>
      <c r="G36" s="82">
        <f t="shared" si="10"/>
        <v>5.3025000000000002</v>
      </c>
      <c r="H36" s="83">
        <f t="shared" si="1"/>
        <v>20902.455000000002</v>
      </c>
      <c r="J36" s="65">
        <f t="shared" si="11"/>
        <v>3026</v>
      </c>
      <c r="K36" s="82">
        <f t="shared" si="12"/>
        <v>5.3025000000000002</v>
      </c>
      <c r="L36" s="83">
        <f t="shared" si="2"/>
        <v>16045.365</v>
      </c>
      <c r="N36" s="65">
        <f t="shared" si="13"/>
        <v>0</v>
      </c>
      <c r="O36" s="82">
        <f t="shared" si="14"/>
        <v>5.3025000000000002</v>
      </c>
      <c r="P36" s="83">
        <f t="shared" si="3"/>
        <v>0</v>
      </c>
      <c r="S36" s="65">
        <f t="shared" si="4"/>
        <v>10253</v>
      </c>
      <c r="T36" s="93">
        <f t="shared" si="5"/>
        <v>10028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ColWidth="9.109375" defaultRowHeight="13.2" x14ac:dyDescent="0.25"/>
  <cols>
    <col min="1" max="1" width="5.6640625" style="80" customWidth="1"/>
    <col min="2" max="2" width="13" style="65" customWidth="1"/>
    <col min="3" max="4" width="13" style="82" customWidth="1"/>
    <col min="5" max="5" width="4.33203125" style="65" customWidth="1"/>
    <col min="6" max="6" width="13" style="65" customWidth="1"/>
    <col min="7" max="8" width="13" style="82" customWidth="1"/>
    <col min="9" max="9" width="4.33203125" style="65" customWidth="1"/>
    <col min="10" max="10" width="13" style="65" customWidth="1"/>
    <col min="11" max="12" width="13" style="82" customWidth="1"/>
    <col min="13" max="13" width="4.33203125" style="65" customWidth="1"/>
    <col min="14" max="14" width="13" style="65" customWidth="1"/>
    <col min="15" max="16" width="13" style="82" customWidth="1"/>
    <col min="17" max="17" width="4.33203125" style="65" customWidth="1"/>
    <col min="18" max="18" width="13" style="65" customWidth="1"/>
    <col min="19" max="20" width="13" style="82" customWidth="1"/>
    <col min="21" max="21" width="4.33203125" style="65" customWidth="1"/>
    <col min="22" max="22" width="13" style="65" customWidth="1"/>
    <col min="23" max="24" width="13" style="82" customWidth="1"/>
    <col min="25" max="25" width="4.109375" style="25" customWidth="1"/>
    <col min="26" max="16384" width="9.109375" style="25"/>
  </cols>
  <sheetData>
    <row r="2" spans="1:26" x14ac:dyDescent="0.25">
      <c r="A2" s="78"/>
    </row>
    <row r="3" spans="1:26" x14ac:dyDescent="0.25">
      <c r="A3" s="78"/>
    </row>
    <row r="4" spans="1:26" x14ac:dyDescent="0.25">
      <c r="A4" s="78"/>
      <c r="Z4" s="25" t="s">
        <v>188</v>
      </c>
    </row>
    <row r="5" spans="1:26" x14ac:dyDescent="0.25">
      <c r="A5" s="78"/>
      <c r="B5" s="65" t="s">
        <v>176</v>
      </c>
      <c r="C5" s="82" t="s">
        <v>103</v>
      </c>
      <c r="D5" s="82" t="s">
        <v>184</v>
      </c>
      <c r="F5" s="65" t="s">
        <v>176</v>
      </c>
      <c r="G5" s="82" t="s">
        <v>103</v>
      </c>
      <c r="H5" s="82" t="s">
        <v>184</v>
      </c>
      <c r="J5" s="65" t="s">
        <v>176</v>
      </c>
      <c r="K5" s="82" t="s">
        <v>103</v>
      </c>
      <c r="L5" s="82" t="s">
        <v>184</v>
      </c>
      <c r="O5" s="82" t="s">
        <v>103</v>
      </c>
      <c r="P5" s="82" t="s">
        <v>184</v>
      </c>
      <c r="S5" s="82" t="s">
        <v>103</v>
      </c>
      <c r="T5" s="82" t="s">
        <v>184</v>
      </c>
      <c r="W5" s="82" t="s">
        <v>103</v>
      </c>
      <c r="X5" s="82" t="s">
        <v>184</v>
      </c>
      <c r="Z5" s="25" t="s">
        <v>189</v>
      </c>
    </row>
    <row r="6" spans="1:26" x14ac:dyDescent="0.25">
      <c r="A6" s="78">
        <v>1</v>
      </c>
      <c r="B6" s="65">
        <v>0</v>
      </c>
      <c r="C6" s="82">
        <v>0</v>
      </c>
      <c r="D6" s="83">
        <f>+B6*C6</f>
        <v>0</v>
      </c>
      <c r="F6" s="65">
        <v>0</v>
      </c>
      <c r="G6" s="82">
        <v>0</v>
      </c>
      <c r="H6" s="83">
        <f>+F6*G6</f>
        <v>0</v>
      </c>
      <c r="J6" s="65">
        <v>0</v>
      </c>
      <c r="K6" s="82">
        <v>0</v>
      </c>
      <c r="L6" s="83">
        <f>+J6*K6</f>
        <v>0</v>
      </c>
      <c r="N6" s="65">
        <v>0</v>
      </c>
      <c r="O6" s="82">
        <v>0</v>
      </c>
      <c r="P6" s="83">
        <f>+N6*O6</f>
        <v>0</v>
      </c>
      <c r="R6" s="65">
        <v>0</v>
      </c>
      <c r="S6" s="82">
        <v>0</v>
      </c>
      <c r="T6" s="83">
        <f>+R6*S6</f>
        <v>0</v>
      </c>
      <c r="V6" s="65">
        <v>0</v>
      </c>
      <c r="W6" s="82">
        <v>0</v>
      </c>
      <c r="X6" s="83">
        <f>+V6*W6</f>
        <v>0</v>
      </c>
      <c r="Z6" s="65">
        <f>SUM(B6,F6,J6,N6,R6,V6)</f>
        <v>0</v>
      </c>
    </row>
    <row r="7" spans="1:26" x14ac:dyDescent="0.25">
      <c r="A7" s="78">
        <f>+A6+1</f>
        <v>2</v>
      </c>
      <c r="B7" s="65">
        <f>+B6</f>
        <v>0</v>
      </c>
      <c r="C7" s="82">
        <f>+C6</f>
        <v>0</v>
      </c>
      <c r="D7" s="83">
        <f t="shared" ref="D7:D36" si="0">+B7*C7</f>
        <v>0</v>
      </c>
      <c r="F7" s="65">
        <f>+F6</f>
        <v>0</v>
      </c>
      <c r="G7" s="82">
        <f>+G6</f>
        <v>0</v>
      </c>
      <c r="H7" s="83">
        <f t="shared" ref="H7:H36" si="1">+F7*G7</f>
        <v>0</v>
      </c>
      <c r="J7" s="65">
        <f>+J6</f>
        <v>0</v>
      </c>
      <c r="K7" s="82">
        <f>+K6</f>
        <v>0</v>
      </c>
      <c r="L7" s="83">
        <f t="shared" ref="L7:L35" si="2">+J7*K7</f>
        <v>0</v>
      </c>
      <c r="N7" s="65">
        <f>+N6</f>
        <v>0</v>
      </c>
      <c r="O7" s="82">
        <f>+O6</f>
        <v>0</v>
      </c>
      <c r="P7" s="83">
        <f t="shared" ref="P7:P35" si="3">+N7*O7</f>
        <v>0</v>
      </c>
      <c r="R7" s="65">
        <f>+R6</f>
        <v>0</v>
      </c>
      <c r="S7" s="82">
        <f>+S6</f>
        <v>0</v>
      </c>
      <c r="T7" s="83">
        <f t="shared" ref="T7:T35" si="4">+R7*S7</f>
        <v>0</v>
      </c>
      <c r="V7" s="65">
        <f>+V6</f>
        <v>0</v>
      </c>
      <c r="W7" s="82">
        <f>+W6</f>
        <v>0</v>
      </c>
      <c r="X7" s="83">
        <f t="shared" ref="X7:X35" si="5">+V7*W7</f>
        <v>0</v>
      </c>
      <c r="Z7" s="65">
        <f t="shared" ref="Z7:Z36" si="6">SUM(B7,F7,J7,N7,R7,V7)</f>
        <v>0</v>
      </c>
    </row>
    <row r="8" spans="1:26" x14ac:dyDescent="0.25">
      <c r="A8" s="78">
        <f t="shared" ref="A8:A34" si="7">+A7+1</f>
        <v>3</v>
      </c>
      <c r="B8" s="65">
        <f t="shared" ref="B8:B36" si="8">+B7</f>
        <v>0</v>
      </c>
      <c r="C8" s="82">
        <f t="shared" ref="C8:C36" si="9">+C7</f>
        <v>0</v>
      </c>
      <c r="D8" s="83">
        <f t="shared" si="0"/>
        <v>0</v>
      </c>
      <c r="F8" s="65">
        <f t="shared" ref="F8:F36" si="10">+F7</f>
        <v>0</v>
      </c>
      <c r="G8" s="82">
        <f t="shared" ref="G8:G36" si="11">+G7</f>
        <v>0</v>
      </c>
      <c r="H8" s="83">
        <f t="shared" si="1"/>
        <v>0</v>
      </c>
      <c r="J8" s="65">
        <f t="shared" ref="J8:J36" si="12">+J7</f>
        <v>0</v>
      </c>
      <c r="K8" s="82">
        <f t="shared" ref="K8:K36" si="13">+K7</f>
        <v>0</v>
      </c>
      <c r="L8" s="83">
        <f t="shared" si="2"/>
        <v>0</v>
      </c>
      <c r="N8" s="65">
        <f t="shared" ref="N8:N36" si="14">+N7</f>
        <v>0</v>
      </c>
      <c r="O8" s="82">
        <f t="shared" ref="O8:O36" si="15">+O7</f>
        <v>0</v>
      </c>
      <c r="P8" s="83">
        <f t="shared" si="3"/>
        <v>0</v>
      </c>
      <c r="R8" s="65">
        <f t="shared" ref="R8:R36" si="16">+R7</f>
        <v>0</v>
      </c>
      <c r="S8" s="82">
        <f t="shared" ref="S8:S36" si="17">+S7</f>
        <v>0</v>
      </c>
      <c r="T8" s="83">
        <f t="shared" si="4"/>
        <v>0</v>
      </c>
      <c r="V8" s="65">
        <f t="shared" ref="V8:V36" si="18">+V7</f>
        <v>0</v>
      </c>
      <c r="W8" s="82">
        <f t="shared" ref="W8:W36" si="19">+W7</f>
        <v>0</v>
      </c>
      <c r="X8" s="83">
        <f t="shared" si="5"/>
        <v>0</v>
      </c>
      <c r="Z8" s="65">
        <f t="shared" si="6"/>
        <v>0</v>
      </c>
    </row>
    <row r="9" spans="1:26" x14ac:dyDescent="0.25">
      <c r="A9" s="78">
        <f t="shared" si="7"/>
        <v>4</v>
      </c>
      <c r="B9" s="65">
        <f t="shared" si="8"/>
        <v>0</v>
      </c>
      <c r="C9" s="82">
        <f t="shared" si="9"/>
        <v>0</v>
      </c>
      <c r="D9" s="83">
        <f t="shared" si="0"/>
        <v>0</v>
      </c>
      <c r="F9" s="65">
        <f t="shared" si="10"/>
        <v>0</v>
      </c>
      <c r="G9" s="82">
        <f t="shared" si="11"/>
        <v>0</v>
      </c>
      <c r="H9" s="83">
        <f t="shared" si="1"/>
        <v>0</v>
      </c>
      <c r="J9" s="65">
        <f t="shared" si="12"/>
        <v>0</v>
      </c>
      <c r="K9" s="82">
        <f t="shared" si="13"/>
        <v>0</v>
      </c>
      <c r="L9" s="83">
        <f t="shared" si="2"/>
        <v>0</v>
      </c>
      <c r="N9" s="65">
        <f t="shared" si="14"/>
        <v>0</v>
      </c>
      <c r="O9" s="82">
        <f t="shared" si="15"/>
        <v>0</v>
      </c>
      <c r="P9" s="83">
        <f t="shared" si="3"/>
        <v>0</v>
      </c>
      <c r="R9" s="65">
        <f t="shared" si="16"/>
        <v>0</v>
      </c>
      <c r="S9" s="82">
        <f t="shared" si="17"/>
        <v>0</v>
      </c>
      <c r="T9" s="83">
        <f t="shared" si="4"/>
        <v>0</v>
      </c>
      <c r="V9" s="65">
        <f t="shared" si="18"/>
        <v>0</v>
      </c>
      <c r="W9" s="82">
        <f t="shared" si="19"/>
        <v>0</v>
      </c>
      <c r="X9" s="83">
        <f t="shared" si="5"/>
        <v>0</v>
      </c>
      <c r="Z9" s="65">
        <f t="shared" si="6"/>
        <v>0</v>
      </c>
    </row>
    <row r="10" spans="1:26" x14ac:dyDescent="0.25">
      <c r="A10" s="78">
        <f t="shared" si="7"/>
        <v>5</v>
      </c>
      <c r="B10" s="65">
        <f t="shared" si="8"/>
        <v>0</v>
      </c>
      <c r="C10" s="82">
        <f t="shared" si="9"/>
        <v>0</v>
      </c>
      <c r="D10" s="83">
        <f t="shared" si="0"/>
        <v>0</v>
      </c>
      <c r="F10" s="65">
        <f t="shared" si="10"/>
        <v>0</v>
      </c>
      <c r="G10" s="82">
        <f t="shared" si="11"/>
        <v>0</v>
      </c>
      <c r="H10" s="83">
        <f t="shared" si="1"/>
        <v>0</v>
      </c>
      <c r="J10" s="65">
        <f>+J9</f>
        <v>0</v>
      </c>
      <c r="K10" s="82">
        <f>+K9</f>
        <v>0</v>
      </c>
      <c r="L10" s="83">
        <f t="shared" si="2"/>
        <v>0</v>
      </c>
      <c r="N10" s="65">
        <f t="shared" si="14"/>
        <v>0</v>
      </c>
      <c r="O10" s="82">
        <f t="shared" si="15"/>
        <v>0</v>
      </c>
      <c r="P10" s="83">
        <f t="shared" si="3"/>
        <v>0</v>
      </c>
      <c r="R10" s="65">
        <f t="shared" si="16"/>
        <v>0</v>
      </c>
      <c r="S10" s="82">
        <f t="shared" si="17"/>
        <v>0</v>
      </c>
      <c r="T10" s="83">
        <f t="shared" si="4"/>
        <v>0</v>
      </c>
      <c r="V10" s="65">
        <f t="shared" si="18"/>
        <v>0</v>
      </c>
      <c r="W10" s="82">
        <f t="shared" si="19"/>
        <v>0</v>
      </c>
      <c r="X10" s="83">
        <f t="shared" si="5"/>
        <v>0</v>
      </c>
      <c r="Z10" s="65">
        <f t="shared" si="6"/>
        <v>0</v>
      </c>
    </row>
    <row r="11" spans="1:26" x14ac:dyDescent="0.25">
      <c r="A11" s="78">
        <f t="shared" si="7"/>
        <v>6</v>
      </c>
      <c r="B11" s="65">
        <f t="shared" si="8"/>
        <v>0</v>
      </c>
      <c r="C11" s="82">
        <f t="shared" si="9"/>
        <v>0</v>
      </c>
      <c r="D11" s="83">
        <f t="shared" si="0"/>
        <v>0</v>
      </c>
      <c r="F11" s="65">
        <f t="shared" si="10"/>
        <v>0</v>
      </c>
      <c r="G11" s="82">
        <f t="shared" si="11"/>
        <v>0</v>
      </c>
      <c r="H11" s="83">
        <f t="shared" si="1"/>
        <v>0</v>
      </c>
      <c r="J11" s="65">
        <f t="shared" si="12"/>
        <v>0</v>
      </c>
      <c r="K11" s="82">
        <f t="shared" si="13"/>
        <v>0</v>
      </c>
      <c r="L11" s="83">
        <f t="shared" si="2"/>
        <v>0</v>
      </c>
      <c r="N11" s="65">
        <f t="shared" si="14"/>
        <v>0</v>
      </c>
      <c r="O11" s="82">
        <f t="shared" si="15"/>
        <v>0</v>
      </c>
      <c r="P11" s="83">
        <f t="shared" si="3"/>
        <v>0</v>
      </c>
      <c r="R11" s="65">
        <f t="shared" si="16"/>
        <v>0</v>
      </c>
      <c r="S11" s="82">
        <f t="shared" si="17"/>
        <v>0</v>
      </c>
      <c r="T11" s="83">
        <f t="shared" si="4"/>
        <v>0</v>
      </c>
      <c r="V11" s="65">
        <f t="shared" si="18"/>
        <v>0</v>
      </c>
      <c r="W11" s="82">
        <f t="shared" si="19"/>
        <v>0</v>
      </c>
      <c r="X11" s="83">
        <f t="shared" si="5"/>
        <v>0</v>
      </c>
      <c r="Z11" s="65">
        <f t="shared" si="6"/>
        <v>0</v>
      </c>
    </row>
    <row r="12" spans="1:26" x14ac:dyDescent="0.25">
      <c r="A12" s="78">
        <f t="shared" si="7"/>
        <v>7</v>
      </c>
      <c r="B12" s="65">
        <f t="shared" si="8"/>
        <v>0</v>
      </c>
      <c r="C12" s="82">
        <f t="shared" si="9"/>
        <v>0</v>
      </c>
      <c r="D12" s="83">
        <f t="shared" si="0"/>
        <v>0</v>
      </c>
      <c r="F12" s="65">
        <f t="shared" si="10"/>
        <v>0</v>
      </c>
      <c r="G12" s="82">
        <f t="shared" si="11"/>
        <v>0</v>
      </c>
      <c r="H12" s="83">
        <f t="shared" si="1"/>
        <v>0</v>
      </c>
      <c r="J12" s="65">
        <f t="shared" si="12"/>
        <v>0</v>
      </c>
      <c r="K12" s="82">
        <f t="shared" si="13"/>
        <v>0</v>
      </c>
      <c r="L12" s="83">
        <f t="shared" si="2"/>
        <v>0</v>
      </c>
      <c r="N12" s="65">
        <f t="shared" si="14"/>
        <v>0</v>
      </c>
      <c r="O12" s="82">
        <f t="shared" si="15"/>
        <v>0</v>
      </c>
      <c r="P12" s="83">
        <f t="shared" si="3"/>
        <v>0</v>
      </c>
      <c r="R12" s="65">
        <f t="shared" si="16"/>
        <v>0</v>
      </c>
      <c r="S12" s="82">
        <f t="shared" si="17"/>
        <v>0</v>
      </c>
      <c r="T12" s="83">
        <f t="shared" si="4"/>
        <v>0</v>
      </c>
      <c r="V12" s="65">
        <f t="shared" si="18"/>
        <v>0</v>
      </c>
      <c r="W12" s="82">
        <f t="shared" si="19"/>
        <v>0</v>
      </c>
      <c r="X12" s="83">
        <f t="shared" si="5"/>
        <v>0</v>
      </c>
      <c r="Z12" s="65">
        <f t="shared" si="6"/>
        <v>0</v>
      </c>
    </row>
    <row r="13" spans="1:26" x14ac:dyDescent="0.25">
      <c r="A13" s="78">
        <f t="shared" si="7"/>
        <v>8</v>
      </c>
      <c r="B13" s="65">
        <f t="shared" si="8"/>
        <v>0</v>
      </c>
      <c r="C13" s="82">
        <f t="shared" si="9"/>
        <v>0</v>
      </c>
      <c r="D13" s="83">
        <f t="shared" si="0"/>
        <v>0</v>
      </c>
      <c r="F13" s="65">
        <f t="shared" si="10"/>
        <v>0</v>
      </c>
      <c r="G13" s="82">
        <f t="shared" si="11"/>
        <v>0</v>
      </c>
      <c r="H13" s="83">
        <f t="shared" si="1"/>
        <v>0</v>
      </c>
      <c r="J13" s="65">
        <f t="shared" si="12"/>
        <v>0</v>
      </c>
      <c r="K13" s="82">
        <f t="shared" si="13"/>
        <v>0</v>
      </c>
      <c r="L13" s="83">
        <f t="shared" si="2"/>
        <v>0</v>
      </c>
      <c r="N13" s="65">
        <f t="shared" si="14"/>
        <v>0</v>
      </c>
      <c r="O13" s="82">
        <f t="shared" si="15"/>
        <v>0</v>
      </c>
      <c r="P13" s="83">
        <f t="shared" si="3"/>
        <v>0</v>
      </c>
      <c r="R13" s="65">
        <f t="shared" si="16"/>
        <v>0</v>
      </c>
      <c r="S13" s="82">
        <f t="shared" si="17"/>
        <v>0</v>
      </c>
      <c r="T13" s="83">
        <f t="shared" si="4"/>
        <v>0</v>
      </c>
      <c r="V13" s="65">
        <f t="shared" si="18"/>
        <v>0</v>
      </c>
      <c r="W13" s="82">
        <f t="shared" si="19"/>
        <v>0</v>
      </c>
      <c r="X13" s="83">
        <f t="shared" si="5"/>
        <v>0</v>
      </c>
      <c r="Z13" s="65">
        <f t="shared" si="6"/>
        <v>0</v>
      </c>
    </row>
    <row r="14" spans="1:26" x14ac:dyDescent="0.25">
      <c r="A14" s="78">
        <f t="shared" si="7"/>
        <v>9</v>
      </c>
      <c r="B14" s="65">
        <f t="shared" si="8"/>
        <v>0</v>
      </c>
      <c r="C14" s="82">
        <f t="shared" si="9"/>
        <v>0</v>
      </c>
      <c r="D14" s="83">
        <f t="shared" si="0"/>
        <v>0</v>
      </c>
      <c r="F14" s="65">
        <f t="shared" si="10"/>
        <v>0</v>
      </c>
      <c r="G14" s="82">
        <f t="shared" si="11"/>
        <v>0</v>
      </c>
      <c r="H14" s="83">
        <f t="shared" si="1"/>
        <v>0</v>
      </c>
      <c r="J14" s="65">
        <f t="shared" si="12"/>
        <v>0</v>
      </c>
      <c r="K14" s="82">
        <f t="shared" si="13"/>
        <v>0</v>
      </c>
      <c r="L14" s="83">
        <f t="shared" si="2"/>
        <v>0</v>
      </c>
      <c r="N14" s="65">
        <f>+N13</f>
        <v>0</v>
      </c>
      <c r="O14" s="82">
        <f>+O13</f>
        <v>0</v>
      </c>
      <c r="P14" s="83">
        <f t="shared" si="3"/>
        <v>0</v>
      </c>
      <c r="R14" s="65">
        <f t="shared" si="16"/>
        <v>0</v>
      </c>
      <c r="S14" s="82">
        <f t="shared" si="17"/>
        <v>0</v>
      </c>
      <c r="T14" s="83">
        <f t="shared" si="4"/>
        <v>0</v>
      </c>
      <c r="V14" s="65">
        <f t="shared" si="18"/>
        <v>0</v>
      </c>
      <c r="W14" s="82">
        <f t="shared" si="19"/>
        <v>0</v>
      </c>
      <c r="X14" s="83">
        <f t="shared" si="5"/>
        <v>0</v>
      </c>
      <c r="Z14" s="65">
        <f t="shared" si="6"/>
        <v>0</v>
      </c>
    </row>
    <row r="15" spans="1:26" x14ac:dyDescent="0.25">
      <c r="A15" s="78">
        <f t="shared" si="7"/>
        <v>10</v>
      </c>
      <c r="B15" s="65">
        <f t="shared" si="8"/>
        <v>0</v>
      </c>
      <c r="C15" s="82">
        <f t="shared" si="9"/>
        <v>0</v>
      </c>
      <c r="D15" s="83">
        <f t="shared" si="0"/>
        <v>0</v>
      </c>
      <c r="F15" s="65">
        <f t="shared" si="10"/>
        <v>0</v>
      </c>
      <c r="G15" s="82">
        <f t="shared" si="11"/>
        <v>0</v>
      </c>
      <c r="H15" s="83">
        <f t="shared" si="1"/>
        <v>0</v>
      </c>
      <c r="J15" s="65">
        <f t="shared" si="12"/>
        <v>0</v>
      </c>
      <c r="K15" s="82">
        <f t="shared" si="13"/>
        <v>0</v>
      </c>
      <c r="L15" s="83">
        <f t="shared" si="2"/>
        <v>0</v>
      </c>
      <c r="N15" s="65">
        <f t="shared" si="14"/>
        <v>0</v>
      </c>
      <c r="O15" s="82">
        <f t="shared" si="15"/>
        <v>0</v>
      </c>
      <c r="P15" s="83">
        <f t="shared" si="3"/>
        <v>0</v>
      </c>
      <c r="R15" s="65">
        <f t="shared" si="16"/>
        <v>0</v>
      </c>
      <c r="S15" s="82">
        <f t="shared" si="17"/>
        <v>0</v>
      </c>
      <c r="T15" s="83">
        <f t="shared" si="4"/>
        <v>0</v>
      </c>
      <c r="V15" s="65">
        <f t="shared" si="18"/>
        <v>0</v>
      </c>
      <c r="W15" s="82">
        <f t="shared" si="19"/>
        <v>0</v>
      </c>
      <c r="X15" s="83">
        <f t="shared" si="5"/>
        <v>0</v>
      </c>
      <c r="Z15" s="65">
        <f t="shared" si="6"/>
        <v>0</v>
      </c>
    </row>
    <row r="16" spans="1:26" x14ac:dyDescent="0.25">
      <c r="A16" s="78">
        <f t="shared" si="7"/>
        <v>11</v>
      </c>
      <c r="B16" s="65">
        <f t="shared" si="8"/>
        <v>0</v>
      </c>
      <c r="C16" s="82">
        <f t="shared" si="9"/>
        <v>0</v>
      </c>
      <c r="D16" s="83">
        <f t="shared" si="0"/>
        <v>0</v>
      </c>
      <c r="F16" s="65">
        <f t="shared" si="10"/>
        <v>0</v>
      </c>
      <c r="G16" s="82">
        <f t="shared" si="11"/>
        <v>0</v>
      </c>
      <c r="H16" s="83">
        <f t="shared" si="1"/>
        <v>0</v>
      </c>
      <c r="J16" s="65">
        <f t="shared" si="12"/>
        <v>0</v>
      </c>
      <c r="K16" s="82">
        <f t="shared" si="13"/>
        <v>0</v>
      </c>
      <c r="L16" s="83">
        <f t="shared" si="2"/>
        <v>0</v>
      </c>
      <c r="N16" s="65">
        <f t="shared" si="14"/>
        <v>0</v>
      </c>
      <c r="O16" s="82">
        <f t="shared" si="15"/>
        <v>0</v>
      </c>
      <c r="P16" s="83">
        <f t="shared" si="3"/>
        <v>0</v>
      </c>
      <c r="R16" s="65">
        <f t="shared" si="16"/>
        <v>0</v>
      </c>
      <c r="S16" s="82">
        <f t="shared" si="17"/>
        <v>0</v>
      </c>
      <c r="T16" s="83">
        <f t="shared" si="4"/>
        <v>0</v>
      </c>
      <c r="V16" s="65">
        <f t="shared" si="18"/>
        <v>0</v>
      </c>
      <c r="W16" s="82">
        <f t="shared" si="19"/>
        <v>0</v>
      </c>
      <c r="X16" s="83">
        <f t="shared" si="5"/>
        <v>0</v>
      </c>
      <c r="Z16" s="65">
        <f t="shared" si="6"/>
        <v>0</v>
      </c>
    </row>
    <row r="17" spans="1:26" x14ac:dyDescent="0.25">
      <c r="A17" s="78">
        <f t="shared" si="7"/>
        <v>12</v>
      </c>
      <c r="B17" s="65">
        <f t="shared" si="8"/>
        <v>0</v>
      </c>
      <c r="C17" s="82">
        <f t="shared" si="9"/>
        <v>0</v>
      </c>
      <c r="D17" s="83">
        <f t="shared" si="0"/>
        <v>0</v>
      </c>
      <c r="F17" s="65">
        <f t="shared" si="10"/>
        <v>0</v>
      </c>
      <c r="G17" s="82">
        <f t="shared" si="11"/>
        <v>0</v>
      </c>
      <c r="H17" s="83">
        <f t="shared" si="1"/>
        <v>0</v>
      </c>
      <c r="J17" s="65">
        <f t="shared" si="12"/>
        <v>0</v>
      </c>
      <c r="K17" s="82">
        <f t="shared" si="13"/>
        <v>0</v>
      </c>
      <c r="L17" s="83">
        <f t="shared" si="2"/>
        <v>0</v>
      </c>
      <c r="N17" s="65">
        <f>+N16</f>
        <v>0</v>
      </c>
      <c r="O17" s="82">
        <f>+O16</f>
        <v>0</v>
      </c>
      <c r="P17" s="83">
        <f t="shared" si="3"/>
        <v>0</v>
      </c>
      <c r="R17" s="65">
        <f t="shared" si="16"/>
        <v>0</v>
      </c>
      <c r="S17" s="82">
        <f t="shared" si="17"/>
        <v>0</v>
      </c>
      <c r="T17" s="83">
        <f t="shared" si="4"/>
        <v>0</v>
      </c>
      <c r="V17" s="65">
        <f t="shared" si="18"/>
        <v>0</v>
      </c>
      <c r="W17" s="82">
        <f t="shared" si="19"/>
        <v>0</v>
      </c>
      <c r="X17" s="83">
        <f t="shared" si="5"/>
        <v>0</v>
      </c>
      <c r="Z17" s="65">
        <f t="shared" si="6"/>
        <v>0</v>
      </c>
    </row>
    <row r="18" spans="1:26" x14ac:dyDescent="0.25">
      <c r="A18" s="78">
        <f t="shared" si="7"/>
        <v>13</v>
      </c>
      <c r="B18" s="65">
        <f t="shared" si="8"/>
        <v>0</v>
      </c>
      <c r="C18" s="82">
        <f t="shared" si="9"/>
        <v>0</v>
      </c>
      <c r="D18" s="83">
        <f t="shared" si="0"/>
        <v>0</v>
      </c>
      <c r="F18" s="65">
        <f t="shared" si="10"/>
        <v>0</v>
      </c>
      <c r="G18" s="82">
        <f t="shared" si="11"/>
        <v>0</v>
      </c>
      <c r="H18" s="83">
        <f t="shared" si="1"/>
        <v>0</v>
      </c>
      <c r="J18" s="65">
        <f t="shared" si="12"/>
        <v>0</v>
      </c>
      <c r="K18" s="82">
        <f t="shared" si="13"/>
        <v>0</v>
      </c>
      <c r="L18" s="83">
        <f t="shared" si="2"/>
        <v>0</v>
      </c>
      <c r="N18" s="65">
        <f t="shared" si="14"/>
        <v>0</v>
      </c>
      <c r="O18" s="82">
        <f t="shared" si="15"/>
        <v>0</v>
      </c>
      <c r="P18" s="83">
        <f t="shared" si="3"/>
        <v>0</v>
      </c>
      <c r="R18" s="65">
        <f t="shared" si="16"/>
        <v>0</v>
      </c>
      <c r="S18" s="82">
        <f t="shared" si="17"/>
        <v>0</v>
      </c>
      <c r="T18" s="83">
        <f t="shared" si="4"/>
        <v>0</v>
      </c>
      <c r="V18" s="65">
        <f t="shared" si="18"/>
        <v>0</v>
      </c>
      <c r="W18" s="82">
        <f t="shared" si="19"/>
        <v>0</v>
      </c>
      <c r="X18" s="83">
        <f t="shared" si="5"/>
        <v>0</v>
      </c>
      <c r="Z18" s="65">
        <f t="shared" si="6"/>
        <v>0</v>
      </c>
    </row>
    <row r="19" spans="1:26" x14ac:dyDescent="0.25">
      <c r="A19" s="78">
        <f t="shared" si="7"/>
        <v>14</v>
      </c>
      <c r="B19" s="65">
        <f t="shared" si="8"/>
        <v>0</v>
      </c>
      <c r="C19" s="82">
        <f t="shared" si="9"/>
        <v>0</v>
      </c>
      <c r="D19" s="83">
        <f t="shared" si="0"/>
        <v>0</v>
      </c>
      <c r="F19" s="65">
        <f t="shared" si="10"/>
        <v>0</v>
      </c>
      <c r="G19" s="82">
        <f t="shared" si="11"/>
        <v>0</v>
      </c>
      <c r="H19" s="83">
        <f t="shared" si="1"/>
        <v>0</v>
      </c>
      <c r="J19" s="65">
        <f t="shared" si="12"/>
        <v>0</v>
      </c>
      <c r="K19" s="82">
        <f t="shared" si="13"/>
        <v>0</v>
      </c>
      <c r="L19" s="83">
        <f t="shared" si="2"/>
        <v>0</v>
      </c>
      <c r="N19" s="65">
        <f t="shared" si="14"/>
        <v>0</v>
      </c>
      <c r="O19" s="82">
        <f t="shared" si="15"/>
        <v>0</v>
      </c>
      <c r="P19" s="83">
        <f t="shared" si="3"/>
        <v>0</v>
      </c>
      <c r="R19" s="65">
        <f t="shared" si="16"/>
        <v>0</v>
      </c>
      <c r="S19" s="82">
        <f t="shared" si="17"/>
        <v>0</v>
      </c>
      <c r="T19" s="83">
        <f t="shared" si="4"/>
        <v>0</v>
      </c>
      <c r="V19" s="65">
        <f t="shared" si="18"/>
        <v>0</v>
      </c>
      <c r="W19" s="82">
        <f t="shared" si="19"/>
        <v>0</v>
      </c>
      <c r="X19" s="83">
        <f t="shared" si="5"/>
        <v>0</v>
      </c>
      <c r="Z19" s="65">
        <f t="shared" si="6"/>
        <v>0</v>
      </c>
    </row>
    <row r="20" spans="1:26" x14ac:dyDescent="0.25">
      <c r="A20" s="78">
        <f t="shared" si="7"/>
        <v>15</v>
      </c>
      <c r="B20" s="65">
        <f t="shared" si="8"/>
        <v>0</v>
      </c>
      <c r="C20" s="82">
        <f t="shared" si="9"/>
        <v>0</v>
      </c>
      <c r="D20" s="83">
        <f t="shared" si="0"/>
        <v>0</v>
      </c>
      <c r="F20" s="65">
        <f t="shared" si="10"/>
        <v>0</v>
      </c>
      <c r="G20" s="82">
        <f t="shared" si="11"/>
        <v>0</v>
      </c>
      <c r="H20" s="83">
        <f t="shared" si="1"/>
        <v>0</v>
      </c>
      <c r="J20" s="65">
        <f t="shared" si="12"/>
        <v>0</v>
      </c>
      <c r="K20" s="82">
        <f t="shared" si="13"/>
        <v>0</v>
      </c>
      <c r="L20" s="83">
        <f t="shared" si="2"/>
        <v>0</v>
      </c>
      <c r="N20" s="65">
        <f t="shared" si="14"/>
        <v>0</v>
      </c>
      <c r="O20" s="82">
        <f t="shared" si="15"/>
        <v>0</v>
      </c>
      <c r="P20" s="83">
        <f t="shared" si="3"/>
        <v>0</v>
      </c>
      <c r="R20" s="65">
        <f t="shared" si="16"/>
        <v>0</v>
      </c>
      <c r="S20" s="82">
        <f t="shared" si="17"/>
        <v>0</v>
      </c>
      <c r="T20" s="83">
        <f t="shared" si="4"/>
        <v>0</v>
      </c>
      <c r="V20" s="65">
        <f t="shared" si="18"/>
        <v>0</v>
      </c>
      <c r="W20" s="82">
        <f t="shared" si="19"/>
        <v>0</v>
      </c>
      <c r="X20" s="83">
        <f t="shared" si="5"/>
        <v>0</v>
      </c>
      <c r="Z20" s="65">
        <f t="shared" si="6"/>
        <v>0</v>
      </c>
    </row>
    <row r="21" spans="1:26" x14ac:dyDescent="0.25">
      <c r="A21" s="78">
        <f t="shared" si="7"/>
        <v>16</v>
      </c>
      <c r="B21" s="65">
        <f t="shared" si="8"/>
        <v>0</v>
      </c>
      <c r="C21" s="82">
        <f t="shared" si="9"/>
        <v>0</v>
      </c>
      <c r="D21" s="83">
        <f t="shared" si="0"/>
        <v>0</v>
      </c>
      <c r="F21" s="65">
        <f t="shared" si="10"/>
        <v>0</v>
      </c>
      <c r="G21" s="82">
        <f t="shared" si="11"/>
        <v>0</v>
      </c>
      <c r="H21" s="83">
        <f t="shared" si="1"/>
        <v>0</v>
      </c>
      <c r="J21" s="65">
        <f t="shared" si="12"/>
        <v>0</v>
      </c>
      <c r="K21" s="82">
        <f t="shared" si="13"/>
        <v>0</v>
      </c>
      <c r="L21" s="83">
        <f t="shared" si="2"/>
        <v>0</v>
      </c>
      <c r="N21" s="65">
        <f t="shared" si="14"/>
        <v>0</v>
      </c>
      <c r="O21" s="82">
        <f t="shared" si="15"/>
        <v>0</v>
      </c>
      <c r="P21" s="83">
        <f t="shared" si="3"/>
        <v>0</v>
      </c>
      <c r="R21" s="65">
        <f t="shared" si="16"/>
        <v>0</v>
      </c>
      <c r="S21" s="82">
        <f t="shared" si="17"/>
        <v>0</v>
      </c>
      <c r="T21" s="83">
        <f t="shared" si="4"/>
        <v>0</v>
      </c>
      <c r="V21" s="65">
        <f t="shared" si="18"/>
        <v>0</v>
      </c>
      <c r="W21" s="82">
        <f t="shared" si="19"/>
        <v>0</v>
      </c>
      <c r="X21" s="83">
        <f t="shared" si="5"/>
        <v>0</v>
      </c>
      <c r="Z21" s="65">
        <f t="shared" si="6"/>
        <v>0</v>
      </c>
    </row>
    <row r="22" spans="1:26" x14ac:dyDescent="0.25">
      <c r="A22" s="78">
        <f t="shared" si="7"/>
        <v>17</v>
      </c>
      <c r="B22" s="65">
        <f t="shared" si="8"/>
        <v>0</v>
      </c>
      <c r="C22" s="82">
        <f t="shared" si="9"/>
        <v>0</v>
      </c>
      <c r="D22" s="83">
        <f t="shared" si="0"/>
        <v>0</v>
      </c>
      <c r="F22" s="65">
        <f t="shared" si="10"/>
        <v>0</v>
      </c>
      <c r="G22" s="82">
        <f t="shared" si="11"/>
        <v>0</v>
      </c>
      <c r="H22" s="83">
        <f t="shared" si="1"/>
        <v>0</v>
      </c>
      <c r="J22" s="65">
        <f t="shared" si="12"/>
        <v>0</v>
      </c>
      <c r="K22" s="82">
        <f t="shared" si="13"/>
        <v>0</v>
      </c>
      <c r="L22" s="83">
        <f t="shared" si="2"/>
        <v>0</v>
      </c>
      <c r="N22" s="65">
        <f t="shared" si="14"/>
        <v>0</v>
      </c>
      <c r="O22" s="82">
        <f t="shared" si="15"/>
        <v>0</v>
      </c>
      <c r="P22" s="83">
        <f t="shared" si="3"/>
        <v>0</v>
      </c>
      <c r="R22" s="65">
        <f t="shared" si="16"/>
        <v>0</v>
      </c>
      <c r="S22" s="82">
        <f t="shared" si="17"/>
        <v>0</v>
      </c>
      <c r="T22" s="83">
        <f t="shared" si="4"/>
        <v>0</v>
      </c>
      <c r="V22" s="65">
        <f t="shared" si="18"/>
        <v>0</v>
      </c>
      <c r="W22" s="82">
        <f t="shared" si="19"/>
        <v>0</v>
      </c>
      <c r="X22" s="83">
        <f t="shared" si="5"/>
        <v>0</v>
      </c>
      <c r="Z22" s="65">
        <f t="shared" si="6"/>
        <v>0</v>
      </c>
    </row>
    <row r="23" spans="1:26" x14ac:dyDescent="0.25">
      <c r="A23" s="78">
        <f t="shared" si="7"/>
        <v>18</v>
      </c>
      <c r="B23" s="65">
        <f t="shared" si="8"/>
        <v>0</v>
      </c>
      <c r="C23" s="82">
        <f t="shared" si="9"/>
        <v>0</v>
      </c>
      <c r="D23" s="83">
        <f t="shared" si="0"/>
        <v>0</v>
      </c>
      <c r="F23" s="65">
        <f t="shared" si="10"/>
        <v>0</v>
      </c>
      <c r="G23" s="82">
        <f t="shared" si="11"/>
        <v>0</v>
      </c>
      <c r="H23" s="83">
        <f t="shared" si="1"/>
        <v>0</v>
      </c>
      <c r="J23" s="65">
        <f t="shared" si="12"/>
        <v>0</v>
      </c>
      <c r="K23" s="82">
        <f t="shared" si="13"/>
        <v>0</v>
      </c>
      <c r="L23" s="83">
        <f t="shared" si="2"/>
        <v>0</v>
      </c>
      <c r="N23" s="65">
        <f t="shared" si="14"/>
        <v>0</v>
      </c>
      <c r="O23" s="82">
        <f t="shared" si="15"/>
        <v>0</v>
      </c>
      <c r="P23" s="83">
        <f t="shared" si="3"/>
        <v>0</v>
      </c>
      <c r="R23" s="65">
        <f t="shared" si="16"/>
        <v>0</v>
      </c>
      <c r="S23" s="82">
        <f t="shared" si="17"/>
        <v>0</v>
      </c>
      <c r="T23" s="83">
        <f t="shared" si="4"/>
        <v>0</v>
      </c>
      <c r="V23" s="65">
        <f t="shared" si="18"/>
        <v>0</v>
      </c>
      <c r="W23" s="82">
        <f t="shared" si="19"/>
        <v>0</v>
      </c>
      <c r="X23" s="83">
        <f t="shared" si="5"/>
        <v>0</v>
      </c>
      <c r="Z23" s="65">
        <f t="shared" si="6"/>
        <v>0</v>
      </c>
    </row>
    <row r="24" spans="1:26" x14ac:dyDescent="0.25">
      <c r="A24" s="78">
        <f t="shared" si="7"/>
        <v>19</v>
      </c>
      <c r="B24" s="65">
        <f t="shared" si="8"/>
        <v>0</v>
      </c>
      <c r="C24" s="82">
        <f t="shared" si="9"/>
        <v>0</v>
      </c>
      <c r="D24" s="83">
        <f t="shared" si="0"/>
        <v>0</v>
      </c>
      <c r="F24" s="65">
        <f t="shared" si="10"/>
        <v>0</v>
      </c>
      <c r="G24" s="82">
        <f t="shared" si="11"/>
        <v>0</v>
      </c>
      <c r="H24" s="83">
        <f t="shared" si="1"/>
        <v>0</v>
      </c>
      <c r="J24" s="65">
        <f t="shared" si="12"/>
        <v>0</v>
      </c>
      <c r="K24" s="82">
        <f t="shared" si="13"/>
        <v>0</v>
      </c>
      <c r="L24" s="83">
        <f t="shared" si="2"/>
        <v>0</v>
      </c>
      <c r="N24" s="65">
        <f t="shared" si="14"/>
        <v>0</v>
      </c>
      <c r="O24" s="82">
        <f t="shared" si="15"/>
        <v>0</v>
      </c>
      <c r="P24" s="83">
        <f t="shared" si="3"/>
        <v>0</v>
      </c>
      <c r="R24" s="65">
        <f t="shared" si="16"/>
        <v>0</v>
      </c>
      <c r="S24" s="82">
        <f t="shared" si="17"/>
        <v>0</v>
      </c>
      <c r="T24" s="83">
        <f t="shared" si="4"/>
        <v>0</v>
      </c>
      <c r="V24" s="65">
        <f t="shared" si="18"/>
        <v>0</v>
      </c>
      <c r="W24" s="82">
        <f t="shared" si="19"/>
        <v>0</v>
      </c>
      <c r="X24" s="83">
        <f t="shared" si="5"/>
        <v>0</v>
      </c>
      <c r="Z24" s="65">
        <f t="shared" si="6"/>
        <v>0</v>
      </c>
    </row>
    <row r="25" spans="1:26" x14ac:dyDescent="0.25">
      <c r="A25" s="78">
        <f t="shared" si="7"/>
        <v>20</v>
      </c>
      <c r="B25" s="65">
        <f t="shared" si="8"/>
        <v>0</v>
      </c>
      <c r="C25" s="82">
        <f t="shared" si="9"/>
        <v>0</v>
      </c>
      <c r="D25" s="83">
        <f t="shared" si="0"/>
        <v>0</v>
      </c>
      <c r="F25" s="65">
        <f t="shared" si="10"/>
        <v>0</v>
      </c>
      <c r="G25" s="82">
        <f t="shared" si="11"/>
        <v>0</v>
      </c>
      <c r="H25" s="83">
        <f t="shared" si="1"/>
        <v>0</v>
      </c>
      <c r="J25" s="65">
        <f t="shared" si="12"/>
        <v>0</v>
      </c>
      <c r="K25" s="82">
        <f t="shared" si="13"/>
        <v>0</v>
      </c>
      <c r="L25" s="83">
        <f t="shared" si="2"/>
        <v>0</v>
      </c>
      <c r="N25" s="65">
        <f t="shared" si="14"/>
        <v>0</v>
      </c>
      <c r="O25" s="82">
        <f t="shared" si="15"/>
        <v>0</v>
      </c>
      <c r="P25" s="83">
        <f t="shared" si="3"/>
        <v>0</v>
      </c>
      <c r="R25" s="65">
        <f>+R24</f>
        <v>0</v>
      </c>
      <c r="S25" s="82">
        <f>+S24</f>
        <v>0</v>
      </c>
      <c r="T25" s="83">
        <f t="shared" si="4"/>
        <v>0</v>
      </c>
      <c r="V25" s="65">
        <f t="shared" si="18"/>
        <v>0</v>
      </c>
      <c r="W25" s="82">
        <f t="shared" si="19"/>
        <v>0</v>
      </c>
      <c r="X25" s="83">
        <f t="shared" si="5"/>
        <v>0</v>
      </c>
      <c r="Z25" s="65">
        <f t="shared" si="6"/>
        <v>0</v>
      </c>
    </row>
    <row r="26" spans="1:26" x14ac:dyDescent="0.25">
      <c r="A26" s="78">
        <f t="shared" si="7"/>
        <v>21</v>
      </c>
      <c r="B26" s="65">
        <f t="shared" si="8"/>
        <v>0</v>
      </c>
      <c r="C26" s="82">
        <f t="shared" si="9"/>
        <v>0</v>
      </c>
      <c r="D26" s="83">
        <f t="shared" si="0"/>
        <v>0</v>
      </c>
      <c r="F26" s="65">
        <f t="shared" si="10"/>
        <v>0</v>
      </c>
      <c r="G26" s="82">
        <f t="shared" si="11"/>
        <v>0</v>
      </c>
      <c r="H26" s="83">
        <f t="shared" si="1"/>
        <v>0</v>
      </c>
      <c r="J26" s="65">
        <f t="shared" si="12"/>
        <v>0</v>
      </c>
      <c r="K26" s="82">
        <f t="shared" si="13"/>
        <v>0</v>
      </c>
      <c r="L26" s="83">
        <f t="shared" si="2"/>
        <v>0</v>
      </c>
      <c r="N26" s="65">
        <f t="shared" si="14"/>
        <v>0</v>
      </c>
      <c r="O26" s="82">
        <f t="shared" si="15"/>
        <v>0</v>
      </c>
      <c r="P26" s="83">
        <f t="shared" si="3"/>
        <v>0</v>
      </c>
      <c r="R26" s="65">
        <f t="shared" si="16"/>
        <v>0</v>
      </c>
      <c r="S26" s="82">
        <f t="shared" si="17"/>
        <v>0</v>
      </c>
      <c r="T26" s="83">
        <f t="shared" si="4"/>
        <v>0</v>
      </c>
      <c r="V26" s="65">
        <f t="shared" si="18"/>
        <v>0</v>
      </c>
      <c r="W26" s="82">
        <f t="shared" si="19"/>
        <v>0</v>
      </c>
      <c r="X26" s="83">
        <f t="shared" si="5"/>
        <v>0</v>
      </c>
      <c r="Z26" s="65">
        <f t="shared" si="6"/>
        <v>0</v>
      </c>
    </row>
    <row r="27" spans="1:26" x14ac:dyDescent="0.25">
      <c r="A27" s="78">
        <f t="shared" si="7"/>
        <v>22</v>
      </c>
      <c r="B27" s="65">
        <f t="shared" si="8"/>
        <v>0</v>
      </c>
      <c r="C27" s="82">
        <f t="shared" si="9"/>
        <v>0</v>
      </c>
      <c r="D27" s="83">
        <f t="shared" si="0"/>
        <v>0</v>
      </c>
      <c r="F27" s="65">
        <f t="shared" si="10"/>
        <v>0</v>
      </c>
      <c r="G27" s="82">
        <f t="shared" si="11"/>
        <v>0</v>
      </c>
      <c r="H27" s="83">
        <f t="shared" si="1"/>
        <v>0</v>
      </c>
      <c r="J27" s="65">
        <f t="shared" si="12"/>
        <v>0</v>
      </c>
      <c r="K27" s="82">
        <f t="shared" si="13"/>
        <v>0</v>
      </c>
      <c r="L27" s="83">
        <f t="shared" si="2"/>
        <v>0</v>
      </c>
      <c r="N27" s="65">
        <f t="shared" si="14"/>
        <v>0</v>
      </c>
      <c r="O27" s="82">
        <f t="shared" si="15"/>
        <v>0</v>
      </c>
      <c r="P27" s="83">
        <f t="shared" si="3"/>
        <v>0</v>
      </c>
      <c r="R27" s="65">
        <f t="shared" si="16"/>
        <v>0</v>
      </c>
      <c r="S27" s="82">
        <f t="shared" si="17"/>
        <v>0</v>
      </c>
      <c r="T27" s="83">
        <f t="shared" si="4"/>
        <v>0</v>
      </c>
      <c r="V27" s="65">
        <f t="shared" si="18"/>
        <v>0</v>
      </c>
      <c r="W27" s="82">
        <f t="shared" si="19"/>
        <v>0</v>
      </c>
      <c r="X27" s="83">
        <f t="shared" si="5"/>
        <v>0</v>
      </c>
      <c r="Z27" s="65">
        <f t="shared" si="6"/>
        <v>0</v>
      </c>
    </row>
    <row r="28" spans="1:26" x14ac:dyDescent="0.25">
      <c r="A28" s="78">
        <f t="shared" si="7"/>
        <v>23</v>
      </c>
      <c r="B28" s="65">
        <f t="shared" si="8"/>
        <v>0</v>
      </c>
      <c r="C28" s="82">
        <f t="shared" si="9"/>
        <v>0</v>
      </c>
      <c r="D28" s="83">
        <f t="shared" si="0"/>
        <v>0</v>
      </c>
      <c r="F28" s="65">
        <f t="shared" si="10"/>
        <v>0</v>
      </c>
      <c r="G28" s="82">
        <f t="shared" si="11"/>
        <v>0</v>
      </c>
      <c r="H28" s="83">
        <f t="shared" si="1"/>
        <v>0</v>
      </c>
      <c r="J28" s="65">
        <f t="shared" si="12"/>
        <v>0</v>
      </c>
      <c r="K28" s="82">
        <f t="shared" si="13"/>
        <v>0</v>
      </c>
      <c r="L28" s="83">
        <f t="shared" si="2"/>
        <v>0</v>
      </c>
      <c r="N28" s="65">
        <f t="shared" si="14"/>
        <v>0</v>
      </c>
      <c r="O28" s="82">
        <f t="shared" si="15"/>
        <v>0</v>
      </c>
      <c r="P28" s="83">
        <f t="shared" si="3"/>
        <v>0</v>
      </c>
      <c r="R28" s="65">
        <f t="shared" si="16"/>
        <v>0</v>
      </c>
      <c r="S28" s="82">
        <f t="shared" si="17"/>
        <v>0</v>
      </c>
      <c r="T28" s="83">
        <f t="shared" si="4"/>
        <v>0</v>
      </c>
      <c r="V28" s="65">
        <f>+V27</f>
        <v>0</v>
      </c>
      <c r="W28" s="82">
        <f>+W27</f>
        <v>0</v>
      </c>
      <c r="X28" s="83">
        <f t="shared" si="5"/>
        <v>0</v>
      </c>
      <c r="Z28" s="65">
        <f t="shared" si="6"/>
        <v>0</v>
      </c>
    </row>
    <row r="29" spans="1:26" x14ac:dyDescent="0.25">
      <c r="A29" s="78">
        <f t="shared" si="7"/>
        <v>24</v>
      </c>
      <c r="B29" s="65">
        <f t="shared" si="8"/>
        <v>0</v>
      </c>
      <c r="C29" s="82">
        <f t="shared" si="9"/>
        <v>0</v>
      </c>
      <c r="D29" s="83">
        <f t="shared" si="0"/>
        <v>0</v>
      </c>
      <c r="F29" s="65">
        <f t="shared" si="10"/>
        <v>0</v>
      </c>
      <c r="G29" s="82">
        <f t="shared" si="11"/>
        <v>0</v>
      </c>
      <c r="H29" s="83">
        <f t="shared" si="1"/>
        <v>0</v>
      </c>
      <c r="J29" s="65">
        <f t="shared" si="12"/>
        <v>0</v>
      </c>
      <c r="K29" s="82">
        <f t="shared" si="13"/>
        <v>0</v>
      </c>
      <c r="L29" s="83">
        <f t="shared" si="2"/>
        <v>0</v>
      </c>
      <c r="N29" s="65">
        <f t="shared" si="14"/>
        <v>0</v>
      </c>
      <c r="O29" s="82">
        <f t="shared" si="15"/>
        <v>0</v>
      </c>
      <c r="P29" s="83">
        <f t="shared" si="3"/>
        <v>0</v>
      </c>
      <c r="R29" s="65">
        <f t="shared" si="16"/>
        <v>0</v>
      </c>
      <c r="S29" s="82">
        <f t="shared" si="17"/>
        <v>0</v>
      </c>
      <c r="T29" s="83">
        <f t="shared" si="4"/>
        <v>0</v>
      </c>
      <c r="V29" s="65">
        <f t="shared" si="18"/>
        <v>0</v>
      </c>
      <c r="W29" s="82">
        <f t="shared" si="19"/>
        <v>0</v>
      </c>
      <c r="X29" s="83">
        <f t="shared" si="5"/>
        <v>0</v>
      </c>
      <c r="Z29" s="65">
        <f t="shared" si="6"/>
        <v>0</v>
      </c>
    </row>
    <row r="30" spans="1:26" x14ac:dyDescent="0.25">
      <c r="A30" s="78">
        <f t="shared" si="7"/>
        <v>25</v>
      </c>
      <c r="B30" s="65">
        <f t="shared" si="8"/>
        <v>0</v>
      </c>
      <c r="C30" s="82">
        <f t="shared" si="9"/>
        <v>0</v>
      </c>
      <c r="D30" s="83">
        <f t="shared" si="0"/>
        <v>0</v>
      </c>
      <c r="F30" s="65">
        <f t="shared" si="10"/>
        <v>0</v>
      </c>
      <c r="G30" s="82">
        <f t="shared" si="11"/>
        <v>0</v>
      </c>
      <c r="H30" s="83">
        <f t="shared" si="1"/>
        <v>0</v>
      </c>
      <c r="J30" s="65">
        <f t="shared" si="12"/>
        <v>0</v>
      </c>
      <c r="K30" s="82">
        <f t="shared" si="13"/>
        <v>0</v>
      </c>
      <c r="L30" s="83">
        <f t="shared" si="2"/>
        <v>0</v>
      </c>
      <c r="N30" s="65">
        <f t="shared" si="14"/>
        <v>0</v>
      </c>
      <c r="O30" s="82">
        <f t="shared" si="15"/>
        <v>0</v>
      </c>
      <c r="P30" s="83">
        <f t="shared" si="3"/>
        <v>0</v>
      </c>
      <c r="R30" s="65">
        <f t="shared" si="16"/>
        <v>0</v>
      </c>
      <c r="S30" s="82">
        <f t="shared" si="17"/>
        <v>0</v>
      </c>
      <c r="T30" s="83">
        <f t="shared" si="4"/>
        <v>0</v>
      </c>
      <c r="V30" s="65">
        <f t="shared" si="18"/>
        <v>0</v>
      </c>
      <c r="W30" s="82">
        <f t="shared" si="19"/>
        <v>0</v>
      </c>
      <c r="X30" s="83">
        <f t="shared" si="5"/>
        <v>0</v>
      </c>
      <c r="Z30" s="65">
        <f t="shared" si="6"/>
        <v>0</v>
      </c>
    </row>
    <row r="31" spans="1:26" x14ac:dyDescent="0.25">
      <c r="A31" s="78">
        <f t="shared" si="7"/>
        <v>26</v>
      </c>
      <c r="B31" s="65">
        <f t="shared" si="8"/>
        <v>0</v>
      </c>
      <c r="C31" s="82">
        <f t="shared" si="9"/>
        <v>0</v>
      </c>
      <c r="D31" s="83">
        <f t="shared" si="0"/>
        <v>0</v>
      </c>
      <c r="F31" s="65">
        <f t="shared" si="10"/>
        <v>0</v>
      </c>
      <c r="G31" s="82">
        <f t="shared" si="11"/>
        <v>0</v>
      </c>
      <c r="H31" s="83">
        <f t="shared" si="1"/>
        <v>0</v>
      </c>
      <c r="J31" s="65">
        <f t="shared" si="12"/>
        <v>0</v>
      </c>
      <c r="K31" s="82">
        <f t="shared" si="13"/>
        <v>0</v>
      </c>
      <c r="L31" s="83">
        <f t="shared" si="2"/>
        <v>0</v>
      </c>
      <c r="N31" s="65">
        <f t="shared" si="14"/>
        <v>0</v>
      </c>
      <c r="O31" s="82">
        <f t="shared" si="15"/>
        <v>0</v>
      </c>
      <c r="P31" s="83">
        <f t="shared" si="3"/>
        <v>0</v>
      </c>
      <c r="R31" s="65">
        <f t="shared" si="16"/>
        <v>0</v>
      </c>
      <c r="S31" s="82">
        <f t="shared" si="17"/>
        <v>0</v>
      </c>
      <c r="T31" s="83">
        <f t="shared" si="4"/>
        <v>0</v>
      </c>
      <c r="V31" s="65">
        <f t="shared" si="18"/>
        <v>0</v>
      </c>
      <c r="W31" s="82">
        <f t="shared" si="19"/>
        <v>0</v>
      </c>
      <c r="X31" s="83">
        <f t="shared" si="5"/>
        <v>0</v>
      </c>
      <c r="Z31" s="65">
        <f t="shared" si="6"/>
        <v>0</v>
      </c>
    </row>
    <row r="32" spans="1:26" x14ac:dyDescent="0.25">
      <c r="A32" s="78">
        <f t="shared" si="7"/>
        <v>27</v>
      </c>
      <c r="B32" s="65">
        <f t="shared" si="8"/>
        <v>0</v>
      </c>
      <c r="C32" s="82">
        <f t="shared" si="9"/>
        <v>0</v>
      </c>
      <c r="D32" s="83">
        <f t="shared" si="0"/>
        <v>0</v>
      </c>
      <c r="F32" s="65">
        <f t="shared" si="10"/>
        <v>0</v>
      </c>
      <c r="G32" s="82">
        <f t="shared" si="11"/>
        <v>0</v>
      </c>
      <c r="H32" s="83">
        <f t="shared" si="1"/>
        <v>0</v>
      </c>
      <c r="J32" s="65">
        <f t="shared" si="12"/>
        <v>0</v>
      </c>
      <c r="K32" s="82">
        <f t="shared" si="13"/>
        <v>0</v>
      </c>
      <c r="L32" s="83">
        <f t="shared" si="2"/>
        <v>0</v>
      </c>
      <c r="N32" s="65">
        <f t="shared" si="14"/>
        <v>0</v>
      </c>
      <c r="O32" s="82">
        <f t="shared" si="15"/>
        <v>0</v>
      </c>
      <c r="P32" s="83">
        <f t="shared" si="3"/>
        <v>0</v>
      </c>
      <c r="R32" s="65">
        <f t="shared" si="16"/>
        <v>0</v>
      </c>
      <c r="S32" s="82">
        <f t="shared" si="17"/>
        <v>0</v>
      </c>
      <c r="T32" s="83">
        <f t="shared" si="4"/>
        <v>0</v>
      </c>
      <c r="V32" s="65">
        <f t="shared" si="18"/>
        <v>0</v>
      </c>
      <c r="W32" s="82">
        <f t="shared" si="19"/>
        <v>0</v>
      </c>
      <c r="X32" s="83">
        <f t="shared" si="5"/>
        <v>0</v>
      </c>
      <c r="Z32" s="65">
        <f t="shared" si="6"/>
        <v>0</v>
      </c>
    </row>
    <row r="33" spans="1:26" x14ac:dyDescent="0.25">
      <c r="A33" s="78">
        <f t="shared" si="7"/>
        <v>28</v>
      </c>
      <c r="B33" s="65">
        <f t="shared" si="8"/>
        <v>0</v>
      </c>
      <c r="C33" s="82">
        <f t="shared" si="9"/>
        <v>0</v>
      </c>
      <c r="D33" s="83">
        <f t="shared" si="0"/>
        <v>0</v>
      </c>
      <c r="F33" s="65">
        <f t="shared" si="10"/>
        <v>0</v>
      </c>
      <c r="G33" s="82">
        <f t="shared" si="11"/>
        <v>0</v>
      </c>
      <c r="H33" s="83">
        <f t="shared" si="1"/>
        <v>0</v>
      </c>
      <c r="J33" s="65">
        <f t="shared" si="12"/>
        <v>0</v>
      </c>
      <c r="K33" s="82">
        <f t="shared" si="13"/>
        <v>0</v>
      </c>
      <c r="L33" s="83">
        <f t="shared" si="2"/>
        <v>0</v>
      </c>
      <c r="N33" s="65">
        <f t="shared" si="14"/>
        <v>0</v>
      </c>
      <c r="O33" s="82">
        <f t="shared" si="15"/>
        <v>0</v>
      </c>
      <c r="P33" s="83">
        <f t="shared" si="3"/>
        <v>0</v>
      </c>
      <c r="R33" s="65">
        <f t="shared" si="16"/>
        <v>0</v>
      </c>
      <c r="S33" s="82">
        <f t="shared" si="17"/>
        <v>0</v>
      </c>
      <c r="T33" s="83">
        <f t="shared" si="4"/>
        <v>0</v>
      </c>
      <c r="V33" s="65">
        <f t="shared" si="18"/>
        <v>0</v>
      </c>
      <c r="W33" s="82">
        <f t="shared" si="19"/>
        <v>0</v>
      </c>
      <c r="X33" s="83">
        <f t="shared" si="5"/>
        <v>0</v>
      </c>
      <c r="Z33" s="65">
        <f t="shared" si="6"/>
        <v>0</v>
      </c>
    </row>
    <row r="34" spans="1:26" x14ac:dyDescent="0.25">
      <c r="A34" s="78">
        <f t="shared" si="7"/>
        <v>29</v>
      </c>
      <c r="B34" s="65">
        <f t="shared" si="8"/>
        <v>0</v>
      </c>
      <c r="C34" s="82">
        <f t="shared" si="9"/>
        <v>0</v>
      </c>
      <c r="D34" s="83">
        <f t="shared" si="0"/>
        <v>0</v>
      </c>
      <c r="F34" s="65">
        <f t="shared" si="10"/>
        <v>0</v>
      </c>
      <c r="G34" s="82">
        <f t="shared" si="11"/>
        <v>0</v>
      </c>
      <c r="H34" s="83">
        <f t="shared" si="1"/>
        <v>0</v>
      </c>
      <c r="J34" s="65">
        <f t="shared" si="12"/>
        <v>0</v>
      </c>
      <c r="K34" s="82">
        <f t="shared" si="13"/>
        <v>0</v>
      </c>
      <c r="L34" s="83">
        <f t="shared" si="2"/>
        <v>0</v>
      </c>
      <c r="N34" s="65">
        <f t="shared" si="14"/>
        <v>0</v>
      </c>
      <c r="O34" s="82">
        <f t="shared" si="15"/>
        <v>0</v>
      </c>
      <c r="P34" s="83">
        <f t="shared" si="3"/>
        <v>0</v>
      </c>
      <c r="R34" s="65">
        <f t="shared" si="16"/>
        <v>0</v>
      </c>
      <c r="S34" s="82">
        <f t="shared" si="17"/>
        <v>0</v>
      </c>
      <c r="T34" s="83">
        <f t="shared" si="4"/>
        <v>0</v>
      </c>
      <c r="V34" s="65">
        <f t="shared" si="18"/>
        <v>0</v>
      </c>
      <c r="W34" s="82">
        <f t="shared" si="19"/>
        <v>0</v>
      </c>
      <c r="X34" s="83">
        <f t="shared" si="5"/>
        <v>0</v>
      </c>
      <c r="Z34" s="65">
        <f t="shared" si="6"/>
        <v>0</v>
      </c>
    </row>
    <row r="35" spans="1:26" x14ac:dyDescent="0.25">
      <c r="A35" s="78">
        <f>+A34+1</f>
        <v>30</v>
      </c>
      <c r="B35" s="65">
        <f t="shared" si="8"/>
        <v>0</v>
      </c>
      <c r="C35" s="82">
        <f t="shared" si="9"/>
        <v>0</v>
      </c>
      <c r="D35" s="83">
        <f t="shared" si="0"/>
        <v>0</v>
      </c>
      <c r="F35" s="65">
        <f t="shared" si="10"/>
        <v>0</v>
      </c>
      <c r="G35" s="82">
        <f t="shared" si="11"/>
        <v>0</v>
      </c>
      <c r="H35" s="83">
        <f t="shared" si="1"/>
        <v>0</v>
      </c>
      <c r="J35" s="65">
        <f t="shared" si="12"/>
        <v>0</v>
      </c>
      <c r="K35" s="82">
        <f t="shared" si="13"/>
        <v>0</v>
      </c>
      <c r="L35" s="83">
        <f t="shared" si="2"/>
        <v>0</v>
      </c>
      <c r="N35" s="65">
        <f t="shared" si="14"/>
        <v>0</v>
      </c>
      <c r="O35" s="82">
        <f t="shared" si="15"/>
        <v>0</v>
      </c>
      <c r="P35" s="83">
        <f t="shared" si="3"/>
        <v>0</v>
      </c>
      <c r="R35" s="65">
        <f t="shared" si="16"/>
        <v>0</v>
      </c>
      <c r="S35" s="82">
        <f t="shared" si="17"/>
        <v>0</v>
      </c>
      <c r="T35" s="83">
        <f t="shared" si="4"/>
        <v>0</v>
      </c>
      <c r="V35" s="65">
        <f t="shared" si="18"/>
        <v>0</v>
      </c>
      <c r="W35" s="82">
        <f t="shared" si="19"/>
        <v>0</v>
      </c>
      <c r="X35" s="83">
        <f t="shared" si="5"/>
        <v>0</v>
      </c>
      <c r="Z35" s="65">
        <f t="shared" si="6"/>
        <v>0</v>
      </c>
    </row>
    <row r="36" spans="1:26" x14ac:dyDescent="0.25">
      <c r="A36" s="78">
        <v>31</v>
      </c>
      <c r="B36" s="65">
        <f t="shared" si="8"/>
        <v>0</v>
      </c>
      <c r="C36" s="82">
        <f t="shared" si="9"/>
        <v>0</v>
      </c>
      <c r="D36" s="83">
        <f t="shared" si="0"/>
        <v>0</v>
      </c>
      <c r="F36" s="65">
        <f t="shared" si="10"/>
        <v>0</v>
      </c>
      <c r="G36" s="82">
        <f t="shared" si="11"/>
        <v>0</v>
      </c>
      <c r="H36" s="83">
        <f t="shared" si="1"/>
        <v>0</v>
      </c>
      <c r="J36" s="65">
        <f t="shared" si="12"/>
        <v>0</v>
      </c>
      <c r="K36" s="82">
        <f t="shared" si="13"/>
        <v>0</v>
      </c>
      <c r="L36" s="83">
        <f>+J36*K36</f>
        <v>0</v>
      </c>
      <c r="N36" s="65">
        <f t="shared" si="14"/>
        <v>0</v>
      </c>
      <c r="O36" s="82">
        <f t="shared" si="15"/>
        <v>0</v>
      </c>
      <c r="P36" s="83">
        <f>+N36*O36</f>
        <v>0</v>
      </c>
      <c r="R36" s="65">
        <f t="shared" si="16"/>
        <v>0</v>
      </c>
      <c r="S36" s="82">
        <f t="shared" si="17"/>
        <v>0</v>
      </c>
      <c r="T36" s="83">
        <f>+R36*S36</f>
        <v>0</v>
      </c>
      <c r="V36" s="65">
        <f t="shared" si="18"/>
        <v>0</v>
      </c>
      <c r="W36" s="82">
        <f t="shared" si="19"/>
        <v>0</v>
      </c>
      <c r="X36" s="83">
        <f>+V36*W36</f>
        <v>0</v>
      </c>
      <c r="Z36" s="65">
        <f t="shared" si="6"/>
        <v>0</v>
      </c>
    </row>
    <row r="37" spans="1:26" x14ac:dyDescent="0.25">
      <c r="A37" s="78"/>
    </row>
    <row r="38" spans="1:26" x14ac:dyDescent="0.25">
      <c r="A38" s="78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48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1" sqref="E11"/>
    </sheetView>
  </sheetViews>
  <sheetFormatPr defaultColWidth="9.109375" defaultRowHeight="13.2" x14ac:dyDescent="0.25"/>
  <cols>
    <col min="1" max="1" width="5.6640625" style="80" customWidth="1"/>
    <col min="2" max="3" width="11" style="80" customWidth="1"/>
    <col min="4" max="4" width="4.6640625" style="80" customWidth="1"/>
    <col min="5" max="5" width="12.88671875" style="80" customWidth="1"/>
    <col min="6" max="9" width="10.44140625" style="80" customWidth="1"/>
    <col min="10" max="10" width="3.33203125" style="80" customWidth="1"/>
    <col min="11" max="11" width="12.88671875" style="80" customWidth="1"/>
    <col min="12" max="12" width="9.109375" style="80"/>
    <col min="13" max="13" width="11" style="80" customWidth="1"/>
    <col min="14" max="15" width="12.88671875" style="80" customWidth="1"/>
    <col min="16" max="16" width="10.33203125" style="80" customWidth="1"/>
    <col min="17" max="17" width="3.5546875" style="80" customWidth="1"/>
    <col min="18" max="18" width="10.33203125" style="80" customWidth="1"/>
    <col min="19" max="19" width="3.5546875" style="80" customWidth="1"/>
    <col min="20" max="20" width="13" style="80" customWidth="1"/>
    <col min="21" max="21" width="3.5546875" style="80" customWidth="1"/>
    <col min="22" max="22" width="14.44140625" style="80" customWidth="1"/>
    <col min="23" max="23" width="3.5546875" style="80" customWidth="1"/>
    <col min="24" max="24" width="13.88671875" style="91" customWidth="1"/>
    <col min="25" max="34" width="9.109375" style="80"/>
    <col min="35" max="35" width="11.88671875" style="80" customWidth="1"/>
    <col min="36" max="16384" width="9.109375" style="80"/>
  </cols>
  <sheetData>
    <row r="2" spans="1:35" s="78" customFormat="1" x14ac:dyDescent="0.25">
      <c r="X2" s="84"/>
    </row>
    <row r="3" spans="1:35" x14ac:dyDescent="0.25">
      <c r="A3" s="78"/>
      <c r="B3" s="78" t="s">
        <v>192</v>
      </c>
      <c r="C3" s="78" t="s">
        <v>208</v>
      </c>
      <c r="D3" s="78"/>
      <c r="E3" s="85">
        <v>456379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 t="s">
        <v>195</v>
      </c>
      <c r="S3" s="78"/>
      <c r="T3" s="78"/>
      <c r="V3" s="78"/>
      <c r="X3" s="84"/>
      <c r="Y3" s="80" t="s">
        <v>225</v>
      </c>
    </row>
    <row r="4" spans="1:35" x14ac:dyDescent="0.25">
      <c r="A4" s="78"/>
      <c r="B4" s="78" t="s">
        <v>178</v>
      </c>
      <c r="C4" s="78" t="s">
        <v>178</v>
      </c>
      <c r="D4" s="78"/>
      <c r="E4" s="86" t="s">
        <v>90</v>
      </c>
      <c r="F4" s="87" t="s">
        <v>90</v>
      </c>
      <c r="G4" s="79"/>
      <c r="H4" s="79" t="s">
        <v>28</v>
      </c>
      <c r="I4" s="79" t="s">
        <v>80</v>
      </c>
      <c r="J4" s="79"/>
      <c r="K4" s="78" t="s">
        <v>179</v>
      </c>
      <c r="L4" s="78"/>
      <c r="M4" s="78"/>
      <c r="N4" s="78"/>
      <c r="O4" s="78"/>
      <c r="P4" s="78" t="s">
        <v>193</v>
      </c>
      <c r="Q4" s="78"/>
      <c r="R4" s="78" t="s">
        <v>194</v>
      </c>
      <c r="S4" s="78"/>
      <c r="T4" s="78" t="s">
        <v>102</v>
      </c>
      <c r="V4" s="78" t="s">
        <v>101</v>
      </c>
      <c r="X4" s="84"/>
      <c r="Y4" s="80" t="s">
        <v>192</v>
      </c>
      <c r="AA4" s="80" t="s">
        <v>209</v>
      </c>
    </row>
    <row r="5" spans="1:35" x14ac:dyDescent="0.25">
      <c r="A5" s="78"/>
      <c r="B5" s="154">
        <v>649352</v>
      </c>
      <c r="C5" s="103">
        <v>657466</v>
      </c>
      <c r="D5" s="78"/>
      <c r="E5" s="88" t="s">
        <v>93</v>
      </c>
      <c r="F5" s="89" t="s">
        <v>94</v>
      </c>
      <c r="G5" s="79"/>
      <c r="H5" s="79" t="s">
        <v>75</v>
      </c>
      <c r="I5" s="79" t="s">
        <v>75</v>
      </c>
      <c r="J5" s="79"/>
      <c r="K5" s="78" t="s">
        <v>180</v>
      </c>
      <c r="L5" s="78"/>
      <c r="M5" s="78" t="s">
        <v>177</v>
      </c>
      <c r="N5" s="78" t="s">
        <v>190</v>
      </c>
      <c r="O5" s="78" t="s">
        <v>175</v>
      </c>
      <c r="P5" s="90" t="s">
        <v>177</v>
      </c>
      <c r="Q5" s="78"/>
      <c r="R5" s="104">
        <f>+B5</f>
        <v>649352</v>
      </c>
      <c r="S5" s="78"/>
      <c r="T5" s="78" t="s">
        <v>185</v>
      </c>
      <c r="V5" s="78" t="s">
        <v>186</v>
      </c>
      <c r="X5" s="84" t="s">
        <v>92</v>
      </c>
      <c r="Y5" s="80" t="s">
        <v>103</v>
      </c>
      <c r="AA5" s="80" t="s">
        <v>262</v>
      </c>
      <c r="AB5" s="80" t="s">
        <v>258</v>
      </c>
      <c r="AC5" s="80" t="s">
        <v>261</v>
      </c>
    </row>
    <row r="6" spans="1:35" s="157" customFormat="1" x14ac:dyDescent="0.25">
      <c r="A6" s="155">
        <v>1</v>
      </c>
      <c r="B6" s="155">
        <v>63357</v>
      </c>
      <c r="C6" s="155">
        <v>11621</v>
      </c>
      <c r="D6" s="155"/>
      <c r="E6" s="155">
        <v>49986</v>
      </c>
      <c r="F6" s="155">
        <f t="shared" ref="F6:F12" si="0">ROUND(+E6*(1-0.02184),0)</f>
        <v>48894</v>
      </c>
      <c r="G6" s="155"/>
      <c r="H6" s="155">
        <v>140099</v>
      </c>
      <c r="I6" s="155">
        <f>IF(B6-H6&gt;0,+B6-H6,0)</f>
        <v>0</v>
      </c>
      <c r="J6" s="155"/>
      <c r="K6" s="155">
        <f>+B6+C6-F6</f>
        <v>26084</v>
      </c>
      <c r="L6" s="155"/>
      <c r="M6" s="155">
        <v>15553</v>
      </c>
      <c r="N6" s="155">
        <f>SUM('3rd Party Deals'!T6)</f>
        <v>10028</v>
      </c>
      <c r="O6" s="155">
        <f>SUM('Spot wENA'!Z6)</f>
        <v>0</v>
      </c>
      <c r="P6" s="156">
        <f>SUM(M6:O6)</f>
        <v>25581</v>
      </c>
      <c r="Q6" s="155"/>
      <c r="R6" s="156">
        <f>IF(T6&gt;0,+B6-T6,0)</f>
        <v>62854</v>
      </c>
      <c r="S6" s="155"/>
      <c r="T6" s="155">
        <f>IF(K6-P6&gt;0,K6-P6,0)</f>
        <v>503</v>
      </c>
      <c r="V6" s="155">
        <f>IF(P6-K6&gt;0,P6-K6,0)</f>
        <v>0</v>
      </c>
      <c r="X6" s="158"/>
      <c r="Y6" s="158">
        <f>ROUND((+X6+0.01)/(1-0.02184)+0.0227,2)</f>
        <v>0.03</v>
      </c>
      <c r="AA6" s="157">
        <v>50765</v>
      </c>
      <c r="AB6" s="157">
        <v>7282</v>
      </c>
      <c r="AC6" s="157" t="s">
        <v>272</v>
      </c>
      <c r="AE6" s="157">
        <f>+F6-AA6</f>
        <v>-1871</v>
      </c>
      <c r="AF6" s="157" t="e">
        <f t="shared" ref="AF6:AF15" si="1">+T6-AC6</f>
        <v>#VALUE!</v>
      </c>
      <c r="AH6" s="157">
        <f>10.8-Y6</f>
        <v>10.770000000000001</v>
      </c>
      <c r="AI6" s="159">
        <f>+AH6*T6</f>
        <v>5417.31</v>
      </c>
    </row>
    <row r="7" spans="1:35" s="157" customFormat="1" x14ac:dyDescent="0.25">
      <c r="A7" s="155">
        <f>+A6+1</f>
        <v>2</v>
      </c>
      <c r="B7" s="155">
        <v>74902</v>
      </c>
      <c r="C7" s="155">
        <f>+C6</f>
        <v>11621</v>
      </c>
      <c r="D7" s="155"/>
      <c r="E7" s="155">
        <v>61791</v>
      </c>
      <c r="F7" s="155">
        <f t="shared" si="0"/>
        <v>60441</v>
      </c>
      <c r="G7" s="155"/>
      <c r="H7" s="155">
        <f>+H6</f>
        <v>140099</v>
      </c>
      <c r="I7" s="155">
        <f t="shared" ref="I7:I33" si="2">IF(B7-H7&gt;0,+B7-H7,0)</f>
        <v>0</v>
      </c>
      <c r="J7" s="155"/>
      <c r="K7" s="155">
        <f t="shared" ref="K7:K33" si="3">+B7+C7-F7</f>
        <v>26082</v>
      </c>
      <c r="L7" s="155"/>
      <c r="M7" s="155">
        <f>+M6</f>
        <v>15553</v>
      </c>
      <c r="N7" s="155">
        <f>SUM('3rd Party Deals'!T7)</f>
        <v>10028</v>
      </c>
      <c r="O7" s="155">
        <f>SUM('Spot wENA'!Z7)</f>
        <v>0</v>
      </c>
      <c r="P7" s="156">
        <f>SUM(M7:O7)</f>
        <v>25581</v>
      </c>
      <c r="Q7" s="155"/>
      <c r="R7" s="156">
        <f t="shared" ref="R7:R33" si="4">IF(T7&gt;0,+B7-T7,0)</f>
        <v>74401</v>
      </c>
      <c r="S7" s="155"/>
      <c r="T7" s="155">
        <f t="shared" ref="T7:T33" si="5">IF(K7-P7&gt;0,K7-P7,0)</f>
        <v>501</v>
      </c>
      <c r="V7" s="155">
        <f t="shared" ref="V7:V33" si="6">IF(P7-K7&gt;0,P7-K7,0)</f>
        <v>0</v>
      </c>
      <c r="X7" s="158"/>
      <c r="Y7" s="158">
        <f t="shared" ref="Y7:Y36" si="7">ROUND((+X7+0.01)/(1-0.02184)+0.0227,2)</f>
        <v>0.03</v>
      </c>
      <c r="AA7" s="157">
        <v>82932</v>
      </c>
      <c r="AB7" s="157">
        <v>7282</v>
      </c>
      <c r="AC7" s="157">
        <v>-566</v>
      </c>
      <c r="AE7" s="157">
        <f t="shared" ref="AE7:AE19" si="8">+F7-AA7</f>
        <v>-22491</v>
      </c>
      <c r="AF7" s="157">
        <f t="shared" si="1"/>
        <v>1067</v>
      </c>
      <c r="AH7" s="157">
        <f t="shared" ref="AH7:AH16" si="9">10.8-Y7</f>
        <v>10.770000000000001</v>
      </c>
      <c r="AI7" s="159">
        <f t="shared" ref="AI7:AI16" si="10">+AH7*T7</f>
        <v>5395.77</v>
      </c>
    </row>
    <row r="8" spans="1:35" s="157" customFormat="1" x14ac:dyDescent="0.25">
      <c r="A8" s="155">
        <f t="shared" ref="A8:A33" si="11">+A7+1</f>
        <v>3</v>
      </c>
      <c r="B8" s="155">
        <v>82646</v>
      </c>
      <c r="C8" s="155">
        <f t="shared" ref="C8:C36" si="12">+C7</f>
        <v>11621</v>
      </c>
      <c r="D8" s="155"/>
      <c r="E8" s="155">
        <v>69707</v>
      </c>
      <c r="F8" s="155">
        <f t="shared" si="0"/>
        <v>68185</v>
      </c>
      <c r="G8" s="155"/>
      <c r="H8" s="155">
        <f t="shared" ref="H8:H33" si="13">+H7</f>
        <v>140099</v>
      </c>
      <c r="I8" s="155">
        <f t="shared" si="2"/>
        <v>0</v>
      </c>
      <c r="J8" s="155"/>
      <c r="K8" s="155">
        <f t="shared" si="3"/>
        <v>26082</v>
      </c>
      <c r="L8" s="155"/>
      <c r="M8" s="155">
        <f t="shared" ref="M8:M33" si="14">+M7</f>
        <v>15553</v>
      </c>
      <c r="N8" s="155">
        <f>SUM('3rd Party Deals'!T8)</f>
        <v>10028</v>
      </c>
      <c r="O8" s="155">
        <f>SUM('Spot wENA'!Z8)</f>
        <v>0</v>
      </c>
      <c r="P8" s="156">
        <f t="shared" ref="P8:P33" si="15">SUM(M8:O8)</f>
        <v>25581</v>
      </c>
      <c r="Q8" s="155"/>
      <c r="R8" s="156">
        <f t="shared" si="4"/>
        <v>82145</v>
      </c>
      <c r="S8" s="155"/>
      <c r="T8" s="155">
        <f t="shared" si="5"/>
        <v>501</v>
      </c>
      <c r="V8" s="155">
        <f t="shared" si="6"/>
        <v>0</v>
      </c>
      <c r="X8" s="158"/>
      <c r="Y8" s="158">
        <f t="shared" si="7"/>
        <v>0.03</v>
      </c>
      <c r="AA8" s="157">
        <v>62086</v>
      </c>
      <c r="AB8" s="157">
        <v>7282</v>
      </c>
      <c r="AC8" s="157">
        <v>-566</v>
      </c>
      <c r="AE8" s="157">
        <f t="shared" si="8"/>
        <v>6099</v>
      </c>
      <c r="AF8" s="157">
        <f t="shared" si="1"/>
        <v>1067</v>
      </c>
      <c r="AH8" s="157">
        <f t="shared" si="9"/>
        <v>10.770000000000001</v>
      </c>
      <c r="AI8" s="159">
        <f t="shared" si="10"/>
        <v>5395.77</v>
      </c>
    </row>
    <row r="9" spans="1:35" s="157" customFormat="1" x14ac:dyDescent="0.25">
      <c r="A9" s="155">
        <f t="shared" si="11"/>
        <v>4</v>
      </c>
      <c r="B9" s="155">
        <v>77711</v>
      </c>
      <c r="C9" s="155">
        <f t="shared" si="12"/>
        <v>11621</v>
      </c>
      <c r="D9" s="155"/>
      <c r="E9" s="155">
        <v>64662</v>
      </c>
      <c r="F9" s="155">
        <f t="shared" si="0"/>
        <v>63250</v>
      </c>
      <c r="G9" s="155"/>
      <c r="H9" s="155">
        <f t="shared" si="13"/>
        <v>140099</v>
      </c>
      <c r="I9" s="155">
        <f t="shared" si="2"/>
        <v>0</v>
      </c>
      <c r="J9" s="155"/>
      <c r="K9" s="155">
        <f t="shared" si="3"/>
        <v>26082</v>
      </c>
      <c r="L9" s="155"/>
      <c r="M9" s="155">
        <f t="shared" si="14"/>
        <v>15553</v>
      </c>
      <c r="N9" s="155">
        <f>SUM('3rd Party Deals'!T9)</f>
        <v>10028</v>
      </c>
      <c r="O9" s="155">
        <f>SUM('Spot wENA'!Z9)</f>
        <v>0</v>
      </c>
      <c r="P9" s="156">
        <f t="shared" si="15"/>
        <v>25581</v>
      </c>
      <c r="Q9" s="155"/>
      <c r="R9" s="156">
        <f t="shared" si="4"/>
        <v>77210</v>
      </c>
      <c r="S9" s="155"/>
      <c r="T9" s="155">
        <f t="shared" si="5"/>
        <v>501</v>
      </c>
      <c r="V9" s="155">
        <f t="shared" si="6"/>
        <v>0</v>
      </c>
      <c r="X9" s="158"/>
      <c r="Y9" s="158">
        <f t="shared" si="7"/>
        <v>0.03</v>
      </c>
      <c r="AA9" s="157">
        <v>38139</v>
      </c>
      <c r="AB9" s="157">
        <v>7282</v>
      </c>
      <c r="AC9" s="157">
        <v>-566</v>
      </c>
      <c r="AE9" s="157">
        <f t="shared" si="8"/>
        <v>25111</v>
      </c>
      <c r="AF9" s="157">
        <f t="shared" si="1"/>
        <v>1067</v>
      </c>
      <c r="AH9" s="157">
        <f t="shared" si="9"/>
        <v>10.770000000000001</v>
      </c>
      <c r="AI9" s="159">
        <f t="shared" si="10"/>
        <v>5395.77</v>
      </c>
    </row>
    <row r="10" spans="1:35" s="157" customFormat="1" x14ac:dyDescent="0.25">
      <c r="A10" s="155">
        <f t="shared" si="11"/>
        <v>5</v>
      </c>
      <c r="B10" s="155">
        <v>84890</v>
      </c>
      <c r="C10" s="155">
        <f t="shared" si="12"/>
        <v>11621</v>
      </c>
      <c r="D10" s="155"/>
      <c r="E10" s="155">
        <v>72002</v>
      </c>
      <c r="F10" s="155">
        <f t="shared" si="0"/>
        <v>70429</v>
      </c>
      <c r="G10" s="155"/>
      <c r="H10" s="155">
        <f t="shared" si="13"/>
        <v>140099</v>
      </c>
      <c r="I10" s="155">
        <f t="shared" si="2"/>
        <v>0</v>
      </c>
      <c r="J10" s="155"/>
      <c r="K10" s="155">
        <f t="shared" si="3"/>
        <v>26082</v>
      </c>
      <c r="L10" s="155"/>
      <c r="M10" s="155">
        <f t="shared" si="14"/>
        <v>15553</v>
      </c>
      <c r="N10" s="155">
        <f>SUM('3rd Party Deals'!T10)</f>
        <v>10028</v>
      </c>
      <c r="O10" s="155">
        <f>SUM('Spot wENA'!Z10)</f>
        <v>0</v>
      </c>
      <c r="P10" s="156">
        <f t="shared" si="15"/>
        <v>25581</v>
      </c>
      <c r="Q10" s="155"/>
      <c r="R10" s="156">
        <f t="shared" si="4"/>
        <v>84389</v>
      </c>
      <c r="S10" s="155"/>
      <c r="T10" s="155">
        <f t="shared" si="5"/>
        <v>501</v>
      </c>
      <c r="V10" s="155">
        <f t="shared" si="6"/>
        <v>0</v>
      </c>
      <c r="X10" s="158"/>
      <c r="Y10" s="158">
        <f t="shared" si="7"/>
        <v>0.03</v>
      </c>
      <c r="AA10" s="157">
        <v>45668</v>
      </c>
      <c r="AB10" s="157">
        <v>7282</v>
      </c>
      <c r="AC10" s="157">
        <v>-566</v>
      </c>
      <c r="AE10" s="157">
        <f t="shared" si="8"/>
        <v>24761</v>
      </c>
      <c r="AF10" s="157">
        <f t="shared" si="1"/>
        <v>1067</v>
      </c>
      <c r="AH10" s="157">
        <f t="shared" si="9"/>
        <v>10.770000000000001</v>
      </c>
      <c r="AI10" s="159">
        <f t="shared" si="10"/>
        <v>5395.77</v>
      </c>
    </row>
    <row r="11" spans="1:35" x14ac:dyDescent="0.25">
      <c r="A11" s="78">
        <f t="shared" si="11"/>
        <v>6</v>
      </c>
      <c r="B11" s="78">
        <v>75676</v>
      </c>
      <c r="C11" s="78">
        <f t="shared" si="12"/>
        <v>11621</v>
      </c>
      <c r="D11" s="78"/>
      <c r="E11" s="78">
        <v>62583</v>
      </c>
      <c r="F11" s="78">
        <f t="shared" si="0"/>
        <v>61216</v>
      </c>
      <c r="G11" s="78"/>
      <c r="H11" s="78">
        <f t="shared" si="13"/>
        <v>140099</v>
      </c>
      <c r="I11" s="78">
        <f t="shared" si="2"/>
        <v>0</v>
      </c>
      <c r="J11" s="78"/>
      <c r="K11" s="78">
        <f t="shared" si="3"/>
        <v>26081</v>
      </c>
      <c r="L11" s="78"/>
      <c r="M11" s="78">
        <f t="shared" si="14"/>
        <v>15553</v>
      </c>
      <c r="N11" s="78">
        <f>SUM('3rd Party Deals'!T11)</f>
        <v>10028</v>
      </c>
      <c r="O11" s="78">
        <f>SUM('Spot wENA'!Z11)</f>
        <v>0</v>
      </c>
      <c r="P11" s="79">
        <f t="shared" si="15"/>
        <v>25581</v>
      </c>
      <c r="Q11" s="78"/>
      <c r="R11" s="79">
        <f t="shared" si="4"/>
        <v>75176</v>
      </c>
      <c r="S11" s="78"/>
      <c r="T11" s="78">
        <f t="shared" si="5"/>
        <v>500</v>
      </c>
      <c r="V11" s="78">
        <f t="shared" si="6"/>
        <v>0</v>
      </c>
      <c r="X11" s="81"/>
      <c r="Y11" s="81">
        <f t="shared" si="7"/>
        <v>0.03</v>
      </c>
      <c r="AA11" s="80">
        <v>54979</v>
      </c>
      <c r="AB11" s="80">
        <v>7282</v>
      </c>
      <c r="AC11" s="80">
        <v>-566</v>
      </c>
      <c r="AE11" s="80">
        <f t="shared" si="8"/>
        <v>6237</v>
      </c>
      <c r="AF11" s="80">
        <f t="shared" si="1"/>
        <v>1066</v>
      </c>
      <c r="AH11" s="80">
        <f t="shared" si="9"/>
        <v>10.770000000000001</v>
      </c>
      <c r="AI11" s="92">
        <f t="shared" si="10"/>
        <v>5385.0000000000009</v>
      </c>
    </row>
    <row r="12" spans="1:35" x14ac:dyDescent="0.25">
      <c r="A12" s="78">
        <f t="shared" si="11"/>
        <v>7</v>
      </c>
      <c r="B12" s="78">
        <f t="shared" ref="B12:B36" si="16">+B11</f>
        <v>75676</v>
      </c>
      <c r="C12" s="78">
        <v>0</v>
      </c>
      <c r="D12" s="78"/>
      <c r="E12" s="78">
        <f t="shared" ref="E12:E36" si="17">+E11</f>
        <v>62583</v>
      </c>
      <c r="F12" s="78">
        <f t="shared" si="0"/>
        <v>61216</v>
      </c>
      <c r="G12" s="78"/>
      <c r="H12" s="78">
        <f t="shared" si="13"/>
        <v>140099</v>
      </c>
      <c r="I12" s="78">
        <f t="shared" si="2"/>
        <v>0</v>
      </c>
      <c r="J12" s="78"/>
      <c r="K12" s="78">
        <f t="shared" si="3"/>
        <v>14460</v>
      </c>
      <c r="L12" s="78"/>
      <c r="M12" s="78">
        <f t="shared" si="14"/>
        <v>15553</v>
      </c>
      <c r="N12" s="78">
        <f>SUM('3rd Party Deals'!T12)</f>
        <v>25109</v>
      </c>
      <c r="O12" s="78">
        <f>SUM('Spot wENA'!Z12)</f>
        <v>0</v>
      </c>
      <c r="P12" s="79">
        <f t="shared" si="15"/>
        <v>40662</v>
      </c>
      <c r="Q12" s="78"/>
      <c r="R12" s="79">
        <f t="shared" si="4"/>
        <v>0</v>
      </c>
      <c r="S12" s="78"/>
      <c r="T12" s="78">
        <f t="shared" si="5"/>
        <v>0</v>
      </c>
      <c r="V12" s="78">
        <f t="shared" si="6"/>
        <v>26202</v>
      </c>
      <c r="X12" s="81"/>
      <c r="Y12" s="81">
        <f t="shared" si="7"/>
        <v>0.03</v>
      </c>
      <c r="AE12" s="80">
        <f t="shared" si="8"/>
        <v>61216</v>
      </c>
      <c r="AF12" s="80">
        <f t="shared" si="1"/>
        <v>0</v>
      </c>
      <c r="AH12" s="80">
        <f t="shared" si="9"/>
        <v>10.770000000000001</v>
      </c>
      <c r="AI12" s="92">
        <f t="shared" si="10"/>
        <v>0</v>
      </c>
    </row>
    <row r="13" spans="1:35" x14ac:dyDescent="0.25">
      <c r="A13" s="78">
        <f t="shared" si="11"/>
        <v>8</v>
      </c>
      <c r="B13" s="78">
        <f t="shared" si="16"/>
        <v>75676</v>
      </c>
      <c r="C13" s="78">
        <f t="shared" si="12"/>
        <v>0</v>
      </c>
      <c r="D13" s="78"/>
      <c r="E13" s="78">
        <f t="shared" si="17"/>
        <v>62583</v>
      </c>
      <c r="F13" s="78">
        <f t="shared" ref="F13:F36" si="18">ROUND(+E13*(1-0.02184),0)</f>
        <v>61216</v>
      </c>
      <c r="G13" s="78"/>
      <c r="H13" s="78">
        <f t="shared" si="13"/>
        <v>140099</v>
      </c>
      <c r="I13" s="78">
        <f t="shared" si="2"/>
        <v>0</v>
      </c>
      <c r="J13" s="78"/>
      <c r="K13" s="78">
        <f t="shared" si="3"/>
        <v>14460</v>
      </c>
      <c r="L13" s="78"/>
      <c r="M13" s="78">
        <f t="shared" si="14"/>
        <v>15553</v>
      </c>
      <c r="N13" s="78">
        <f>SUM('3rd Party Deals'!T13)</f>
        <v>10028</v>
      </c>
      <c r="O13" s="78">
        <f>SUM('Spot wENA'!Z13)</f>
        <v>0</v>
      </c>
      <c r="P13" s="79">
        <f t="shared" si="15"/>
        <v>25581</v>
      </c>
      <c r="Q13" s="78"/>
      <c r="R13" s="79">
        <f t="shared" si="4"/>
        <v>0</v>
      </c>
      <c r="S13" s="78"/>
      <c r="T13" s="78">
        <f t="shared" si="5"/>
        <v>0</v>
      </c>
      <c r="V13" s="78">
        <f t="shared" si="6"/>
        <v>11121</v>
      </c>
      <c r="X13" s="81"/>
      <c r="Y13" s="81">
        <f t="shared" si="7"/>
        <v>0.03</v>
      </c>
      <c r="AE13" s="80">
        <f t="shared" si="8"/>
        <v>61216</v>
      </c>
      <c r="AF13" s="80">
        <f t="shared" si="1"/>
        <v>0</v>
      </c>
      <c r="AH13" s="80">
        <f t="shared" si="9"/>
        <v>10.770000000000001</v>
      </c>
      <c r="AI13" s="92">
        <f t="shared" si="10"/>
        <v>0</v>
      </c>
    </row>
    <row r="14" spans="1:35" x14ac:dyDescent="0.25">
      <c r="A14" s="78">
        <f t="shared" si="11"/>
        <v>9</v>
      </c>
      <c r="B14" s="78">
        <f t="shared" si="16"/>
        <v>75676</v>
      </c>
      <c r="C14" s="78">
        <f t="shared" si="12"/>
        <v>0</v>
      </c>
      <c r="D14" s="78"/>
      <c r="E14" s="78">
        <f t="shared" si="17"/>
        <v>62583</v>
      </c>
      <c r="F14" s="78">
        <f t="shared" si="18"/>
        <v>61216</v>
      </c>
      <c r="G14" s="78"/>
      <c r="H14" s="78">
        <f t="shared" si="13"/>
        <v>140099</v>
      </c>
      <c r="I14" s="78">
        <f t="shared" si="2"/>
        <v>0</v>
      </c>
      <c r="J14" s="78"/>
      <c r="K14" s="78">
        <f t="shared" si="3"/>
        <v>14460</v>
      </c>
      <c r="L14" s="78"/>
      <c r="M14" s="78">
        <f t="shared" si="14"/>
        <v>15553</v>
      </c>
      <c r="N14" s="78">
        <f>SUM('3rd Party Deals'!T14)</f>
        <v>10028</v>
      </c>
      <c r="O14" s="78">
        <f>SUM('Spot wENA'!Z14)</f>
        <v>0</v>
      </c>
      <c r="P14" s="79">
        <f t="shared" si="15"/>
        <v>25581</v>
      </c>
      <c r="Q14" s="78"/>
      <c r="R14" s="79">
        <f t="shared" si="4"/>
        <v>0</v>
      </c>
      <c r="S14" s="78"/>
      <c r="T14" s="78">
        <f t="shared" si="5"/>
        <v>0</v>
      </c>
      <c r="V14" s="78">
        <f t="shared" si="6"/>
        <v>11121</v>
      </c>
      <c r="X14" s="81"/>
      <c r="Y14" s="81">
        <f t="shared" si="7"/>
        <v>0.03</v>
      </c>
      <c r="AE14" s="80">
        <f t="shared" si="8"/>
        <v>61216</v>
      </c>
      <c r="AF14" s="80">
        <f t="shared" si="1"/>
        <v>0</v>
      </c>
      <c r="AH14" s="80">
        <f t="shared" si="9"/>
        <v>10.770000000000001</v>
      </c>
      <c r="AI14" s="92">
        <f t="shared" si="10"/>
        <v>0</v>
      </c>
    </row>
    <row r="15" spans="1:35" x14ac:dyDescent="0.25">
      <c r="A15" s="78">
        <f t="shared" si="11"/>
        <v>10</v>
      </c>
      <c r="B15" s="78">
        <f t="shared" si="16"/>
        <v>75676</v>
      </c>
      <c r="C15" s="78">
        <f t="shared" si="12"/>
        <v>0</v>
      </c>
      <c r="D15" s="78"/>
      <c r="E15" s="78">
        <f t="shared" si="17"/>
        <v>62583</v>
      </c>
      <c r="F15" s="78">
        <f t="shared" si="18"/>
        <v>61216</v>
      </c>
      <c r="G15" s="78"/>
      <c r="H15" s="78">
        <f t="shared" si="13"/>
        <v>140099</v>
      </c>
      <c r="I15" s="78">
        <f t="shared" si="2"/>
        <v>0</v>
      </c>
      <c r="J15" s="78"/>
      <c r="K15" s="78">
        <f t="shared" si="3"/>
        <v>14460</v>
      </c>
      <c r="L15" s="78"/>
      <c r="M15" s="78">
        <f t="shared" si="14"/>
        <v>15553</v>
      </c>
      <c r="N15" s="78">
        <f>SUM('3rd Party Deals'!T15)</f>
        <v>10028</v>
      </c>
      <c r="O15" s="78">
        <f>SUM('Spot wENA'!Z15)</f>
        <v>0</v>
      </c>
      <c r="P15" s="79">
        <f t="shared" si="15"/>
        <v>25581</v>
      </c>
      <c r="Q15" s="78"/>
      <c r="R15" s="79">
        <f t="shared" si="4"/>
        <v>0</v>
      </c>
      <c r="S15" s="78"/>
      <c r="T15" s="78">
        <f t="shared" si="5"/>
        <v>0</v>
      </c>
      <c r="V15" s="78">
        <f t="shared" si="6"/>
        <v>11121</v>
      </c>
      <c r="X15" s="81"/>
      <c r="Y15" s="81">
        <f t="shared" si="7"/>
        <v>0.03</v>
      </c>
      <c r="AE15" s="80">
        <f t="shared" si="8"/>
        <v>61216</v>
      </c>
      <c r="AF15" s="80">
        <f t="shared" si="1"/>
        <v>0</v>
      </c>
      <c r="AH15" s="80">
        <f t="shared" si="9"/>
        <v>10.770000000000001</v>
      </c>
      <c r="AI15" s="92">
        <f t="shared" si="10"/>
        <v>0</v>
      </c>
    </row>
    <row r="16" spans="1:35" x14ac:dyDescent="0.25">
      <c r="A16" s="78">
        <f t="shared" si="11"/>
        <v>11</v>
      </c>
      <c r="B16" s="78">
        <f t="shared" si="16"/>
        <v>75676</v>
      </c>
      <c r="C16" s="78">
        <f t="shared" si="12"/>
        <v>0</v>
      </c>
      <c r="D16" s="78"/>
      <c r="E16" s="78">
        <f t="shared" si="17"/>
        <v>62583</v>
      </c>
      <c r="F16" s="78">
        <f t="shared" si="18"/>
        <v>61216</v>
      </c>
      <c r="G16" s="78"/>
      <c r="H16" s="78">
        <f t="shared" si="13"/>
        <v>140099</v>
      </c>
      <c r="I16" s="78">
        <f t="shared" si="2"/>
        <v>0</v>
      </c>
      <c r="J16" s="78"/>
      <c r="K16" s="78">
        <f t="shared" si="3"/>
        <v>14460</v>
      </c>
      <c r="L16" s="78"/>
      <c r="M16" s="78">
        <f t="shared" si="14"/>
        <v>15553</v>
      </c>
      <c r="N16" s="78">
        <f>SUM('3rd Party Deals'!T16)</f>
        <v>10028</v>
      </c>
      <c r="O16" s="78">
        <f>SUM('Spot wENA'!Z16)</f>
        <v>0</v>
      </c>
      <c r="P16" s="79">
        <f t="shared" si="15"/>
        <v>25581</v>
      </c>
      <c r="Q16" s="78"/>
      <c r="R16" s="79">
        <f t="shared" si="4"/>
        <v>0</v>
      </c>
      <c r="S16" s="78"/>
      <c r="T16" s="78">
        <f t="shared" si="5"/>
        <v>0</v>
      </c>
      <c r="V16" s="78">
        <f t="shared" si="6"/>
        <v>11121</v>
      </c>
      <c r="X16" s="81"/>
      <c r="Y16" s="81">
        <f t="shared" si="7"/>
        <v>0.03</v>
      </c>
      <c r="AE16" s="80">
        <f t="shared" si="8"/>
        <v>61216</v>
      </c>
      <c r="AF16" s="80">
        <f>+T16-AC16</f>
        <v>0</v>
      </c>
      <c r="AH16" s="80">
        <f t="shared" si="9"/>
        <v>10.770000000000001</v>
      </c>
      <c r="AI16" s="92">
        <f t="shared" si="10"/>
        <v>0</v>
      </c>
    </row>
    <row r="17" spans="1:35" x14ac:dyDescent="0.25">
      <c r="A17" s="78">
        <f t="shared" si="11"/>
        <v>12</v>
      </c>
      <c r="B17" s="78">
        <f t="shared" si="16"/>
        <v>75676</v>
      </c>
      <c r="C17" s="78">
        <f t="shared" si="12"/>
        <v>0</v>
      </c>
      <c r="D17" s="78"/>
      <c r="E17" s="78">
        <f t="shared" si="17"/>
        <v>62583</v>
      </c>
      <c r="F17" s="78">
        <f t="shared" si="18"/>
        <v>61216</v>
      </c>
      <c r="G17" s="78"/>
      <c r="H17" s="78">
        <f t="shared" si="13"/>
        <v>140099</v>
      </c>
      <c r="I17" s="78">
        <f t="shared" si="2"/>
        <v>0</v>
      </c>
      <c r="J17" s="78"/>
      <c r="K17" s="78">
        <f t="shared" si="3"/>
        <v>14460</v>
      </c>
      <c r="L17" s="78"/>
      <c r="M17" s="78">
        <f t="shared" si="14"/>
        <v>15553</v>
      </c>
      <c r="N17" s="78">
        <f>SUM('3rd Party Deals'!T17)</f>
        <v>10028</v>
      </c>
      <c r="O17" s="78">
        <f>SUM('Spot wENA'!Z17)</f>
        <v>0</v>
      </c>
      <c r="P17" s="79">
        <f t="shared" si="15"/>
        <v>25581</v>
      </c>
      <c r="Q17" s="78"/>
      <c r="R17" s="79">
        <f t="shared" si="4"/>
        <v>0</v>
      </c>
      <c r="S17" s="78"/>
      <c r="T17" s="78">
        <f t="shared" si="5"/>
        <v>0</v>
      </c>
      <c r="V17" s="78">
        <f t="shared" si="6"/>
        <v>11121</v>
      </c>
      <c r="X17" s="81"/>
      <c r="Y17" s="81">
        <f t="shared" si="7"/>
        <v>0.03</v>
      </c>
      <c r="AE17" s="80">
        <f t="shared" si="8"/>
        <v>61216</v>
      </c>
      <c r="AF17" s="80">
        <f>+T17-AC17</f>
        <v>0</v>
      </c>
    </row>
    <row r="18" spans="1:35" x14ac:dyDescent="0.25">
      <c r="A18" s="78">
        <f t="shared" si="11"/>
        <v>13</v>
      </c>
      <c r="B18" s="78">
        <f t="shared" si="16"/>
        <v>75676</v>
      </c>
      <c r="C18" s="78">
        <f t="shared" si="12"/>
        <v>0</v>
      </c>
      <c r="D18" s="78"/>
      <c r="E18" s="78">
        <f t="shared" si="17"/>
        <v>62583</v>
      </c>
      <c r="F18" s="78">
        <f t="shared" si="18"/>
        <v>61216</v>
      </c>
      <c r="G18" s="78"/>
      <c r="H18" s="78">
        <f t="shared" si="13"/>
        <v>140099</v>
      </c>
      <c r="I18" s="78">
        <f t="shared" si="2"/>
        <v>0</v>
      </c>
      <c r="J18" s="78"/>
      <c r="K18" s="78">
        <f t="shared" si="3"/>
        <v>14460</v>
      </c>
      <c r="L18" s="78"/>
      <c r="M18" s="78">
        <f t="shared" si="14"/>
        <v>15553</v>
      </c>
      <c r="N18" s="78">
        <f>SUM('3rd Party Deals'!T18)</f>
        <v>10028</v>
      </c>
      <c r="O18" s="78">
        <f>SUM('Spot wENA'!Z18)</f>
        <v>0</v>
      </c>
      <c r="P18" s="79">
        <f t="shared" si="15"/>
        <v>25581</v>
      </c>
      <c r="Q18" s="78"/>
      <c r="R18" s="79">
        <f t="shared" si="4"/>
        <v>0</v>
      </c>
      <c r="S18" s="78"/>
      <c r="T18" s="78">
        <f t="shared" si="5"/>
        <v>0</v>
      </c>
      <c r="V18" s="78">
        <f t="shared" si="6"/>
        <v>11121</v>
      </c>
      <c r="X18" s="81"/>
      <c r="Y18" s="81">
        <f t="shared" si="7"/>
        <v>0.03</v>
      </c>
      <c r="AE18" s="80">
        <f t="shared" si="8"/>
        <v>61216</v>
      </c>
      <c r="AF18" s="80">
        <f>+T18-AC18</f>
        <v>0</v>
      </c>
      <c r="AI18" s="80">
        <f>SUM(AI6:AI17)</f>
        <v>32385.390000000003</v>
      </c>
    </row>
    <row r="19" spans="1:35" x14ac:dyDescent="0.25">
      <c r="A19" s="78">
        <f t="shared" si="11"/>
        <v>14</v>
      </c>
      <c r="B19" s="78">
        <f t="shared" si="16"/>
        <v>75676</v>
      </c>
      <c r="C19" s="78">
        <f t="shared" si="12"/>
        <v>0</v>
      </c>
      <c r="D19" s="78"/>
      <c r="E19" s="78">
        <f t="shared" si="17"/>
        <v>62583</v>
      </c>
      <c r="F19" s="78">
        <f t="shared" si="18"/>
        <v>61216</v>
      </c>
      <c r="G19" s="78"/>
      <c r="H19" s="78">
        <f t="shared" si="13"/>
        <v>140099</v>
      </c>
      <c r="I19" s="78">
        <f t="shared" si="2"/>
        <v>0</v>
      </c>
      <c r="J19" s="78"/>
      <c r="K19" s="78">
        <f t="shared" si="3"/>
        <v>14460</v>
      </c>
      <c r="L19" s="78"/>
      <c r="M19" s="78">
        <f t="shared" si="14"/>
        <v>15553</v>
      </c>
      <c r="N19" s="78">
        <f>SUM('3rd Party Deals'!T19)</f>
        <v>10028</v>
      </c>
      <c r="O19" s="78">
        <f>SUM('Spot wENA'!Z19)</f>
        <v>0</v>
      </c>
      <c r="P19" s="79">
        <f t="shared" si="15"/>
        <v>25581</v>
      </c>
      <c r="Q19" s="78"/>
      <c r="R19" s="79">
        <f t="shared" si="4"/>
        <v>0</v>
      </c>
      <c r="S19" s="78"/>
      <c r="T19" s="78">
        <f t="shared" si="5"/>
        <v>0</v>
      </c>
      <c r="V19" s="78">
        <f t="shared" si="6"/>
        <v>11121</v>
      </c>
      <c r="X19" s="81"/>
      <c r="Y19" s="81">
        <f t="shared" si="7"/>
        <v>0.03</v>
      </c>
      <c r="AE19" s="80">
        <f t="shared" si="8"/>
        <v>61216</v>
      </c>
      <c r="AF19" s="80">
        <f>+T19-AC19</f>
        <v>0</v>
      </c>
    </row>
    <row r="20" spans="1:35" x14ac:dyDescent="0.25">
      <c r="A20" s="78">
        <f t="shared" si="11"/>
        <v>15</v>
      </c>
      <c r="B20" s="78">
        <f t="shared" si="16"/>
        <v>75676</v>
      </c>
      <c r="C20" s="78">
        <f t="shared" si="12"/>
        <v>0</v>
      </c>
      <c r="D20" s="78"/>
      <c r="E20" s="78">
        <f t="shared" si="17"/>
        <v>62583</v>
      </c>
      <c r="F20" s="78">
        <f t="shared" si="18"/>
        <v>61216</v>
      </c>
      <c r="G20" s="78"/>
      <c r="H20" s="78">
        <f t="shared" si="13"/>
        <v>140099</v>
      </c>
      <c r="I20" s="78">
        <f t="shared" si="2"/>
        <v>0</v>
      </c>
      <c r="J20" s="78"/>
      <c r="K20" s="78">
        <f t="shared" si="3"/>
        <v>14460</v>
      </c>
      <c r="L20" s="78"/>
      <c r="M20" s="78">
        <f t="shared" si="14"/>
        <v>15553</v>
      </c>
      <c r="N20" s="78">
        <f>SUM('3rd Party Deals'!T20)</f>
        <v>10028</v>
      </c>
      <c r="O20" s="78">
        <f>SUM('Spot wENA'!Z20)</f>
        <v>0</v>
      </c>
      <c r="P20" s="79">
        <f t="shared" si="15"/>
        <v>25581</v>
      </c>
      <c r="Q20" s="78"/>
      <c r="R20" s="79">
        <f t="shared" si="4"/>
        <v>0</v>
      </c>
      <c r="S20" s="78"/>
      <c r="T20" s="78">
        <f t="shared" si="5"/>
        <v>0</v>
      </c>
      <c r="V20" s="78">
        <f t="shared" si="6"/>
        <v>11121</v>
      </c>
      <c r="X20" s="81"/>
      <c r="Y20" s="81">
        <f t="shared" si="7"/>
        <v>0.03</v>
      </c>
      <c r="AE20" s="80">
        <f t="shared" ref="AE20:AE28" si="19">+F20-AA20</f>
        <v>61216</v>
      </c>
      <c r="AF20" s="80">
        <f t="shared" ref="AF20:AF28" si="20">+T20-AC20</f>
        <v>0</v>
      </c>
    </row>
    <row r="21" spans="1:35" x14ac:dyDescent="0.25">
      <c r="A21" s="78">
        <f t="shared" si="11"/>
        <v>16</v>
      </c>
      <c r="B21" s="78">
        <f t="shared" si="16"/>
        <v>75676</v>
      </c>
      <c r="C21" s="78">
        <f t="shared" si="12"/>
        <v>0</v>
      </c>
      <c r="D21" s="78"/>
      <c r="E21" s="78">
        <f t="shared" si="17"/>
        <v>62583</v>
      </c>
      <c r="F21" s="78">
        <f t="shared" si="18"/>
        <v>61216</v>
      </c>
      <c r="G21" s="78"/>
      <c r="H21" s="78">
        <f t="shared" si="13"/>
        <v>140099</v>
      </c>
      <c r="I21" s="78">
        <f t="shared" si="2"/>
        <v>0</v>
      </c>
      <c r="J21" s="78"/>
      <c r="K21" s="78">
        <f t="shared" si="3"/>
        <v>14460</v>
      </c>
      <c r="L21" s="78"/>
      <c r="M21" s="78">
        <f t="shared" si="14"/>
        <v>15553</v>
      </c>
      <c r="N21" s="78">
        <f>SUM('3rd Party Deals'!T21)</f>
        <v>10028</v>
      </c>
      <c r="O21" s="78">
        <f>SUM('Spot wENA'!Z21)</f>
        <v>0</v>
      </c>
      <c r="P21" s="79">
        <f t="shared" si="15"/>
        <v>25581</v>
      </c>
      <c r="Q21" s="78"/>
      <c r="R21" s="79">
        <f t="shared" si="4"/>
        <v>0</v>
      </c>
      <c r="S21" s="78"/>
      <c r="T21" s="78">
        <f t="shared" si="5"/>
        <v>0</v>
      </c>
      <c r="V21" s="78">
        <f t="shared" si="6"/>
        <v>11121</v>
      </c>
      <c r="X21" s="81"/>
      <c r="Y21" s="81">
        <f t="shared" si="7"/>
        <v>0.03</v>
      </c>
      <c r="AB21" s="106"/>
      <c r="AE21" s="80">
        <f t="shared" si="19"/>
        <v>61216</v>
      </c>
      <c r="AF21" s="80">
        <f t="shared" si="20"/>
        <v>0</v>
      </c>
    </row>
    <row r="22" spans="1:35" x14ac:dyDescent="0.25">
      <c r="A22" s="78">
        <f t="shared" si="11"/>
        <v>17</v>
      </c>
      <c r="B22" s="78">
        <f t="shared" si="16"/>
        <v>75676</v>
      </c>
      <c r="C22" s="78">
        <f t="shared" si="12"/>
        <v>0</v>
      </c>
      <c r="D22" s="78"/>
      <c r="E22" s="78">
        <f t="shared" si="17"/>
        <v>62583</v>
      </c>
      <c r="F22" s="78">
        <f t="shared" si="18"/>
        <v>61216</v>
      </c>
      <c r="G22" s="78"/>
      <c r="H22" s="78">
        <f t="shared" si="13"/>
        <v>140099</v>
      </c>
      <c r="I22" s="78">
        <f t="shared" si="2"/>
        <v>0</v>
      </c>
      <c r="J22" s="78"/>
      <c r="K22" s="78">
        <f t="shared" si="3"/>
        <v>14460</v>
      </c>
      <c r="L22" s="78"/>
      <c r="M22" s="78">
        <f t="shared" si="14"/>
        <v>15553</v>
      </c>
      <c r="N22" s="78">
        <f>SUM('3rd Party Deals'!T22)</f>
        <v>10028</v>
      </c>
      <c r="O22" s="78">
        <f>SUM('Spot wENA'!Z22)</f>
        <v>0</v>
      </c>
      <c r="P22" s="79">
        <f t="shared" si="15"/>
        <v>25581</v>
      </c>
      <c r="Q22" s="78"/>
      <c r="R22" s="79">
        <f t="shared" si="4"/>
        <v>0</v>
      </c>
      <c r="S22" s="78"/>
      <c r="T22" s="78">
        <f t="shared" si="5"/>
        <v>0</v>
      </c>
      <c r="V22" s="78">
        <f t="shared" si="6"/>
        <v>11121</v>
      </c>
      <c r="X22" s="81"/>
      <c r="Y22" s="81">
        <f t="shared" si="7"/>
        <v>0.03</v>
      </c>
      <c r="AE22" s="80">
        <f t="shared" si="19"/>
        <v>61216</v>
      </c>
      <c r="AF22" s="80">
        <f t="shared" si="20"/>
        <v>0</v>
      </c>
    </row>
    <row r="23" spans="1:35" x14ac:dyDescent="0.25">
      <c r="A23" s="78">
        <f t="shared" si="11"/>
        <v>18</v>
      </c>
      <c r="B23" s="78">
        <f t="shared" si="16"/>
        <v>75676</v>
      </c>
      <c r="C23" s="78">
        <f t="shared" si="12"/>
        <v>0</v>
      </c>
      <c r="D23" s="78"/>
      <c r="E23" s="78">
        <f t="shared" si="17"/>
        <v>62583</v>
      </c>
      <c r="F23" s="78">
        <f t="shared" si="18"/>
        <v>61216</v>
      </c>
      <c r="G23" s="78"/>
      <c r="H23" s="78">
        <f t="shared" si="13"/>
        <v>140099</v>
      </c>
      <c r="I23" s="78">
        <f t="shared" si="2"/>
        <v>0</v>
      </c>
      <c r="J23" s="78"/>
      <c r="K23" s="78">
        <f t="shared" si="3"/>
        <v>14460</v>
      </c>
      <c r="L23" s="78"/>
      <c r="M23" s="78">
        <f t="shared" si="14"/>
        <v>15553</v>
      </c>
      <c r="N23" s="78">
        <f>SUM('3rd Party Deals'!T23)</f>
        <v>10028</v>
      </c>
      <c r="O23" s="78">
        <f>SUM('Spot wENA'!Z23)</f>
        <v>0</v>
      </c>
      <c r="P23" s="79">
        <f t="shared" si="15"/>
        <v>25581</v>
      </c>
      <c r="Q23" s="78"/>
      <c r="R23" s="79">
        <f t="shared" si="4"/>
        <v>0</v>
      </c>
      <c r="S23" s="78"/>
      <c r="T23" s="78">
        <f t="shared" si="5"/>
        <v>0</v>
      </c>
      <c r="V23" s="78">
        <f t="shared" si="6"/>
        <v>11121</v>
      </c>
      <c r="X23" s="81"/>
      <c r="Y23" s="81">
        <f t="shared" si="7"/>
        <v>0.03</v>
      </c>
      <c r="AE23" s="80">
        <f t="shared" si="19"/>
        <v>61216</v>
      </c>
      <c r="AF23" s="80">
        <f t="shared" si="20"/>
        <v>0</v>
      </c>
    </row>
    <row r="24" spans="1:35" x14ac:dyDescent="0.25">
      <c r="A24" s="78">
        <f t="shared" si="11"/>
        <v>19</v>
      </c>
      <c r="B24" s="78">
        <f t="shared" si="16"/>
        <v>75676</v>
      </c>
      <c r="C24" s="78">
        <f t="shared" si="12"/>
        <v>0</v>
      </c>
      <c r="D24" s="78"/>
      <c r="E24" s="78">
        <f t="shared" si="17"/>
        <v>62583</v>
      </c>
      <c r="F24" s="78">
        <f t="shared" si="18"/>
        <v>61216</v>
      </c>
      <c r="G24" s="78"/>
      <c r="H24" s="78">
        <f t="shared" si="13"/>
        <v>140099</v>
      </c>
      <c r="I24" s="78">
        <f t="shared" si="2"/>
        <v>0</v>
      </c>
      <c r="J24" s="78"/>
      <c r="K24" s="78">
        <f t="shared" si="3"/>
        <v>14460</v>
      </c>
      <c r="L24" s="78"/>
      <c r="M24" s="78">
        <f t="shared" si="14"/>
        <v>15553</v>
      </c>
      <c r="N24" s="78">
        <f>SUM('3rd Party Deals'!T24)</f>
        <v>10028</v>
      </c>
      <c r="O24" s="78">
        <f>SUM('Spot wENA'!Z24)</f>
        <v>0</v>
      </c>
      <c r="P24" s="79">
        <f t="shared" si="15"/>
        <v>25581</v>
      </c>
      <c r="Q24" s="78"/>
      <c r="R24" s="79">
        <f t="shared" si="4"/>
        <v>0</v>
      </c>
      <c r="S24" s="78"/>
      <c r="T24" s="78">
        <f t="shared" si="5"/>
        <v>0</v>
      </c>
      <c r="V24" s="78">
        <f t="shared" si="6"/>
        <v>11121</v>
      </c>
      <c r="X24" s="81"/>
      <c r="Y24" s="81">
        <f t="shared" si="7"/>
        <v>0.03</v>
      </c>
      <c r="AE24" s="80">
        <f t="shared" si="19"/>
        <v>61216</v>
      </c>
      <c r="AF24" s="80">
        <f t="shared" si="20"/>
        <v>0</v>
      </c>
    </row>
    <row r="25" spans="1:35" x14ac:dyDescent="0.25">
      <c r="A25" s="78">
        <f t="shared" si="11"/>
        <v>20</v>
      </c>
      <c r="B25" s="78">
        <f t="shared" si="16"/>
        <v>75676</v>
      </c>
      <c r="C25" s="78">
        <f t="shared" si="12"/>
        <v>0</v>
      </c>
      <c r="D25" s="78"/>
      <c r="E25" s="78">
        <f t="shared" si="17"/>
        <v>62583</v>
      </c>
      <c r="F25" s="78">
        <f t="shared" si="18"/>
        <v>61216</v>
      </c>
      <c r="G25" s="78"/>
      <c r="H25" s="78">
        <f t="shared" si="13"/>
        <v>140099</v>
      </c>
      <c r="I25" s="78">
        <f t="shared" si="2"/>
        <v>0</v>
      </c>
      <c r="J25" s="78"/>
      <c r="K25" s="78">
        <f t="shared" si="3"/>
        <v>14460</v>
      </c>
      <c r="L25" s="78"/>
      <c r="M25" s="78">
        <f t="shared" si="14"/>
        <v>15553</v>
      </c>
      <c r="N25" s="78">
        <f>SUM('3rd Party Deals'!T25)</f>
        <v>10028</v>
      </c>
      <c r="O25" s="78">
        <f>SUM('Spot wENA'!Z25)</f>
        <v>0</v>
      </c>
      <c r="P25" s="79">
        <f t="shared" si="15"/>
        <v>25581</v>
      </c>
      <c r="Q25" s="78"/>
      <c r="R25" s="79">
        <f t="shared" si="4"/>
        <v>0</v>
      </c>
      <c r="S25" s="78"/>
      <c r="T25" s="78">
        <f t="shared" si="5"/>
        <v>0</v>
      </c>
      <c r="V25" s="78">
        <f t="shared" si="6"/>
        <v>11121</v>
      </c>
      <c r="X25" s="81"/>
      <c r="Y25" s="81">
        <f t="shared" si="7"/>
        <v>0.03</v>
      </c>
      <c r="AE25" s="80">
        <f t="shared" si="19"/>
        <v>61216</v>
      </c>
      <c r="AF25" s="80">
        <f t="shared" si="20"/>
        <v>0</v>
      </c>
    </row>
    <row r="26" spans="1:35" x14ac:dyDescent="0.25">
      <c r="A26" s="78">
        <f t="shared" si="11"/>
        <v>21</v>
      </c>
      <c r="B26" s="78">
        <f t="shared" si="16"/>
        <v>75676</v>
      </c>
      <c r="C26" s="78">
        <f t="shared" si="12"/>
        <v>0</v>
      </c>
      <c r="D26" s="78"/>
      <c r="E26" s="78">
        <f t="shared" si="17"/>
        <v>62583</v>
      </c>
      <c r="F26" s="78">
        <f t="shared" si="18"/>
        <v>61216</v>
      </c>
      <c r="G26" s="78"/>
      <c r="H26" s="78">
        <f t="shared" si="13"/>
        <v>140099</v>
      </c>
      <c r="I26" s="78">
        <f t="shared" si="2"/>
        <v>0</v>
      </c>
      <c r="J26" s="78"/>
      <c r="K26" s="78">
        <f t="shared" si="3"/>
        <v>14460</v>
      </c>
      <c r="L26" s="78"/>
      <c r="M26" s="78">
        <f t="shared" si="14"/>
        <v>15553</v>
      </c>
      <c r="N26" s="78">
        <f>SUM('3rd Party Deals'!T26)</f>
        <v>10028</v>
      </c>
      <c r="O26" s="78">
        <f>SUM('Spot wENA'!Z26)</f>
        <v>0</v>
      </c>
      <c r="P26" s="79">
        <f t="shared" si="15"/>
        <v>25581</v>
      </c>
      <c r="Q26" s="78"/>
      <c r="R26" s="79">
        <f t="shared" si="4"/>
        <v>0</v>
      </c>
      <c r="S26" s="78"/>
      <c r="T26" s="78">
        <f t="shared" si="5"/>
        <v>0</v>
      </c>
      <c r="V26" s="78">
        <f t="shared" si="6"/>
        <v>11121</v>
      </c>
      <c r="X26" s="81"/>
      <c r="Y26" s="81">
        <f t="shared" si="7"/>
        <v>0.03</v>
      </c>
      <c r="AE26" s="80">
        <f t="shared" si="19"/>
        <v>61216</v>
      </c>
      <c r="AF26" s="80">
        <f t="shared" si="20"/>
        <v>0</v>
      </c>
    </row>
    <row r="27" spans="1:35" x14ac:dyDescent="0.25">
      <c r="A27" s="78">
        <f t="shared" si="11"/>
        <v>22</v>
      </c>
      <c r="B27" s="78">
        <f t="shared" si="16"/>
        <v>75676</v>
      </c>
      <c r="C27" s="78">
        <f t="shared" si="12"/>
        <v>0</v>
      </c>
      <c r="D27" s="78"/>
      <c r="E27" s="78">
        <f t="shared" si="17"/>
        <v>62583</v>
      </c>
      <c r="F27" s="78">
        <f t="shared" si="18"/>
        <v>61216</v>
      </c>
      <c r="G27" s="78"/>
      <c r="H27" s="78">
        <f t="shared" si="13"/>
        <v>140099</v>
      </c>
      <c r="I27" s="78">
        <f t="shared" si="2"/>
        <v>0</v>
      </c>
      <c r="J27" s="78"/>
      <c r="K27" s="78">
        <f t="shared" si="3"/>
        <v>14460</v>
      </c>
      <c r="L27" s="78"/>
      <c r="M27" s="78">
        <f t="shared" si="14"/>
        <v>15553</v>
      </c>
      <c r="N27" s="78">
        <f>SUM('3rd Party Deals'!T27)</f>
        <v>10028</v>
      </c>
      <c r="O27" s="78">
        <f>SUM('Spot wENA'!Z27)</f>
        <v>0</v>
      </c>
      <c r="P27" s="79">
        <f t="shared" si="15"/>
        <v>25581</v>
      </c>
      <c r="Q27" s="78"/>
      <c r="R27" s="79">
        <f t="shared" si="4"/>
        <v>0</v>
      </c>
      <c r="S27" s="78"/>
      <c r="T27" s="78">
        <f t="shared" si="5"/>
        <v>0</v>
      </c>
      <c r="V27" s="78">
        <f t="shared" si="6"/>
        <v>11121</v>
      </c>
      <c r="X27" s="81"/>
      <c r="Y27" s="81">
        <f t="shared" si="7"/>
        <v>0.03</v>
      </c>
      <c r="AE27" s="80">
        <f t="shared" si="19"/>
        <v>61216</v>
      </c>
      <c r="AF27" s="80">
        <f t="shared" si="20"/>
        <v>0</v>
      </c>
    </row>
    <row r="28" spans="1:35" x14ac:dyDescent="0.25">
      <c r="A28" s="78">
        <f t="shared" si="11"/>
        <v>23</v>
      </c>
      <c r="B28" s="78">
        <f t="shared" si="16"/>
        <v>75676</v>
      </c>
      <c r="C28" s="78">
        <f t="shared" si="12"/>
        <v>0</v>
      </c>
      <c r="D28" s="78"/>
      <c r="E28" s="78">
        <f t="shared" si="17"/>
        <v>62583</v>
      </c>
      <c r="F28" s="78">
        <f t="shared" si="18"/>
        <v>61216</v>
      </c>
      <c r="G28" s="78"/>
      <c r="H28" s="78">
        <f t="shared" si="13"/>
        <v>140099</v>
      </c>
      <c r="I28" s="78">
        <f t="shared" si="2"/>
        <v>0</v>
      </c>
      <c r="J28" s="78"/>
      <c r="K28" s="78">
        <f t="shared" si="3"/>
        <v>14460</v>
      </c>
      <c r="L28" s="78"/>
      <c r="M28" s="78">
        <f t="shared" si="14"/>
        <v>15553</v>
      </c>
      <c r="N28" s="78">
        <f>SUM('3rd Party Deals'!T28)</f>
        <v>10028</v>
      </c>
      <c r="O28" s="78">
        <f>SUM('Spot wENA'!Z28)</f>
        <v>0</v>
      </c>
      <c r="P28" s="79">
        <f t="shared" si="15"/>
        <v>25581</v>
      </c>
      <c r="Q28" s="78"/>
      <c r="R28" s="79">
        <f t="shared" si="4"/>
        <v>0</v>
      </c>
      <c r="S28" s="78"/>
      <c r="T28" s="78">
        <f t="shared" si="5"/>
        <v>0</v>
      </c>
      <c r="V28" s="78">
        <f t="shared" si="6"/>
        <v>11121</v>
      </c>
      <c r="X28" s="81"/>
      <c r="Y28" s="81">
        <f t="shared" si="7"/>
        <v>0.03</v>
      </c>
      <c r="AE28" s="80">
        <f t="shared" si="19"/>
        <v>61216</v>
      </c>
      <c r="AF28" s="80">
        <f t="shared" si="20"/>
        <v>0</v>
      </c>
    </row>
    <row r="29" spans="1:35" x14ac:dyDescent="0.25">
      <c r="A29" s="78">
        <f t="shared" si="11"/>
        <v>24</v>
      </c>
      <c r="B29" s="78">
        <f t="shared" si="16"/>
        <v>75676</v>
      </c>
      <c r="C29" s="78">
        <f t="shared" si="12"/>
        <v>0</v>
      </c>
      <c r="D29" s="78"/>
      <c r="E29" s="78">
        <f t="shared" si="17"/>
        <v>62583</v>
      </c>
      <c r="F29" s="78">
        <f t="shared" si="18"/>
        <v>61216</v>
      </c>
      <c r="G29" s="78"/>
      <c r="H29" s="78">
        <f t="shared" si="13"/>
        <v>140099</v>
      </c>
      <c r="I29" s="78">
        <f t="shared" si="2"/>
        <v>0</v>
      </c>
      <c r="J29" s="78"/>
      <c r="K29" s="78">
        <f t="shared" si="3"/>
        <v>14460</v>
      </c>
      <c r="L29" s="78"/>
      <c r="M29" s="78">
        <f t="shared" si="14"/>
        <v>15553</v>
      </c>
      <c r="N29" s="78">
        <f>SUM('3rd Party Deals'!T29)</f>
        <v>10028</v>
      </c>
      <c r="O29" s="78">
        <f>SUM('Spot wENA'!Z29)</f>
        <v>0</v>
      </c>
      <c r="P29" s="79">
        <f t="shared" si="15"/>
        <v>25581</v>
      </c>
      <c r="Q29" s="78"/>
      <c r="R29" s="79">
        <f t="shared" si="4"/>
        <v>0</v>
      </c>
      <c r="S29" s="78"/>
      <c r="T29" s="78">
        <f t="shared" si="5"/>
        <v>0</v>
      </c>
      <c r="V29" s="78">
        <f t="shared" si="6"/>
        <v>11121</v>
      </c>
      <c r="X29" s="81"/>
      <c r="Y29" s="81">
        <f t="shared" si="7"/>
        <v>0.03</v>
      </c>
      <c r="AE29" s="80">
        <f>+F29-AA29</f>
        <v>61216</v>
      </c>
      <c r="AF29" s="80">
        <f>+T29-AC29</f>
        <v>0</v>
      </c>
    </row>
    <row r="30" spans="1:35" x14ac:dyDescent="0.25">
      <c r="A30" s="78">
        <f t="shared" si="11"/>
        <v>25</v>
      </c>
      <c r="B30" s="78">
        <f t="shared" si="16"/>
        <v>75676</v>
      </c>
      <c r="C30" s="78">
        <f t="shared" si="12"/>
        <v>0</v>
      </c>
      <c r="D30" s="78"/>
      <c r="E30" s="78">
        <f t="shared" si="17"/>
        <v>62583</v>
      </c>
      <c r="F30" s="78">
        <f t="shared" si="18"/>
        <v>61216</v>
      </c>
      <c r="G30" s="78"/>
      <c r="H30" s="78">
        <f t="shared" si="13"/>
        <v>140099</v>
      </c>
      <c r="I30" s="78">
        <f t="shared" si="2"/>
        <v>0</v>
      </c>
      <c r="J30" s="78"/>
      <c r="K30" s="78">
        <f t="shared" si="3"/>
        <v>14460</v>
      </c>
      <c r="L30" s="78"/>
      <c r="M30" s="78">
        <f t="shared" si="14"/>
        <v>15553</v>
      </c>
      <c r="N30" s="78">
        <f>SUM('3rd Party Deals'!T30)</f>
        <v>10028</v>
      </c>
      <c r="O30" s="78">
        <f>SUM('Spot wENA'!Z30)</f>
        <v>0</v>
      </c>
      <c r="P30" s="79">
        <f t="shared" si="15"/>
        <v>25581</v>
      </c>
      <c r="Q30" s="78"/>
      <c r="R30" s="79">
        <f t="shared" si="4"/>
        <v>0</v>
      </c>
      <c r="S30" s="78"/>
      <c r="T30" s="78">
        <f t="shared" si="5"/>
        <v>0</v>
      </c>
      <c r="V30" s="78">
        <f t="shared" si="6"/>
        <v>11121</v>
      </c>
      <c r="X30" s="81"/>
      <c r="Y30" s="81">
        <f t="shared" si="7"/>
        <v>0.03</v>
      </c>
      <c r="AE30" s="80">
        <f>+F30-AA30</f>
        <v>61216</v>
      </c>
      <c r="AF30" s="80">
        <f>+T30-AC30</f>
        <v>0</v>
      </c>
    </row>
    <row r="31" spans="1:35" x14ac:dyDescent="0.25">
      <c r="A31" s="78">
        <f t="shared" si="11"/>
        <v>26</v>
      </c>
      <c r="B31" s="78">
        <f t="shared" si="16"/>
        <v>75676</v>
      </c>
      <c r="C31" s="78">
        <f t="shared" si="12"/>
        <v>0</v>
      </c>
      <c r="D31" s="78"/>
      <c r="E31" s="78">
        <f t="shared" si="17"/>
        <v>62583</v>
      </c>
      <c r="F31" s="78">
        <f t="shared" si="18"/>
        <v>61216</v>
      </c>
      <c r="G31" s="78"/>
      <c r="H31" s="78">
        <f t="shared" si="13"/>
        <v>140099</v>
      </c>
      <c r="I31" s="78">
        <f t="shared" si="2"/>
        <v>0</v>
      </c>
      <c r="J31" s="78"/>
      <c r="K31" s="78">
        <f t="shared" si="3"/>
        <v>14460</v>
      </c>
      <c r="L31" s="78"/>
      <c r="M31" s="78">
        <f t="shared" si="14"/>
        <v>15553</v>
      </c>
      <c r="N31" s="78">
        <f>SUM('3rd Party Deals'!T31)</f>
        <v>10028</v>
      </c>
      <c r="O31" s="78">
        <f>SUM('Spot wENA'!Z31)</f>
        <v>0</v>
      </c>
      <c r="P31" s="79">
        <f t="shared" si="15"/>
        <v>25581</v>
      </c>
      <c r="Q31" s="78"/>
      <c r="R31" s="79">
        <f t="shared" si="4"/>
        <v>0</v>
      </c>
      <c r="S31" s="78"/>
      <c r="T31" s="78">
        <f t="shared" si="5"/>
        <v>0</v>
      </c>
      <c r="V31" s="78">
        <f t="shared" si="6"/>
        <v>11121</v>
      </c>
      <c r="X31" s="81"/>
      <c r="Y31" s="81">
        <f t="shared" si="7"/>
        <v>0.03</v>
      </c>
    </row>
    <row r="32" spans="1:35" x14ac:dyDescent="0.25">
      <c r="A32" s="78">
        <f t="shared" si="11"/>
        <v>27</v>
      </c>
      <c r="B32" s="78">
        <f t="shared" si="16"/>
        <v>75676</v>
      </c>
      <c r="C32" s="78">
        <f t="shared" si="12"/>
        <v>0</v>
      </c>
      <c r="D32" s="78"/>
      <c r="E32" s="78">
        <f t="shared" si="17"/>
        <v>62583</v>
      </c>
      <c r="F32" s="78">
        <f t="shared" si="18"/>
        <v>61216</v>
      </c>
      <c r="G32" s="78"/>
      <c r="H32" s="78">
        <f t="shared" si="13"/>
        <v>140099</v>
      </c>
      <c r="I32" s="78">
        <f t="shared" si="2"/>
        <v>0</v>
      </c>
      <c r="J32" s="78"/>
      <c r="K32" s="78">
        <f t="shared" si="3"/>
        <v>14460</v>
      </c>
      <c r="L32" s="78"/>
      <c r="M32" s="78">
        <f t="shared" si="14"/>
        <v>15553</v>
      </c>
      <c r="N32" s="78">
        <f>SUM('3rd Party Deals'!T32)</f>
        <v>10028</v>
      </c>
      <c r="O32" s="78">
        <f>SUM('Spot wENA'!Z32)</f>
        <v>0</v>
      </c>
      <c r="P32" s="79">
        <f t="shared" si="15"/>
        <v>25581</v>
      </c>
      <c r="Q32" s="78"/>
      <c r="R32" s="79">
        <f t="shared" si="4"/>
        <v>0</v>
      </c>
      <c r="S32" s="78"/>
      <c r="T32" s="78">
        <f t="shared" si="5"/>
        <v>0</v>
      </c>
      <c r="V32" s="78">
        <f t="shared" si="6"/>
        <v>11121</v>
      </c>
      <c r="X32" s="81"/>
      <c r="Y32" s="81">
        <f t="shared" si="7"/>
        <v>0.03</v>
      </c>
    </row>
    <row r="33" spans="1:25" x14ac:dyDescent="0.25">
      <c r="A33" s="78">
        <f t="shared" si="11"/>
        <v>28</v>
      </c>
      <c r="B33" s="78">
        <f t="shared" si="16"/>
        <v>75676</v>
      </c>
      <c r="C33" s="78">
        <f t="shared" si="12"/>
        <v>0</v>
      </c>
      <c r="D33" s="78"/>
      <c r="E33" s="78">
        <f t="shared" si="17"/>
        <v>62583</v>
      </c>
      <c r="F33" s="78">
        <f t="shared" si="18"/>
        <v>61216</v>
      </c>
      <c r="G33" s="78"/>
      <c r="H33" s="78">
        <f t="shared" si="13"/>
        <v>140099</v>
      </c>
      <c r="I33" s="78">
        <f t="shared" si="2"/>
        <v>0</v>
      </c>
      <c r="J33" s="78"/>
      <c r="K33" s="78">
        <f t="shared" si="3"/>
        <v>14460</v>
      </c>
      <c r="L33" s="78"/>
      <c r="M33" s="78">
        <f t="shared" si="14"/>
        <v>15553</v>
      </c>
      <c r="N33" s="78">
        <f>SUM('3rd Party Deals'!T33)</f>
        <v>10028</v>
      </c>
      <c r="O33" s="78">
        <f>SUM('Spot wENA'!Z33)</f>
        <v>0</v>
      </c>
      <c r="P33" s="79">
        <f t="shared" si="15"/>
        <v>25581</v>
      </c>
      <c r="Q33" s="78"/>
      <c r="R33" s="79">
        <f t="shared" si="4"/>
        <v>0</v>
      </c>
      <c r="S33" s="78"/>
      <c r="T33" s="78">
        <f t="shared" si="5"/>
        <v>0</v>
      </c>
      <c r="V33" s="78">
        <f t="shared" si="6"/>
        <v>11121</v>
      </c>
      <c r="X33" s="81"/>
      <c r="Y33" s="81">
        <f t="shared" si="7"/>
        <v>0.03</v>
      </c>
    </row>
    <row r="34" spans="1:25" x14ac:dyDescent="0.25">
      <c r="A34" s="78">
        <f>+A33+1</f>
        <v>29</v>
      </c>
      <c r="B34" s="78">
        <f t="shared" si="16"/>
        <v>75676</v>
      </c>
      <c r="C34" s="78">
        <f t="shared" si="12"/>
        <v>0</v>
      </c>
      <c r="D34" s="78"/>
      <c r="E34" s="78">
        <f t="shared" si="17"/>
        <v>62583</v>
      </c>
      <c r="F34" s="78">
        <f t="shared" si="18"/>
        <v>61216</v>
      </c>
      <c r="G34" s="78"/>
      <c r="H34" s="78">
        <f>+H33</f>
        <v>140099</v>
      </c>
      <c r="I34" s="78">
        <f>IF(B34-H34&gt;0,+B34-H34,0)</f>
        <v>0</v>
      </c>
      <c r="J34" s="78"/>
      <c r="K34" s="78">
        <f>+B34+C34-F34</f>
        <v>14460</v>
      </c>
      <c r="L34" s="78"/>
      <c r="M34" s="78">
        <f>+M33</f>
        <v>15553</v>
      </c>
      <c r="N34" s="78">
        <f>SUM('3rd Party Deals'!T34)</f>
        <v>10028</v>
      </c>
      <c r="O34" s="78">
        <f>SUM('Spot wENA'!Z34)</f>
        <v>0</v>
      </c>
      <c r="P34" s="79">
        <f>SUM(M34:O34)</f>
        <v>25581</v>
      </c>
      <c r="Q34" s="78"/>
      <c r="R34" s="79">
        <f>IF(T34&gt;0,+B34-T34,0)</f>
        <v>0</v>
      </c>
      <c r="S34" s="78"/>
      <c r="T34" s="78">
        <f>IF(K34-P34&gt;0,K34-P34,0)</f>
        <v>0</v>
      </c>
      <c r="V34" s="78">
        <f>IF(P34-K34&gt;0,P34-K34,0)</f>
        <v>11121</v>
      </c>
      <c r="X34" s="81"/>
      <c r="Y34" s="81">
        <f t="shared" si="7"/>
        <v>0.03</v>
      </c>
    </row>
    <row r="35" spans="1:25" x14ac:dyDescent="0.25">
      <c r="A35" s="78">
        <f>+A34+1</f>
        <v>30</v>
      </c>
      <c r="B35" s="78">
        <f t="shared" si="16"/>
        <v>75676</v>
      </c>
      <c r="C35" s="78">
        <f t="shared" si="12"/>
        <v>0</v>
      </c>
      <c r="D35" s="78"/>
      <c r="E35" s="78">
        <f t="shared" si="17"/>
        <v>62583</v>
      </c>
      <c r="F35" s="78">
        <f t="shared" si="18"/>
        <v>61216</v>
      </c>
      <c r="G35" s="78"/>
      <c r="H35" s="78">
        <f>+H34</f>
        <v>140099</v>
      </c>
      <c r="I35" s="78">
        <f>IF(B35-H35&gt;0,+B35-H35,0)</f>
        <v>0</v>
      </c>
      <c r="J35" s="78"/>
      <c r="K35" s="78">
        <f>+B35+C35-F35</f>
        <v>14460</v>
      </c>
      <c r="L35" s="78"/>
      <c r="M35" s="78">
        <f>+M34</f>
        <v>15553</v>
      </c>
      <c r="N35" s="78">
        <f>SUM('3rd Party Deals'!T35)</f>
        <v>10028</v>
      </c>
      <c r="O35" s="78">
        <f>SUM('Spot wENA'!Z35)</f>
        <v>0</v>
      </c>
      <c r="P35" s="79">
        <f>SUM(M35:O35)</f>
        <v>25581</v>
      </c>
      <c r="Q35" s="78"/>
      <c r="R35" s="79">
        <f>IF(T35&gt;0,+B35-T35,0)</f>
        <v>0</v>
      </c>
      <c r="S35" s="78"/>
      <c r="T35" s="78">
        <f>IF(K35-P35&gt;0,K35-P35,0)</f>
        <v>0</v>
      </c>
      <c r="V35" s="78">
        <f>IF(P35-K35&gt;0,P35-K35,0)</f>
        <v>11121</v>
      </c>
      <c r="X35" s="81"/>
      <c r="Y35" s="81">
        <f t="shared" si="7"/>
        <v>0.03</v>
      </c>
    </row>
    <row r="36" spans="1:25" x14ac:dyDescent="0.25">
      <c r="A36" s="78">
        <f>+A35+1</f>
        <v>31</v>
      </c>
      <c r="B36" s="78">
        <f t="shared" si="16"/>
        <v>75676</v>
      </c>
      <c r="C36" s="78">
        <f t="shared" si="12"/>
        <v>0</v>
      </c>
      <c r="D36" s="78"/>
      <c r="E36" s="78">
        <f t="shared" si="17"/>
        <v>62583</v>
      </c>
      <c r="F36" s="78">
        <f t="shared" si="18"/>
        <v>61216</v>
      </c>
      <c r="G36" s="78"/>
      <c r="H36" s="78">
        <f>+H35</f>
        <v>140099</v>
      </c>
      <c r="I36" s="78">
        <f>IF(B36-H36&gt;0,+B36-H36,0)</f>
        <v>0</v>
      </c>
      <c r="J36" s="78"/>
      <c r="K36" s="78">
        <f>+B36+C36-F36</f>
        <v>14460</v>
      </c>
      <c r="L36" s="78"/>
      <c r="M36" s="78">
        <f>+M35</f>
        <v>15553</v>
      </c>
      <c r="N36" s="78">
        <f>SUM('3rd Party Deals'!T36)</f>
        <v>10028</v>
      </c>
      <c r="O36" s="78">
        <f>SUM('Spot wENA'!Z36)</f>
        <v>0</v>
      </c>
      <c r="P36" s="79">
        <f>SUM(M36:O36)</f>
        <v>25581</v>
      </c>
      <c r="Q36" s="78"/>
      <c r="R36" s="79">
        <f>IF(T36&gt;0,+B36-T36,0)</f>
        <v>0</v>
      </c>
      <c r="S36" s="78"/>
      <c r="T36" s="78">
        <f>IF(K36-P36&gt;0,K36-P36,0)</f>
        <v>0</v>
      </c>
      <c r="V36" s="78">
        <f>IF(P36-K36&gt;0,P36-K36,0)</f>
        <v>11121</v>
      </c>
      <c r="X36" s="81"/>
      <c r="Y36" s="81">
        <f t="shared" si="7"/>
        <v>0.03</v>
      </c>
    </row>
    <row r="37" spans="1:25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V37" s="78"/>
      <c r="X37" s="84"/>
    </row>
    <row r="38" spans="1:25" x14ac:dyDescent="0.25">
      <c r="A38" s="78"/>
      <c r="B38" s="78">
        <f>SUM(B6:B37)</f>
        <v>2351082</v>
      </c>
      <c r="C38" s="78">
        <f>SUM(C6:C37)</f>
        <v>69726</v>
      </c>
      <c r="D38" s="78"/>
      <c r="E38" s="78">
        <f>SUM(E6:E37)</f>
        <v>1945306</v>
      </c>
      <c r="F38" s="78">
        <f>SUM(F6:F37)</f>
        <v>1902815</v>
      </c>
      <c r="G38" s="78"/>
      <c r="H38" s="78"/>
      <c r="I38" s="78"/>
      <c r="J38" s="78"/>
      <c r="K38" s="78">
        <f>SUM(K6:K37)</f>
        <v>517993</v>
      </c>
      <c r="L38" s="78"/>
      <c r="M38" s="78">
        <f>SUM(M6:M37)</f>
        <v>482143</v>
      </c>
      <c r="N38" s="78">
        <f>SUM(N6:N37)</f>
        <v>325949</v>
      </c>
      <c r="O38" s="78">
        <f>SUM(O6:O37)</f>
        <v>0</v>
      </c>
      <c r="P38" s="78">
        <f>SUM(P6:P37)</f>
        <v>808092</v>
      </c>
      <c r="Q38" s="78"/>
      <c r="R38" s="78">
        <f>SUM(R6:R37)</f>
        <v>456175</v>
      </c>
      <c r="S38" s="78"/>
      <c r="T38" s="78">
        <f>SUM(T6:T37)</f>
        <v>3007</v>
      </c>
      <c r="V38" s="78">
        <f>SUM(V6:V37)</f>
        <v>293106</v>
      </c>
      <c r="X38" s="81"/>
    </row>
    <row r="40" spans="1:25" x14ac:dyDescent="0.25">
      <c r="E40" s="80">
        <v>1448997</v>
      </c>
    </row>
    <row r="41" spans="1:25" x14ac:dyDescent="0.25">
      <c r="E41" s="80">
        <f>+E40-E38</f>
        <v>-496309</v>
      </c>
    </row>
    <row r="48" spans="1:25" x14ac:dyDescent="0.25">
      <c r="V48" s="92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C19" activeCellId="1" sqref="C23 C19"/>
    </sheetView>
  </sheetViews>
  <sheetFormatPr defaultColWidth="9.109375" defaultRowHeight="11.4" x14ac:dyDescent="0.2"/>
  <cols>
    <col min="1" max="1" width="15.5546875" style="59" customWidth="1"/>
    <col min="2" max="2" width="9.109375" style="59"/>
    <col min="3" max="3" width="12.44140625" style="59" customWidth="1"/>
    <col min="4" max="4" width="12.109375" style="59" customWidth="1"/>
    <col min="5" max="5" width="11" style="59" customWidth="1"/>
    <col min="6" max="6" width="9.109375" style="59"/>
    <col min="7" max="7" width="15" style="59" customWidth="1"/>
    <col min="8" max="8" width="9.109375" style="59"/>
    <col min="9" max="9" width="12.44140625" style="59" bestFit="1" customWidth="1"/>
    <col min="10" max="11" width="9.109375" style="59"/>
    <col min="12" max="12" width="14.6640625" style="59" customWidth="1"/>
    <col min="13" max="16384" width="9.109375" style="59"/>
  </cols>
  <sheetData>
    <row r="1" spans="1:14" ht="13.2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3.2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3.2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3.2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3.2" x14ac:dyDescent="0.25">
      <c r="A5" s="62" t="s">
        <v>77</v>
      </c>
      <c r="C5" s="59" t="s">
        <v>43</v>
      </c>
      <c r="E5" s="59" t="s">
        <v>117</v>
      </c>
      <c r="F5" s="68"/>
      <c r="G5" s="68"/>
      <c r="H5" s="68"/>
      <c r="I5" s="68"/>
      <c r="J5" s="68"/>
      <c r="K5" s="68"/>
      <c r="L5" s="68"/>
      <c r="M5" s="68"/>
      <c r="N5" s="68"/>
    </row>
    <row r="6" spans="1:14" ht="13.2" x14ac:dyDescent="0.2">
      <c r="A6" s="59" t="s">
        <v>71</v>
      </c>
      <c r="B6" s="59" t="s">
        <v>77</v>
      </c>
      <c r="C6" s="94">
        <v>5.29</v>
      </c>
      <c r="E6" s="61">
        <v>5.29</v>
      </c>
      <c r="F6" s="68"/>
      <c r="G6" s="68" t="s">
        <v>269</v>
      </c>
      <c r="H6" s="68"/>
      <c r="I6" s="94">
        <v>5.26</v>
      </c>
      <c r="J6" s="68"/>
      <c r="K6" s="68"/>
      <c r="L6" s="68"/>
      <c r="M6" s="68"/>
      <c r="N6" s="68"/>
    </row>
    <row r="7" spans="1:14" ht="13.2" x14ac:dyDescent="0.2">
      <c r="A7" s="59" t="s">
        <v>76</v>
      </c>
      <c r="C7" s="61">
        <v>1.2500000000000001E-2</v>
      </c>
      <c r="E7" s="61">
        <v>1.2500000000000001E-2</v>
      </c>
      <c r="F7" s="68"/>
      <c r="G7" s="68" t="s">
        <v>177</v>
      </c>
      <c r="H7" s="68"/>
      <c r="I7" s="61">
        <v>1.2500000000000001E-2</v>
      </c>
      <c r="J7" s="68"/>
      <c r="K7" s="68"/>
      <c r="L7" s="68"/>
      <c r="M7" s="68"/>
      <c r="N7" s="68"/>
    </row>
    <row r="8" spans="1:14" ht="13.2" x14ac:dyDescent="0.2">
      <c r="A8" s="59" t="s">
        <v>72</v>
      </c>
      <c r="C8" s="61">
        <v>1.3299999999999999E-2</v>
      </c>
      <c r="E8" s="61">
        <v>1.3299999999999999E-2</v>
      </c>
      <c r="F8" s="68"/>
      <c r="G8" s="68" t="s">
        <v>270</v>
      </c>
      <c r="H8" s="68"/>
      <c r="I8" s="61">
        <v>-1.5299999999999999E-2</v>
      </c>
      <c r="J8" s="68"/>
      <c r="K8" s="68"/>
      <c r="L8" s="68"/>
      <c r="M8" s="68"/>
      <c r="N8" s="68"/>
    </row>
    <row r="9" spans="1:14" ht="13.2" x14ac:dyDescent="0.2">
      <c r="A9" s="59" t="s">
        <v>73</v>
      </c>
      <c r="C9" s="61">
        <v>9.1999999999999998E-3</v>
      </c>
      <c r="E9" s="61">
        <f>0.0072+0.0022</f>
        <v>9.4000000000000004E-3</v>
      </c>
      <c r="F9" s="68"/>
      <c r="G9" s="68" t="s">
        <v>271</v>
      </c>
      <c r="H9" s="68"/>
      <c r="I9" s="61">
        <v>9.1999999999999998E-3</v>
      </c>
      <c r="J9" s="68"/>
      <c r="K9" s="68"/>
      <c r="L9" s="68"/>
      <c r="M9" s="68"/>
      <c r="N9" s="68"/>
    </row>
    <row r="10" spans="1:14" ht="13.2" x14ac:dyDescent="0.2">
      <c r="A10" s="59" t="s">
        <v>74</v>
      </c>
      <c r="C10" s="75">
        <v>2.1839999999999998E-2</v>
      </c>
      <c r="E10" s="75">
        <v>2.1839999999999998E-2</v>
      </c>
      <c r="F10" s="68"/>
      <c r="G10" s="68"/>
      <c r="H10" s="68"/>
      <c r="I10" s="74">
        <f>SUM(I7:I9)</f>
        <v>6.4000000000000012E-3</v>
      </c>
      <c r="J10" s="68"/>
      <c r="K10" s="68"/>
      <c r="L10" s="68"/>
      <c r="M10" s="68"/>
      <c r="N10" s="68"/>
    </row>
    <row r="11" spans="1:14" ht="13.8" thickBot="1" x14ac:dyDescent="0.25">
      <c r="A11" s="59" t="s">
        <v>75</v>
      </c>
      <c r="C11" s="74">
        <f>ROUND(+C6/(1-C10)+(C8+C9),4)-C6</f>
        <v>0.14060000000000006</v>
      </c>
      <c r="E11" s="74">
        <f>ROUND(+E6/(1-E10)+(E8+E9),4)-E6</f>
        <v>0.14079999999999959</v>
      </c>
      <c r="F11" s="68"/>
      <c r="G11" s="68"/>
      <c r="H11" s="68"/>
      <c r="I11" s="71">
        <f>I6+I10</f>
        <v>5.2664</v>
      </c>
      <c r="J11" s="68"/>
      <c r="K11" s="68"/>
      <c r="L11" s="70"/>
      <c r="M11" s="68"/>
      <c r="N11" s="68"/>
    </row>
    <row r="12" spans="1:14" ht="14.4" thickTop="1" thickBot="1" x14ac:dyDescent="0.25">
      <c r="C12" s="71">
        <f>SUM(C6,C7,C11)</f>
        <v>5.4431000000000003</v>
      </c>
      <c r="D12" s="59" t="s">
        <v>293</v>
      </c>
      <c r="E12" s="74">
        <v>0.11</v>
      </c>
      <c r="F12" s="68"/>
      <c r="G12" s="68"/>
      <c r="H12" s="68"/>
      <c r="I12" s="64"/>
      <c r="J12" s="77"/>
      <c r="K12" s="68"/>
      <c r="L12" s="70"/>
      <c r="M12" s="68"/>
      <c r="N12" s="68"/>
    </row>
    <row r="13" spans="1:14" ht="14.4" thickTop="1" thickBot="1" x14ac:dyDescent="0.25">
      <c r="E13" s="71">
        <f>+E12+E11+E6</f>
        <v>5.5407999999999999</v>
      </c>
      <c r="H13" s="68"/>
      <c r="I13" s="76"/>
      <c r="J13" s="77"/>
      <c r="K13" s="68"/>
      <c r="L13" s="70"/>
      <c r="M13" s="68"/>
      <c r="N13" s="68"/>
    </row>
    <row r="14" spans="1:14" ht="13.8" thickTop="1" x14ac:dyDescent="0.2">
      <c r="C14" s="69"/>
      <c r="E14" s="69"/>
      <c r="H14" s="68"/>
      <c r="I14" s="76"/>
      <c r="J14" s="77"/>
      <c r="K14" s="68"/>
      <c r="L14" s="70"/>
      <c r="M14" s="68"/>
      <c r="N14" s="68"/>
    </row>
    <row r="15" spans="1:14" ht="13.2" x14ac:dyDescent="0.2">
      <c r="C15" s="67"/>
      <c r="E15" s="67"/>
      <c r="H15" s="68"/>
      <c r="I15" s="68"/>
      <c r="J15" s="68"/>
      <c r="K15" s="68"/>
      <c r="L15" s="70"/>
      <c r="M15" s="68"/>
      <c r="N15" s="68"/>
    </row>
    <row r="16" spans="1:14" ht="13.2" x14ac:dyDescent="0.2">
      <c r="C16" s="67"/>
      <c r="E16" s="67"/>
      <c r="H16" s="68"/>
      <c r="I16" s="68" t="s">
        <v>223</v>
      </c>
      <c r="J16" s="68"/>
      <c r="K16" s="68"/>
      <c r="L16" s="70"/>
      <c r="M16" s="68"/>
      <c r="N16" s="68"/>
    </row>
    <row r="17" spans="1:14" ht="13.2" x14ac:dyDescent="0.25">
      <c r="A17" s="62" t="s">
        <v>125</v>
      </c>
      <c r="C17" s="59" t="s">
        <v>23</v>
      </c>
      <c r="D17" s="63" t="s">
        <v>126</v>
      </c>
      <c r="E17" s="63"/>
      <c r="F17" s="72"/>
      <c r="G17" s="72"/>
      <c r="H17" s="72"/>
      <c r="I17" s="72" t="s">
        <v>219</v>
      </c>
      <c r="J17" s="68" t="s">
        <v>220</v>
      </c>
      <c r="K17" s="68"/>
      <c r="L17" s="68"/>
      <c r="M17" s="68"/>
      <c r="N17" s="68"/>
    </row>
    <row r="18" spans="1:14" ht="13.2" x14ac:dyDescent="0.2">
      <c r="A18" s="59" t="s">
        <v>71</v>
      </c>
      <c r="B18" s="59" t="s">
        <v>125</v>
      </c>
      <c r="C18" s="61">
        <v>5.0199999999999996</v>
      </c>
      <c r="D18" s="60">
        <v>1338</v>
      </c>
      <c r="E18" s="63" t="s">
        <v>214</v>
      </c>
      <c r="F18" s="72"/>
      <c r="G18" s="72"/>
      <c r="H18" s="95">
        <v>36892</v>
      </c>
      <c r="I18" s="96">
        <v>41486</v>
      </c>
      <c r="J18" s="96">
        <f>+I18/31</f>
        <v>1338.258064516129</v>
      </c>
      <c r="K18" s="68"/>
      <c r="L18" s="68"/>
      <c r="M18" s="68"/>
      <c r="N18" s="68"/>
    </row>
    <row r="19" spans="1:14" ht="13.2" x14ac:dyDescent="0.2">
      <c r="A19" s="59" t="s">
        <v>76</v>
      </c>
      <c r="C19" s="61">
        <v>0.1</v>
      </c>
      <c r="D19" s="63"/>
      <c r="E19" s="64"/>
      <c r="F19" s="72"/>
      <c r="G19" s="72"/>
      <c r="H19" s="95">
        <v>36923</v>
      </c>
      <c r="I19" s="96">
        <v>36508</v>
      </c>
      <c r="J19" s="96">
        <f>+I19/28</f>
        <v>1303.8571428571429</v>
      </c>
      <c r="K19" s="68"/>
      <c r="L19" s="68"/>
      <c r="M19" s="68"/>
      <c r="N19" s="68"/>
    </row>
    <row r="20" spans="1:14" ht="13.2" x14ac:dyDescent="0.2">
      <c r="A20" s="59" t="s">
        <v>72</v>
      </c>
      <c r="C20" s="61">
        <v>1.7000000000000001E-2</v>
      </c>
      <c r="D20" s="63"/>
      <c r="E20" s="64"/>
      <c r="F20" s="72"/>
      <c r="G20" s="72"/>
      <c r="H20" s="95">
        <v>36951</v>
      </c>
      <c r="I20" s="96">
        <v>26671</v>
      </c>
      <c r="J20" s="96">
        <f>+I20/31</f>
        <v>860.35483870967744</v>
      </c>
      <c r="K20" s="68"/>
      <c r="L20" s="68"/>
      <c r="M20" s="68"/>
      <c r="N20" s="68"/>
    </row>
    <row r="21" spans="1:14" ht="13.2" x14ac:dyDescent="0.2">
      <c r="A21" s="59" t="s">
        <v>73</v>
      </c>
      <c r="C21" s="61">
        <v>2.2000000000000001E-3</v>
      </c>
      <c r="D21" s="63"/>
      <c r="E21" s="64"/>
      <c r="F21" s="72"/>
      <c r="G21" s="72"/>
      <c r="H21" s="72"/>
      <c r="I21" s="73"/>
      <c r="J21" s="68"/>
      <c r="K21" s="68"/>
      <c r="L21" s="68"/>
      <c r="M21" s="68"/>
      <c r="N21" s="68"/>
    </row>
    <row r="22" spans="1:14" ht="13.2" x14ac:dyDescent="0.2">
      <c r="A22" s="59" t="s">
        <v>74</v>
      </c>
      <c r="C22" s="75">
        <v>2.8199999999999999E-2</v>
      </c>
      <c r="D22" s="63">
        <f>ROUND(+D18*(1-C22),0)</f>
        <v>1300</v>
      </c>
      <c r="E22" s="73" t="s">
        <v>216</v>
      </c>
      <c r="F22" s="72"/>
      <c r="G22" s="72"/>
      <c r="H22" s="72"/>
      <c r="I22" s="64"/>
      <c r="J22" s="68"/>
      <c r="K22" s="68"/>
      <c r="L22" s="68"/>
      <c r="M22" s="68"/>
      <c r="N22" s="68"/>
    </row>
    <row r="23" spans="1:14" ht="13.2" x14ac:dyDescent="0.2">
      <c r="A23" s="59" t="s">
        <v>75</v>
      </c>
      <c r="C23" s="74">
        <f>ROUND((+C18+C19)/(1-C22)+(C20+C21),4)-C18-C19</f>
        <v>0.16780000000000025</v>
      </c>
      <c r="D23" s="63"/>
      <c r="E23" s="64"/>
      <c r="F23" s="72"/>
      <c r="G23" s="72"/>
      <c r="H23" s="72"/>
      <c r="I23" s="64"/>
      <c r="J23" s="68"/>
      <c r="K23" s="68"/>
      <c r="L23" s="70"/>
      <c r="M23" s="68"/>
      <c r="N23" s="68"/>
    </row>
    <row r="24" spans="1:14" ht="13.8" thickBot="1" x14ac:dyDescent="0.25">
      <c r="C24" s="71">
        <f>SUM(C18,C19,C23)</f>
        <v>5.2877999999999998</v>
      </c>
      <c r="D24" s="63"/>
      <c r="E24" s="64"/>
      <c r="F24" s="72"/>
      <c r="G24" s="72"/>
      <c r="H24" s="72"/>
      <c r="I24" s="64"/>
      <c r="J24" s="68"/>
      <c r="K24" s="68"/>
      <c r="L24" s="70"/>
      <c r="M24" s="68"/>
      <c r="N24" s="68"/>
    </row>
    <row r="25" spans="1:14" ht="13.8" thickTop="1" x14ac:dyDescent="0.2">
      <c r="A25" s="59" t="s">
        <v>118</v>
      </c>
      <c r="D25" s="63"/>
      <c r="E25" s="64"/>
      <c r="F25" s="63"/>
      <c r="G25" s="63"/>
      <c r="H25" s="72"/>
      <c r="I25" s="72"/>
      <c r="J25" s="68"/>
      <c r="K25" s="68"/>
      <c r="L25" s="70"/>
      <c r="M25" s="68"/>
      <c r="N25" s="68"/>
    </row>
    <row r="26" spans="1:14" ht="13.2" x14ac:dyDescent="0.2">
      <c r="C26" s="69"/>
      <c r="E26" s="69"/>
      <c r="H26" s="68"/>
      <c r="I26" s="68"/>
      <c r="J26" s="68"/>
      <c r="K26" s="68"/>
      <c r="L26" s="70"/>
      <c r="M26" s="68"/>
      <c r="N26" s="68"/>
    </row>
    <row r="27" spans="1:14" ht="13.2" x14ac:dyDescent="0.2">
      <c r="A27" s="59" t="s">
        <v>221</v>
      </c>
      <c r="C27" s="67"/>
      <c r="E27" s="67"/>
      <c r="H27" s="68"/>
      <c r="I27" s="68"/>
      <c r="J27" s="68"/>
      <c r="K27" s="68"/>
      <c r="L27" s="70"/>
      <c r="M27" s="68"/>
      <c r="N27" s="68"/>
    </row>
    <row r="28" spans="1:14" ht="13.2" x14ac:dyDescent="0.2">
      <c r="B28" s="59" t="s">
        <v>222</v>
      </c>
      <c r="C28" s="61"/>
      <c r="H28" s="68"/>
      <c r="I28" s="68"/>
      <c r="J28" s="68"/>
      <c r="K28" s="68"/>
      <c r="L28" s="70"/>
      <c r="M28" s="68"/>
      <c r="N28" s="68"/>
    </row>
    <row r="29" spans="1:14" ht="13.2" x14ac:dyDescent="0.2">
      <c r="A29" s="68"/>
      <c r="B29" s="68" t="s">
        <v>207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4" ht="13.2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4" ht="13.2" x14ac:dyDescent="0.2">
      <c r="A31" s="68"/>
      <c r="B31" s="68" t="s">
        <v>215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4" ht="13.2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13.2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13.2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13.2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13.2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13.2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</sheetData>
  <pageMargins left="0.75" right="0.75" top="1" bottom="1" header="0.5" footer="0.5"/>
  <pageSetup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32"/>
  <sheetViews>
    <sheetView topLeftCell="A54" workbookViewId="0">
      <selection activeCell="C72" sqref="C72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0" t="s">
        <v>260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5">
      <c r="B2" s="1" t="s">
        <v>26</v>
      </c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5">
      <c r="B3" s="1" t="s">
        <v>27</v>
      </c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5">
      <c r="B5" s="1" t="s">
        <v>33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5">
      <c r="B6" s="1"/>
      <c r="C6" s="3" t="s">
        <v>81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5">
      <c r="B11" s="16" t="s">
        <v>7</v>
      </c>
      <c r="C11" s="17" t="s">
        <v>8</v>
      </c>
      <c r="D11" s="17" t="s">
        <v>9</v>
      </c>
      <c r="E11" s="18" t="s">
        <v>10</v>
      </c>
      <c r="F11" s="18"/>
      <c r="G11" s="16" t="s">
        <v>11</v>
      </c>
      <c r="H11" s="16" t="s">
        <v>12</v>
      </c>
      <c r="I11" s="17" t="s">
        <v>39</v>
      </c>
      <c r="J11" s="19" t="s">
        <v>13</v>
      </c>
      <c r="K11" s="17" t="s">
        <v>14</v>
      </c>
      <c r="L11" s="17" t="s">
        <v>15</v>
      </c>
      <c r="M11" s="17" t="s">
        <v>16</v>
      </c>
      <c r="N11" s="17" t="s">
        <v>17</v>
      </c>
      <c r="O11" s="42" t="s">
        <v>18</v>
      </c>
      <c r="P11" s="17" t="s">
        <v>19</v>
      </c>
      <c r="Q11" s="20" t="s">
        <v>78</v>
      </c>
      <c r="R11" s="17" t="s">
        <v>20</v>
      </c>
      <c r="S11" s="16" t="s">
        <v>21</v>
      </c>
      <c r="T11" s="21" t="s">
        <v>38</v>
      </c>
      <c r="U11" s="21" t="s">
        <v>37</v>
      </c>
      <c r="V11" s="52" t="s">
        <v>79</v>
      </c>
      <c r="W11" s="56" t="e">
        <f>+#REF!</f>
        <v>#REF!</v>
      </c>
      <c r="X11" s="36"/>
      <c r="Y11" s="36"/>
    </row>
    <row r="12" spans="2:25" s="58" customFormat="1" x14ac:dyDescent="0.25">
      <c r="B12" s="1" t="s">
        <v>80</v>
      </c>
      <c r="C12" s="3" t="s">
        <v>29</v>
      </c>
      <c r="D12" s="3" t="s">
        <v>36</v>
      </c>
      <c r="E12" s="4">
        <v>36923</v>
      </c>
      <c r="F12" s="4">
        <v>36922</v>
      </c>
      <c r="G12" s="1" t="s">
        <v>30</v>
      </c>
      <c r="H12" s="1" t="s">
        <v>24</v>
      </c>
      <c r="I12" s="3" t="s">
        <v>55</v>
      </c>
      <c r="J12" s="8">
        <f t="shared" ref="J12:J24" si="0">3.145/J$1</f>
        <v>0.10145161290322581</v>
      </c>
      <c r="K12" s="5"/>
      <c r="L12" s="5"/>
      <c r="M12" s="5"/>
      <c r="N12" s="5"/>
      <c r="O12" s="41"/>
      <c r="P12" s="5"/>
      <c r="Q12" s="24">
        <v>70358</v>
      </c>
      <c r="R12" s="3">
        <v>5</v>
      </c>
      <c r="S12" s="1" t="s">
        <v>268</v>
      </c>
      <c r="T12" s="107">
        <f>+J12*R12*31</f>
        <v>15.725000000000001</v>
      </c>
      <c r="U12" s="9"/>
      <c r="V12" s="54">
        <v>575395</v>
      </c>
      <c r="W12" s="1"/>
      <c r="X12" s="36"/>
      <c r="Y12" s="36"/>
    </row>
    <row r="13" spans="2:25" s="58" customFormat="1" x14ac:dyDescent="0.25">
      <c r="B13" s="1" t="s">
        <v>80</v>
      </c>
      <c r="C13" s="3" t="s">
        <v>29</v>
      </c>
      <c r="D13" s="3" t="s">
        <v>36</v>
      </c>
      <c r="E13" s="4">
        <v>36617</v>
      </c>
      <c r="F13" s="4">
        <v>36981</v>
      </c>
      <c r="G13" s="1" t="s">
        <v>30</v>
      </c>
      <c r="H13" s="1" t="s">
        <v>24</v>
      </c>
      <c r="I13" s="3" t="s">
        <v>55</v>
      </c>
      <c r="J13" s="8">
        <f t="shared" si="0"/>
        <v>0.10145161290322581</v>
      </c>
      <c r="K13" s="5"/>
      <c r="L13" s="5"/>
      <c r="M13" s="5"/>
      <c r="N13" s="5"/>
      <c r="O13" s="41"/>
      <c r="P13" s="5"/>
      <c r="Q13" s="24">
        <v>66941</v>
      </c>
      <c r="R13" s="3">
        <v>53</v>
      </c>
      <c r="S13" s="1"/>
      <c r="T13" s="107">
        <f>+J13*R13*31</f>
        <v>166.685</v>
      </c>
      <c r="U13" s="9"/>
      <c r="V13" s="54">
        <v>228122</v>
      </c>
      <c r="W13" s="1"/>
      <c r="X13" s="36"/>
      <c r="Y13" s="36"/>
    </row>
    <row r="14" spans="2:25" s="58" customFormat="1" x14ac:dyDescent="0.25">
      <c r="B14" s="1" t="s">
        <v>80</v>
      </c>
      <c r="C14" s="3" t="s">
        <v>29</v>
      </c>
      <c r="D14" s="3" t="s">
        <v>56</v>
      </c>
      <c r="E14" s="4">
        <v>36647</v>
      </c>
      <c r="F14" s="4">
        <v>37011</v>
      </c>
      <c r="G14" s="1" t="s">
        <v>30</v>
      </c>
      <c r="H14" s="1" t="s">
        <v>24</v>
      </c>
      <c r="I14" s="3" t="s">
        <v>55</v>
      </c>
      <c r="J14" s="8">
        <f t="shared" si="0"/>
        <v>0.10145161290322581</v>
      </c>
      <c r="K14" s="5"/>
      <c r="L14" s="5"/>
      <c r="M14" s="5"/>
      <c r="N14" s="5"/>
      <c r="O14" s="41"/>
      <c r="P14" s="5"/>
      <c r="Q14" s="24">
        <v>68281</v>
      </c>
      <c r="R14" s="3">
        <v>21</v>
      </c>
      <c r="S14" s="1" t="s">
        <v>112</v>
      </c>
      <c r="T14" s="9">
        <f>+R14*J14*$J$1</f>
        <v>66.045000000000002</v>
      </c>
      <c r="U14" s="9"/>
      <c r="V14" s="54">
        <v>256413</v>
      </c>
      <c r="W14" s="1"/>
      <c r="X14" s="36"/>
      <c r="Y14" s="36"/>
    </row>
    <row r="15" spans="2:25" s="58" customFormat="1" x14ac:dyDescent="0.25">
      <c r="B15" s="1" t="s">
        <v>80</v>
      </c>
      <c r="C15" s="3" t="s">
        <v>29</v>
      </c>
      <c r="D15" s="3" t="s">
        <v>36</v>
      </c>
      <c r="E15" s="4">
        <v>36656</v>
      </c>
      <c r="F15" s="4">
        <v>36950</v>
      </c>
      <c r="G15" s="1" t="s">
        <v>30</v>
      </c>
      <c r="H15" s="1" t="s">
        <v>24</v>
      </c>
      <c r="I15" s="3" t="s">
        <v>55</v>
      </c>
      <c r="J15" s="8">
        <f t="shared" si="0"/>
        <v>0.10145161290322581</v>
      </c>
      <c r="K15" s="5"/>
      <c r="L15" s="5"/>
      <c r="M15" s="5"/>
      <c r="N15" s="5"/>
      <c r="O15" s="41"/>
      <c r="P15" s="5"/>
      <c r="Q15" s="24">
        <v>68309</v>
      </c>
      <c r="R15" s="3">
        <v>9</v>
      </c>
      <c r="S15" s="1"/>
      <c r="T15" s="9">
        <f>+R15*J15*$J$1</f>
        <v>28.305</v>
      </c>
      <c r="U15" s="9"/>
      <c r="V15" s="54">
        <v>262090</v>
      </c>
      <c r="W15" s="1" t="s">
        <v>88</v>
      </c>
      <c r="X15" s="36"/>
      <c r="Y15" s="36"/>
    </row>
    <row r="16" spans="2:25" s="58" customFormat="1" x14ac:dyDescent="0.25">
      <c r="B16" s="1" t="s">
        <v>80</v>
      </c>
      <c r="C16" s="3" t="s">
        <v>29</v>
      </c>
      <c r="D16" s="3" t="s">
        <v>56</v>
      </c>
      <c r="E16" s="4">
        <v>36678</v>
      </c>
      <c r="F16" s="4">
        <v>37042</v>
      </c>
      <c r="G16" s="1" t="s">
        <v>30</v>
      </c>
      <c r="H16" s="1" t="s">
        <v>24</v>
      </c>
      <c r="I16" s="3" t="s">
        <v>55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1">
        <v>2.1160000000000002E-2</v>
      </c>
      <c r="P16" s="5">
        <f>SUM(J16:N16)</f>
        <v>0.11685161290322581</v>
      </c>
      <c r="Q16" s="24">
        <v>68360</v>
      </c>
      <c r="R16" s="3">
        <v>291</v>
      </c>
      <c r="S16" s="1"/>
      <c r="T16" s="9">
        <f>J16*J$1*R16</f>
        <v>915.19500000000005</v>
      </c>
      <c r="U16" s="9"/>
      <c r="V16" s="54">
        <v>271311</v>
      </c>
      <c r="W16" s="1"/>
      <c r="X16" s="36"/>
      <c r="Y16" s="36"/>
    </row>
    <row r="17" spans="2:25" s="58" customFormat="1" x14ac:dyDescent="0.25">
      <c r="B17" s="1" t="s">
        <v>80</v>
      </c>
      <c r="C17" s="3" t="s">
        <v>29</v>
      </c>
      <c r="D17" s="3" t="s">
        <v>36</v>
      </c>
      <c r="E17" s="4">
        <v>36678</v>
      </c>
      <c r="F17" s="4">
        <v>37042</v>
      </c>
      <c r="G17" s="1" t="s">
        <v>30</v>
      </c>
      <c r="H17" s="1" t="s">
        <v>24</v>
      </c>
      <c r="I17" s="3" t="s">
        <v>55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1">
        <v>2.1160000000000002E-2</v>
      </c>
      <c r="P17" s="5">
        <f>SUM(J17:N17)</f>
        <v>0.11685161290322581</v>
      </c>
      <c r="Q17" s="24">
        <v>68385</v>
      </c>
      <c r="R17" s="3">
        <v>223</v>
      </c>
      <c r="S17" s="1"/>
      <c r="T17" s="9">
        <f>J17*J$1*R17</f>
        <v>701.33500000000004</v>
      </c>
      <c r="U17" s="9"/>
      <c r="V17" s="54">
        <v>280550</v>
      </c>
      <c r="W17" s="1"/>
      <c r="X17" s="36"/>
      <c r="Y17" s="36"/>
    </row>
    <row r="18" spans="2:25" s="58" customFormat="1" x14ac:dyDescent="0.25">
      <c r="B18" s="1" t="s">
        <v>80</v>
      </c>
      <c r="C18" s="3" t="s">
        <v>29</v>
      </c>
      <c r="D18" s="3" t="s">
        <v>56</v>
      </c>
      <c r="E18" s="4">
        <v>36708</v>
      </c>
      <c r="F18" s="4">
        <v>37072</v>
      </c>
      <c r="G18" s="1" t="s">
        <v>30</v>
      </c>
      <c r="H18" s="1" t="s">
        <v>24</v>
      </c>
      <c r="I18" s="3" t="s">
        <v>55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1">
        <v>2.1160000000000002E-2</v>
      </c>
      <c r="P18" s="5">
        <f>SUM(J18:N18)</f>
        <v>0.11685161290322581</v>
      </c>
      <c r="Q18" s="24">
        <v>68615</v>
      </c>
      <c r="R18" s="3">
        <v>920</v>
      </c>
      <c r="S18" s="1"/>
      <c r="T18" s="9">
        <f>J18*J$1*R18</f>
        <v>2893.4</v>
      </c>
      <c r="U18" s="9"/>
      <c r="V18" s="54">
        <v>309873</v>
      </c>
      <c r="W18" s="1"/>
      <c r="X18" s="36"/>
      <c r="Y18" s="36"/>
    </row>
    <row r="19" spans="2:25" s="58" customFormat="1" x14ac:dyDescent="0.25">
      <c r="B19" s="1" t="s">
        <v>80</v>
      </c>
      <c r="C19" s="3" t="s">
        <v>29</v>
      </c>
      <c r="D19" s="3" t="s">
        <v>56</v>
      </c>
      <c r="E19" s="4">
        <v>36708</v>
      </c>
      <c r="F19" s="4" t="s">
        <v>142</v>
      </c>
      <c r="G19" s="1" t="s">
        <v>30</v>
      </c>
      <c r="H19" s="1" t="s">
        <v>24</v>
      </c>
      <c r="I19" s="3" t="s">
        <v>55</v>
      </c>
      <c r="J19" s="8">
        <f t="shared" si="0"/>
        <v>0.10145161290322581</v>
      </c>
      <c r="K19" s="5"/>
      <c r="L19" s="5"/>
      <c r="M19" s="5"/>
      <c r="N19" s="5"/>
      <c r="O19" s="41"/>
      <c r="P19" s="5"/>
      <c r="Q19" s="24">
        <v>68634</v>
      </c>
      <c r="R19" s="3">
        <v>1</v>
      </c>
      <c r="S19" s="1"/>
      <c r="T19" s="9">
        <f>J19*J$1*R19</f>
        <v>3.145</v>
      </c>
      <c r="U19" s="9"/>
      <c r="V19" s="54">
        <v>312338</v>
      </c>
      <c r="W19" s="1"/>
      <c r="X19" s="36"/>
      <c r="Y19" s="36"/>
    </row>
    <row r="20" spans="2:25" s="58" customFormat="1" x14ac:dyDescent="0.25">
      <c r="B20" s="1" t="s">
        <v>80</v>
      </c>
      <c r="C20" s="3" t="s">
        <v>29</v>
      </c>
      <c r="D20" s="3" t="s">
        <v>36</v>
      </c>
      <c r="E20" s="4">
        <v>36739</v>
      </c>
      <c r="F20" s="4">
        <v>37103</v>
      </c>
      <c r="G20" s="1" t="s">
        <v>30</v>
      </c>
      <c r="H20" s="1" t="s">
        <v>24</v>
      </c>
      <c r="I20" s="3" t="s">
        <v>55</v>
      </c>
      <c r="J20" s="8">
        <f t="shared" si="0"/>
        <v>0.10145161290322581</v>
      </c>
      <c r="K20" s="5"/>
      <c r="L20" s="5"/>
      <c r="M20" s="5"/>
      <c r="N20" s="5"/>
      <c r="O20" s="41"/>
      <c r="P20" s="5"/>
      <c r="Q20" s="24">
        <v>68927</v>
      </c>
      <c r="R20" s="3">
        <v>4</v>
      </c>
      <c r="S20" s="1" t="s">
        <v>1</v>
      </c>
      <c r="T20" s="9">
        <f>+R20*J20*$J$1</f>
        <v>12.58</v>
      </c>
      <c r="U20" s="9"/>
      <c r="V20" s="54">
        <v>345112</v>
      </c>
      <c r="W20" s="1"/>
      <c r="X20" s="36"/>
      <c r="Y20" s="36"/>
    </row>
    <row r="21" spans="2:25" s="58" customFormat="1" x14ac:dyDescent="0.25">
      <c r="B21" s="1" t="s">
        <v>80</v>
      </c>
      <c r="C21" s="3" t="s">
        <v>29</v>
      </c>
      <c r="D21" s="3" t="s">
        <v>36</v>
      </c>
      <c r="E21" s="4">
        <v>36739</v>
      </c>
      <c r="F21" s="4">
        <v>37103</v>
      </c>
      <c r="G21" s="1" t="s">
        <v>30</v>
      </c>
      <c r="H21" s="1" t="s">
        <v>24</v>
      </c>
      <c r="I21" s="3" t="s">
        <v>55</v>
      </c>
      <c r="J21" s="8">
        <f t="shared" si="0"/>
        <v>0.10145161290322581</v>
      </c>
      <c r="K21" s="5"/>
      <c r="L21" s="5"/>
      <c r="M21" s="5"/>
      <c r="N21" s="5"/>
      <c r="O21" s="41"/>
      <c r="P21" s="5"/>
      <c r="Q21" s="24">
        <v>68929</v>
      </c>
      <c r="R21" s="3">
        <v>48</v>
      </c>
      <c r="S21" s="1" t="s">
        <v>2</v>
      </c>
      <c r="T21" s="9">
        <f>+R21*J21*$J$1</f>
        <v>150.96</v>
      </c>
      <c r="U21" s="9"/>
      <c r="V21" s="54">
        <v>345091</v>
      </c>
      <c r="W21" s="1"/>
      <c r="X21" s="36"/>
      <c r="Y21" s="36"/>
    </row>
    <row r="22" spans="2:25" s="58" customFormat="1" x14ac:dyDescent="0.25">
      <c r="B22" s="1" t="s">
        <v>80</v>
      </c>
      <c r="C22" s="3" t="s">
        <v>29</v>
      </c>
      <c r="D22" s="3" t="s">
        <v>36</v>
      </c>
      <c r="E22" s="4">
        <v>36770</v>
      </c>
      <c r="F22" s="4">
        <v>37134</v>
      </c>
      <c r="G22" s="1" t="s">
        <v>30</v>
      </c>
      <c r="H22" s="1" t="s">
        <v>24</v>
      </c>
      <c r="I22" s="3" t="s">
        <v>55</v>
      </c>
      <c r="J22" s="8">
        <f t="shared" si="0"/>
        <v>0.10145161290322581</v>
      </c>
      <c r="K22" s="5"/>
      <c r="L22" s="5"/>
      <c r="M22" s="5"/>
      <c r="N22" s="5"/>
      <c r="O22" s="41"/>
      <c r="P22" s="5"/>
      <c r="Q22" s="24">
        <v>69145</v>
      </c>
      <c r="R22" s="3">
        <v>63</v>
      </c>
      <c r="S22" s="1" t="s">
        <v>128</v>
      </c>
      <c r="T22" s="9">
        <f>+R22*J22*J2</f>
        <v>0</v>
      </c>
      <c r="U22" s="9"/>
      <c r="V22" s="54">
        <v>372169</v>
      </c>
      <c r="W22" s="1"/>
      <c r="X22" s="36"/>
      <c r="Y22" s="36"/>
    </row>
    <row r="23" spans="2:25" s="58" customFormat="1" x14ac:dyDescent="0.25">
      <c r="B23" s="1" t="s">
        <v>80</v>
      </c>
      <c r="C23" s="3" t="s">
        <v>29</v>
      </c>
      <c r="D23" s="3" t="s">
        <v>36</v>
      </c>
      <c r="E23" s="4">
        <v>36800</v>
      </c>
      <c r="F23" s="4">
        <v>37164</v>
      </c>
      <c r="G23" s="1" t="s">
        <v>30</v>
      </c>
      <c r="H23" s="1" t="s">
        <v>24</v>
      </c>
      <c r="I23" s="3" t="s">
        <v>55</v>
      </c>
      <c r="J23" s="8">
        <f t="shared" si="0"/>
        <v>0.10145161290322581</v>
      </c>
      <c r="K23" s="5"/>
      <c r="L23" s="5"/>
      <c r="M23" s="5"/>
      <c r="N23" s="5"/>
      <c r="O23" s="41"/>
      <c r="P23" s="5"/>
      <c r="Q23" s="24">
        <v>69357</v>
      </c>
      <c r="R23" s="3">
        <v>13</v>
      </c>
      <c r="S23" s="1" t="s">
        <v>132</v>
      </c>
      <c r="T23" s="9">
        <f>+R23*J23*J1</f>
        <v>40.884999999999998</v>
      </c>
      <c r="U23" s="9"/>
      <c r="V23" s="54">
        <v>418249</v>
      </c>
      <c r="W23" s="1"/>
      <c r="X23" s="36"/>
      <c r="Y23" s="36"/>
    </row>
    <row r="24" spans="2:25" s="58" customFormat="1" x14ac:dyDescent="0.25">
      <c r="B24" s="1" t="s">
        <v>80</v>
      </c>
      <c r="C24" s="3" t="s">
        <v>29</v>
      </c>
      <c r="D24" s="3" t="s">
        <v>36</v>
      </c>
      <c r="E24" s="4">
        <v>36831</v>
      </c>
      <c r="F24" s="4">
        <v>37195</v>
      </c>
      <c r="G24" s="1" t="s">
        <v>30</v>
      </c>
      <c r="H24" s="1" t="s">
        <v>24</v>
      </c>
      <c r="I24" s="3" t="s">
        <v>55</v>
      </c>
      <c r="J24" s="8">
        <f t="shared" si="0"/>
        <v>0.10145161290322581</v>
      </c>
      <c r="K24" s="5"/>
      <c r="L24" s="5"/>
      <c r="M24" s="5"/>
      <c r="N24" s="5"/>
      <c r="O24" s="41"/>
      <c r="P24" s="5"/>
      <c r="Q24" s="24">
        <v>69710</v>
      </c>
      <c r="R24" s="3">
        <v>129</v>
      </c>
      <c r="S24" s="1" t="s">
        <v>143</v>
      </c>
      <c r="T24" s="9">
        <f>+R24*J24*J1</f>
        <v>405.70500000000004</v>
      </c>
      <c r="U24" s="9"/>
      <c r="V24" s="54">
        <v>567314</v>
      </c>
      <c r="W24" s="1"/>
      <c r="X24" s="36"/>
      <c r="Y24" s="36"/>
    </row>
    <row r="25" spans="2:25" s="58" customFormat="1" x14ac:dyDescent="0.25">
      <c r="B25" s="1" t="s">
        <v>80</v>
      </c>
      <c r="C25" s="3" t="s">
        <v>29</v>
      </c>
      <c r="D25" s="3" t="s">
        <v>36</v>
      </c>
      <c r="E25" s="4">
        <v>36861</v>
      </c>
      <c r="F25" s="4">
        <v>37225</v>
      </c>
      <c r="G25" s="1" t="s">
        <v>30</v>
      </c>
      <c r="H25" s="1" t="s">
        <v>24</v>
      </c>
      <c r="I25" s="3" t="s">
        <v>55</v>
      </c>
      <c r="J25" s="8">
        <f>3.145/J1</f>
        <v>0.10145161290322581</v>
      </c>
      <c r="K25" s="5"/>
      <c r="L25" s="5"/>
      <c r="M25" s="5"/>
      <c r="N25" s="5"/>
      <c r="O25" s="41"/>
      <c r="P25" s="5"/>
      <c r="Q25" s="24">
        <v>69947</v>
      </c>
      <c r="R25" s="3">
        <v>3</v>
      </c>
      <c r="S25" s="1" t="s">
        <v>183</v>
      </c>
      <c r="T25" s="9">
        <f>+R25*J25*J1</f>
        <v>9.4350000000000005</v>
      </c>
      <c r="U25" s="9"/>
      <c r="V25" s="54">
        <v>491030</v>
      </c>
      <c r="W25" s="1"/>
      <c r="X25" s="36"/>
      <c r="Y25" s="36"/>
    </row>
    <row r="26" spans="2:25" s="58" customFormat="1" x14ac:dyDescent="0.25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5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5409.4000000000015</v>
      </c>
      <c r="U27" s="9"/>
      <c r="V27" s="54"/>
      <c r="W27" s="1"/>
      <c r="X27" s="36"/>
      <c r="Y27" s="36"/>
    </row>
    <row r="28" spans="2:25" x14ac:dyDescent="0.25">
      <c r="B28" s="16" t="s">
        <v>7</v>
      </c>
      <c r="C28" s="17" t="s">
        <v>8</v>
      </c>
      <c r="D28" s="17" t="s">
        <v>9</v>
      </c>
      <c r="E28" s="18" t="s">
        <v>10</v>
      </c>
      <c r="F28" s="18"/>
      <c r="G28" s="16" t="s">
        <v>11</v>
      </c>
      <c r="H28" s="16" t="s">
        <v>12</v>
      </c>
      <c r="I28" s="17" t="s">
        <v>39</v>
      </c>
      <c r="J28" s="19" t="s">
        <v>13</v>
      </c>
      <c r="K28" s="17" t="s">
        <v>14</v>
      </c>
      <c r="L28" s="17" t="s">
        <v>15</v>
      </c>
      <c r="M28" s="17" t="s">
        <v>16</v>
      </c>
      <c r="N28" s="17" t="s">
        <v>17</v>
      </c>
      <c r="O28" s="42" t="s">
        <v>18</v>
      </c>
      <c r="P28" s="17" t="s">
        <v>19</v>
      </c>
      <c r="Q28" s="20" t="s">
        <v>78</v>
      </c>
      <c r="R28" s="17" t="s">
        <v>20</v>
      </c>
      <c r="S28" s="16" t="s">
        <v>21</v>
      </c>
      <c r="T28" s="21" t="s">
        <v>38</v>
      </c>
      <c r="U28" s="21" t="s">
        <v>37</v>
      </c>
      <c r="V28" s="52" t="s">
        <v>79</v>
      </c>
      <c r="W28" s="105" t="e">
        <f>+#REF!</f>
        <v>#REF!</v>
      </c>
      <c r="X28" s="36"/>
      <c r="Y28" s="36"/>
    </row>
    <row r="29" spans="2:25" s="139" customFormat="1" ht="12" customHeight="1" x14ac:dyDescent="0.25">
      <c r="B29" s="127" t="s">
        <v>80</v>
      </c>
      <c r="C29" s="128" t="s">
        <v>85</v>
      </c>
      <c r="D29" s="128" t="s">
        <v>86</v>
      </c>
      <c r="E29" s="129">
        <v>36951</v>
      </c>
      <c r="F29" s="129">
        <v>36981</v>
      </c>
      <c r="G29" s="130"/>
      <c r="H29" s="130"/>
      <c r="I29" s="128" t="s">
        <v>87</v>
      </c>
      <c r="J29" s="131">
        <v>2.8340000000000001E-2</v>
      </c>
      <c r="K29" s="132">
        <v>0</v>
      </c>
      <c r="L29" s="132">
        <v>2.2000000000000001E-3</v>
      </c>
      <c r="M29" s="132">
        <v>7.1999999999999998E-3</v>
      </c>
      <c r="N29" s="132">
        <v>0</v>
      </c>
      <c r="O29" s="133">
        <v>0</v>
      </c>
      <c r="P29" s="132">
        <f t="shared" ref="P29:P38" si="1">SUM(J29:N29)</f>
        <v>3.7740000000000003E-2</v>
      </c>
      <c r="Q29" s="134" t="s">
        <v>108</v>
      </c>
      <c r="R29" s="128">
        <v>264913</v>
      </c>
      <c r="S29" s="127" t="s">
        <v>47</v>
      </c>
      <c r="T29" s="135">
        <f>+J29*R29</f>
        <v>7507.6344200000003</v>
      </c>
      <c r="U29" s="135"/>
      <c r="V29" s="136">
        <v>649498</v>
      </c>
      <c r="W29" s="137">
        <v>2001000303</v>
      </c>
      <c r="X29" s="138"/>
      <c r="Y29" s="138"/>
    </row>
    <row r="30" spans="2:25" s="139" customFormat="1" ht="11.25" customHeight="1" x14ac:dyDescent="0.25">
      <c r="B30" s="127" t="s">
        <v>80</v>
      </c>
      <c r="C30" s="128" t="s">
        <v>85</v>
      </c>
      <c r="D30" s="128" t="s">
        <v>86</v>
      </c>
      <c r="E30" s="129">
        <v>36951</v>
      </c>
      <c r="F30" s="129">
        <v>36981</v>
      </c>
      <c r="G30" s="130"/>
      <c r="H30" s="130"/>
      <c r="I30" s="128" t="s">
        <v>87</v>
      </c>
      <c r="J30" s="131">
        <f>1.544/J1</f>
        <v>4.980645161290323E-2</v>
      </c>
      <c r="K30" s="132">
        <v>0</v>
      </c>
      <c r="L30" s="132">
        <v>2.2000000000000001E-3</v>
      </c>
      <c r="M30" s="132">
        <v>7.1999999999999998E-3</v>
      </c>
      <c r="N30" s="132">
        <v>0</v>
      </c>
      <c r="O30" s="133">
        <v>0</v>
      </c>
      <c r="P30" s="132">
        <f t="shared" si="1"/>
        <v>5.9206451612903228E-2</v>
      </c>
      <c r="Q30" s="134" t="s">
        <v>108</v>
      </c>
      <c r="R30" s="128">
        <v>5350</v>
      </c>
      <c r="S30" s="127" t="s">
        <v>48</v>
      </c>
      <c r="T30" s="135">
        <f>+J30*R30*J1</f>
        <v>8260.4000000000015</v>
      </c>
      <c r="U30" s="135"/>
      <c r="V30" s="136">
        <v>649498</v>
      </c>
      <c r="W30" s="137">
        <v>2001000303</v>
      </c>
      <c r="X30" s="138"/>
      <c r="Y30" s="138"/>
    </row>
    <row r="31" spans="2:25" s="139" customFormat="1" ht="12" customHeight="1" x14ac:dyDescent="0.25">
      <c r="B31" s="127" t="s">
        <v>80</v>
      </c>
      <c r="C31" s="128" t="s">
        <v>85</v>
      </c>
      <c r="D31" s="128" t="s">
        <v>86</v>
      </c>
      <c r="E31" s="129">
        <v>36951</v>
      </c>
      <c r="F31" s="129">
        <v>36981</v>
      </c>
      <c r="G31" s="130"/>
      <c r="H31" s="130"/>
      <c r="I31" s="128" t="s">
        <v>87</v>
      </c>
      <c r="J31" s="131">
        <v>2.8340000000000001E-2</v>
      </c>
      <c r="K31" s="132">
        <v>0</v>
      </c>
      <c r="L31" s="132">
        <v>2.2000000000000001E-3</v>
      </c>
      <c r="M31" s="132">
        <v>7.1999999999999998E-3</v>
      </c>
      <c r="N31" s="132">
        <v>0</v>
      </c>
      <c r="O31" s="133">
        <v>0</v>
      </c>
      <c r="P31" s="132">
        <f t="shared" si="1"/>
        <v>3.7740000000000003E-2</v>
      </c>
      <c r="Q31" s="134" t="s">
        <v>108</v>
      </c>
      <c r="R31" s="128">
        <v>3859</v>
      </c>
      <c r="S31" s="127" t="s">
        <v>47</v>
      </c>
      <c r="T31" s="135">
        <f>+J31*R31</f>
        <v>109.36406000000001</v>
      </c>
      <c r="U31" s="135"/>
      <c r="V31" s="136">
        <v>649489</v>
      </c>
      <c r="W31" s="137">
        <v>2001000320</v>
      </c>
      <c r="X31" s="138"/>
      <c r="Y31" s="138"/>
    </row>
    <row r="32" spans="2:25" s="139" customFormat="1" x14ac:dyDescent="0.25">
      <c r="B32" s="127" t="s">
        <v>80</v>
      </c>
      <c r="C32" s="128" t="s">
        <v>85</v>
      </c>
      <c r="D32" s="128" t="s">
        <v>86</v>
      </c>
      <c r="E32" s="129">
        <v>36951</v>
      </c>
      <c r="F32" s="129">
        <v>36981</v>
      </c>
      <c r="G32" s="130"/>
      <c r="H32" s="130"/>
      <c r="I32" s="128" t="s">
        <v>87</v>
      </c>
      <c r="J32" s="131">
        <f>1.544/J1</f>
        <v>4.980645161290323E-2</v>
      </c>
      <c r="K32" s="132">
        <v>0</v>
      </c>
      <c r="L32" s="132">
        <v>2.2000000000000001E-3</v>
      </c>
      <c r="M32" s="132">
        <v>7.1999999999999998E-3</v>
      </c>
      <c r="N32" s="132">
        <v>0</v>
      </c>
      <c r="O32" s="133">
        <v>0</v>
      </c>
      <c r="P32" s="132">
        <f t="shared" si="1"/>
        <v>5.9206451612903228E-2</v>
      </c>
      <c r="Q32" s="134" t="s">
        <v>108</v>
      </c>
      <c r="R32" s="128">
        <v>77</v>
      </c>
      <c r="S32" s="127" t="s">
        <v>48</v>
      </c>
      <c r="T32" s="135">
        <f>+J32*R32*30</f>
        <v>115.05290322580646</v>
      </c>
      <c r="U32" s="135"/>
      <c r="V32" s="136">
        <v>649489</v>
      </c>
      <c r="W32" s="137">
        <f>+W31</f>
        <v>2001000320</v>
      </c>
      <c r="X32" s="138"/>
      <c r="Y32" s="138"/>
    </row>
    <row r="33" spans="2:25" s="139" customFormat="1" ht="12" customHeight="1" x14ac:dyDescent="0.25">
      <c r="B33" s="127" t="s">
        <v>80</v>
      </c>
      <c r="C33" s="128" t="s">
        <v>85</v>
      </c>
      <c r="D33" s="128" t="s">
        <v>86</v>
      </c>
      <c r="E33" s="129">
        <v>36951</v>
      </c>
      <c r="F33" s="129">
        <v>37864</v>
      </c>
      <c r="G33" s="130"/>
      <c r="H33" s="130"/>
      <c r="I33" s="128" t="s">
        <v>87</v>
      </c>
      <c r="J33" s="131">
        <v>2.8340000000000001E-2</v>
      </c>
      <c r="K33" s="132">
        <v>0</v>
      </c>
      <c r="L33" s="132">
        <v>2.2000000000000001E-3</v>
      </c>
      <c r="M33" s="132">
        <v>7.1999999999999998E-3</v>
      </c>
      <c r="N33" s="132">
        <v>0</v>
      </c>
      <c r="O33" s="133">
        <v>0</v>
      </c>
      <c r="P33" s="132">
        <f t="shared" si="1"/>
        <v>3.7740000000000003E-2</v>
      </c>
      <c r="Q33" s="134" t="s">
        <v>108</v>
      </c>
      <c r="R33" s="128">
        <v>9006</v>
      </c>
      <c r="S33" s="127" t="s">
        <v>47</v>
      </c>
      <c r="T33" s="135">
        <f>+J33*R33</f>
        <v>255.23004</v>
      </c>
      <c r="U33" s="135"/>
      <c r="V33" s="136">
        <v>649578</v>
      </c>
      <c r="W33" s="137">
        <v>2001000319</v>
      </c>
      <c r="X33" s="138"/>
      <c r="Y33" s="138"/>
    </row>
    <row r="34" spans="2:25" s="139" customFormat="1" x14ac:dyDescent="0.25">
      <c r="B34" s="127" t="s">
        <v>80</v>
      </c>
      <c r="C34" s="128" t="s">
        <v>85</v>
      </c>
      <c r="D34" s="128" t="s">
        <v>86</v>
      </c>
      <c r="E34" s="129">
        <v>36951</v>
      </c>
      <c r="F34" s="129">
        <v>37864</v>
      </c>
      <c r="G34" s="130"/>
      <c r="H34" s="130"/>
      <c r="I34" s="128" t="s">
        <v>87</v>
      </c>
      <c r="J34" s="131">
        <f>1.544/J1</f>
        <v>4.980645161290323E-2</v>
      </c>
      <c r="K34" s="132">
        <v>0</v>
      </c>
      <c r="L34" s="132">
        <v>2.2000000000000001E-3</v>
      </c>
      <c r="M34" s="132">
        <v>7.1999999999999998E-3</v>
      </c>
      <c r="N34" s="132">
        <v>0</v>
      </c>
      <c r="O34" s="133">
        <v>0</v>
      </c>
      <c r="P34" s="132">
        <f t="shared" si="1"/>
        <v>5.9206451612903228E-2</v>
      </c>
      <c r="Q34" s="134" t="s">
        <v>108</v>
      </c>
      <c r="R34" s="128">
        <v>182</v>
      </c>
      <c r="S34" s="127" t="s">
        <v>48</v>
      </c>
      <c r="T34" s="135">
        <f>+J34*R34*30</f>
        <v>271.94322580645166</v>
      </c>
      <c r="U34" s="135"/>
      <c r="V34" s="136">
        <v>649578</v>
      </c>
      <c r="W34" s="137">
        <f>+W33</f>
        <v>2001000319</v>
      </c>
      <c r="X34" s="138"/>
      <c r="Y34" s="138"/>
    </row>
    <row r="35" spans="2:25" s="139" customFormat="1" ht="12" customHeight="1" x14ac:dyDescent="0.25">
      <c r="B35" s="127" t="s">
        <v>80</v>
      </c>
      <c r="C35" s="128" t="s">
        <v>85</v>
      </c>
      <c r="D35" s="128" t="s">
        <v>86</v>
      </c>
      <c r="E35" s="129">
        <v>36951</v>
      </c>
      <c r="F35" s="129">
        <v>37864</v>
      </c>
      <c r="G35" s="130"/>
      <c r="H35" s="130"/>
      <c r="I35" s="128" t="s">
        <v>87</v>
      </c>
      <c r="J35" s="131">
        <v>2.8340000000000001E-2</v>
      </c>
      <c r="K35" s="132">
        <v>0</v>
      </c>
      <c r="L35" s="132">
        <v>2.2000000000000001E-3</v>
      </c>
      <c r="M35" s="132">
        <v>7.1999999999999998E-3</v>
      </c>
      <c r="N35" s="132">
        <v>0</v>
      </c>
      <c r="O35" s="133">
        <v>0</v>
      </c>
      <c r="P35" s="132">
        <f t="shared" si="1"/>
        <v>3.7740000000000003E-2</v>
      </c>
      <c r="Q35" s="134" t="s">
        <v>108</v>
      </c>
      <c r="R35" s="128">
        <v>173885</v>
      </c>
      <c r="S35" s="127" t="s">
        <v>47</v>
      </c>
      <c r="T35" s="135">
        <f>+J35*R35</f>
        <v>4927.9009000000005</v>
      </c>
      <c r="U35" s="135"/>
      <c r="V35" s="136">
        <v>649579</v>
      </c>
      <c r="W35" s="137" t="s">
        <v>276</v>
      </c>
      <c r="X35" s="138"/>
      <c r="Y35" s="138"/>
    </row>
    <row r="36" spans="2:25" s="139" customFormat="1" x14ac:dyDescent="0.25">
      <c r="B36" s="127" t="s">
        <v>80</v>
      </c>
      <c r="C36" s="128" t="s">
        <v>85</v>
      </c>
      <c r="D36" s="128" t="s">
        <v>86</v>
      </c>
      <c r="E36" s="129">
        <v>36951</v>
      </c>
      <c r="F36" s="129">
        <v>37864</v>
      </c>
      <c r="G36" s="130"/>
      <c r="H36" s="130"/>
      <c r="I36" s="128" t="s">
        <v>87</v>
      </c>
      <c r="J36" s="131">
        <f>1.544/J1</f>
        <v>4.980645161290323E-2</v>
      </c>
      <c r="K36" s="132">
        <v>0</v>
      </c>
      <c r="L36" s="132">
        <v>2.2000000000000001E-3</v>
      </c>
      <c r="M36" s="132">
        <v>7.1999999999999998E-3</v>
      </c>
      <c r="N36" s="132">
        <v>0</v>
      </c>
      <c r="O36" s="133">
        <v>0</v>
      </c>
      <c r="P36" s="132">
        <f t="shared" si="1"/>
        <v>5.9206451612903228E-2</v>
      </c>
      <c r="Q36" s="134" t="s">
        <v>108</v>
      </c>
      <c r="R36" s="128">
        <v>3511</v>
      </c>
      <c r="S36" s="127" t="s">
        <v>48</v>
      </c>
      <c r="T36" s="135">
        <f>+J36*R36*30</f>
        <v>5246.1135483870976</v>
      </c>
      <c r="U36" s="135"/>
      <c r="V36" s="136">
        <v>649579</v>
      </c>
      <c r="W36" s="137" t="str">
        <f>+W35</f>
        <v>2001000470-Reliant</v>
      </c>
      <c r="X36" s="138"/>
      <c r="Y36" s="138"/>
    </row>
    <row r="37" spans="2:25" s="139" customFormat="1" ht="12" customHeight="1" x14ac:dyDescent="0.25">
      <c r="B37" s="127" t="s">
        <v>80</v>
      </c>
      <c r="C37" s="128" t="s">
        <v>85</v>
      </c>
      <c r="D37" s="128" t="s">
        <v>86</v>
      </c>
      <c r="E37" s="129">
        <v>36951</v>
      </c>
      <c r="F37" s="129">
        <v>36981</v>
      </c>
      <c r="G37" s="130"/>
      <c r="H37" s="130"/>
      <c r="I37" s="128" t="s">
        <v>87</v>
      </c>
      <c r="J37" s="131">
        <v>2.8340000000000001E-2</v>
      </c>
      <c r="K37" s="132">
        <v>0</v>
      </c>
      <c r="L37" s="132">
        <v>2.2000000000000001E-3</v>
      </c>
      <c r="M37" s="132">
        <v>7.1999999999999998E-3</v>
      </c>
      <c r="N37" s="132">
        <v>0</v>
      </c>
      <c r="O37" s="133">
        <v>0</v>
      </c>
      <c r="P37" s="132">
        <f t="shared" si="1"/>
        <v>3.7740000000000003E-2</v>
      </c>
      <c r="Q37" s="134" t="s">
        <v>108</v>
      </c>
      <c r="R37" s="128">
        <v>74522</v>
      </c>
      <c r="S37" s="127" t="s">
        <v>47</v>
      </c>
      <c r="T37" s="135">
        <f>+J37*R37</f>
        <v>2111.9534800000001</v>
      </c>
      <c r="U37" s="135"/>
      <c r="V37" s="136">
        <v>649584</v>
      </c>
      <c r="W37" s="137" t="s">
        <v>275</v>
      </c>
      <c r="X37" s="138"/>
      <c r="Y37" s="138"/>
    </row>
    <row r="38" spans="2:25" s="139" customFormat="1" x14ac:dyDescent="0.25">
      <c r="B38" s="127" t="s">
        <v>80</v>
      </c>
      <c r="C38" s="128" t="s">
        <v>85</v>
      </c>
      <c r="D38" s="128" t="s">
        <v>86</v>
      </c>
      <c r="E38" s="129">
        <v>36951</v>
      </c>
      <c r="F38" s="129">
        <v>36981</v>
      </c>
      <c r="G38" s="130"/>
      <c r="H38" s="130"/>
      <c r="I38" s="128" t="s">
        <v>87</v>
      </c>
      <c r="J38" s="131">
        <f>1.544/J1</f>
        <v>4.980645161290323E-2</v>
      </c>
      <c r="K38" s="132">
        <v>0</v>
      </c>
      <c r="L38" s="132">
        <v>2.2000000000000001E-3</v>
      </c>
      <c r="M38" s="132">
        <v>7.1999999999999998E-3</v>
      </c>
      <c r="N38" s="132">
        <v>0</v>
      </c>
      <c r="O38" s="133">
        <v>0</v>
      </c>
      <c r="P38" s="132">
        <f t="shared" si="1"/>
        <v>5.9206451612903228E-2</v>
      </c>
      <c r="Q38" s="134" t="s">
        <v>108</v>
      </c>
      <c r="R38" s="128">
        <v>1504</v>
      </c>
      <c r="S38" s="127" t="s">
        <v>48</v>
      </c>
      <c r="T38" s="135">
        <f>+J38*R38*30</f>
        <v>2247.2670967741938</v>
      </c>
      <c r="U38" s="135"/>
      <c r="V38" s="136">
        <v>649584</v>
      </c>
      <c r="W38" s="137" t="str">
        <f>+W37</f>
        <v>2001000471-Reliant</v>
      </c>
      <c r="X38" s="138"/>
      <c r="Y38" s="138"/>
    </row>
    <row r="39" spans="2:25" s="139" customFormat="1" ht="12" customHeight="1" x14ac:dyDescent="0.25">
      <c r="B39" s="127" t="s">
        <v>80</v>
      </c>
      <c r="C39" s="128" t="s">
        <v>85</v>
      </c>
      <c r="D39" s="128" t="s">
        <v>86</v>
      </c>
      <c r="E39" s="129">
        <v>36951</v>
      </c>
      <c r="F39" s="129">
        <v>37864</v>
      </c>
      <c r="G39" s="130"/>
      <c r="H39" s="130"/>
      <c r="I39" s="128" t="s">
        <v>87</v>
      </c>
      <c r="J39" s="131">
        <v>2.8340000000000001E-2</v>
      </c>
      <c r="K39" s="132"/>
      <c r="L39" s="132"/>
      <c r="M39" s="132"/>
      <c r="N39" s="132"/>
      <c r="O39" s="133"/>
      <c r="P39" s="132"/>
      <c r="Q39" s="134" t="s">
        <v>108</v>
      </c>
      <c r="R39" s="128">
        <v>1299</v>
      </c>
      <c r="S39" s="127" t="s">
        <v>47</v>
      </c>
      <c r="T39" s="135">
        <f>+J39*R39</f>
        <v>36.813659999999999</v>
      </c>
      <c r="U39" s="135"/>
      <c r="V39" s="136">
        <v>649593</v>
      </c>
      <c r="W39" s="137" t="s">
        <v>273</v>
      </c>
      <c r="X39" s="138"/>
      <c r="Y39" s="138"/>
    </row>
    <row r="40" spans="2:25" s="139" customFormat="1" x14ac:dyDescent="0.25">
      <c r="B40" s="127" t="s">
        <v>80</v>
      </c>
      <c r="C40" s="128" t="s">
        <v>85</v>
      </c>
      <c r="D40" s="128" t="s">
        <v>86</v>
      </c>
      <c r="E40" s="129">
        <v>36951</v>
      </c>
      <c r="F40" s="129">
        <v>37864</v>
      </c>
      <c r="G40" s="130"/>
      <c r="H40" s="130"/>
      <c r="I40" s="128" t="s">
        <v>87</v>
      </c>
      <c r="J40" s="131">
        <f>1.544/J1</f>
        <v>4.980645161290323E-2</v>
      </c>
      <c r="K40" s="132"/>
      <c r="L40" s="132"/>
      <c r="M40" s="132"/>
      <c r="N40" s="132"/>
      <c r="O40" s="133"/>
      <c r="P40" s="132"/>
      <c r="Q40" s="134" t="s">
        <v>108</v>
      </c>
      <c r="R40" s="128">
        <v>27</v>
      </c>
      <c r="S40" s="127" t="s">
        <v>48</v>
      </c>
      <c r="T40" s="135">
        <f>+R40*J40*J1</f>
        <v>41.688000000000002</v>
      </c>
      <c r="U40" s="135"/>
      <c r="V40" s="136">
        <v>649593</v>
      </c>
      <c r="W40" s="137" t="s">
        <v>273</v>
      </c>
      <c r="X40" s="138"/>
      <c r="Y40" s="138"/>
    </row>
    <row r="41" spans="2:25" s="139" customFormat="1" ht="12" customHeight="1" x14ac:dyDescent="0.25">
      <c r="B41" s="127" t="s">
        <v>80</v>
      </c>
      <c r="C41" s="128" t="s">
        <v>85</v>
      </c>
      <c r="D41" s="128" t="s">
        <v>86</v>
      </c>
      <c r="E41" s="129">
        <v>36951</v>
      </c>
      <c r="F41" s="129">
        <v>36981</v>
      </c>
      <c r="G41" s="130"/>
      <c r="H41" s="130"/>
      <c r="I41" s="128" t="s">
        <v>87</v>
      </c>
      <c r="J41" s="131">
        <v>2.8340000000000001E-2</v>
      </c>
      <c r="K41" s="132">
        <v>0</v>
      </c>
      <c r="L41" s="132">
        <v>2.2000000000000001E-3</v>
      </c>
      <c r="M41" s="132">
        <v>7.1999999999999998E-3</v>
      </c>
      <c r="N41" s="132">
        <v>0</v>
      </c>
      <c r="O41" s="133">
        <v>0</v>
      </c>
      <c r="P41" s="132">
        <f>SUM(J41:N41)</f>
        <v>3.7740000000000003E-2</v>
      </c>
      <c r="Q41" s="134" t="s">
        <v>108</v>
      </c>
      <c r="R41" s="128">
        <v>558</v>
      </c>
      <c r="S41" s="127" t="s">
        <v>47</v>
      </c>
      <c r="T41" s="135">
        <f>+J41*R41</f>
        <v>15.81372</v>
      </c>
      <c r="U41" s="135"/>
      <c r="V41" s="136">
        <v>649598</v>
      </c>
      <c r="W41" s="137" t="s">
        <v>274</v>
      </c>
      <c r="X41" s="138"/>
      <c r="Y41" s="138"/>
    </row>
    <row r="42" spans="2:25" s="139" customFormat="1" x14ac:dyDescent="0.25">
      <c r="B42" s="127" t="s">
        <v>80</v>
      </c>
      <c r="C42" s="128" t="s">
        <v>85</v>
      </c>
      <c r="D42" s="128" t="s">
        <v>86</v>
      </c>
      <c r="E42" s="129">
        <v>36951</v>
      </c>
      <c r="F42" s="129">
        <v>36981</v>
      </c>
      <c r="G42" s="130"/>
      <c r="H42" s="130"/>
      <c r="I42" s="128" t="s">
        <v>87</v>
      </c>
      <c r="J42" s="131">
        <f>1.544/28</f>
        <v>5.5142857142857146E-2</v>
      </c>
      <c r="K42" s="132">
        <v>0</v>
      </c>
      <c r="L42" s="132">
        <v>2.2000000000000001E-3</v>
      </c>
      <c r="M42" s="132">
        <v>7.1999999999999998E-3</v>
      </c>
      <c r="N42" s="132">
        <v>0</v>
      </c>
      <c r="O42" s="133">
        <v>0</v>
      </c>
      <c r="P42" s="132">
        <f>SUM(J42:N42)</f>
        <v>6.4542857142857152E-2</v>
      </c>
      <c r="Q42" s="134" t="s">
        <v>108</v>
      </c>
      <c r="R42" s="128">
        <v>11</v>
      </c>
      <c r="S42" s="127" t="s">
        <v>48</v>
      </c>
      <c r="T42" s="135">
        <f>+J42*R42*30</f>
        <v>18.197142857142861</v>
      </c>
      <c r="U42" s="135"/>
      <c r="V42" s="136">
        <v>649598</v>
      </c>
      <c r="W42" s="137" t="str">
        <f>+W41</f>
        <v>2001000473-Reliant</v>
      </c>
      <c r="X42" s="138"/>
      <c r="Y42" s="138"/>
    </row>
    <row r="43" spans="2:25" s="139" customFormat="1" ht="12" customHeight="1" x14ac:dyDescent="0.25">
      <c r="B43" s="127" t="s">
        <v>80</v>
      </c>
      <c r="C43" s="128" t="s">
        <v>85</v>
      </c>
      <c r="D43" s="128" t="s">
        <v>86</v>
      </c>
      <c r="E43" s="129">
        <v>36951</v>
      </c>
      <c r="F43" s="129">
        <v>37864</v>
      </c>
      <c r="G43" s="130"/>
      <c r="H43" s="130"/>
      <c r="I43" s="128" t="s">
        <v>87</v>
      </c>
      <c r="J43" s="131">
        <v>2.8340000000000001E-2</v>
      </c>
      <c r="K43" s="132">
        <v>0</v>
      </c>
      <c r="L43" s="132">
        <v>2.2000000000000001E-3</v>
      </c>
      <c r="M43" s="132">
        <v>7.1999999999999998E-3</v>
      </c>
      <c r="N43" s="132">
        <v>0</v>
      </c>
      <c r="O43" s="133">
        <v>0</v>
      </c>
      <c r="P43" s="132">
        <f>SUM(J43:N43)</f>
        <v>3.7740000000000003E-2</v>
      </c>
      <c r="Q43" s="134" t="s">
        <v>108</v>
      </c>
      <c r="R43" s="128">
        <v>618133</v>
      </c>
      <c r="S43" s="127" t="s">
        <v>47</v>
      </c>
      <c r="T43" s="135">
        <f>+J43*R43</f>
        <v>17517.889220000001</v>
      </c>
      <c r="U43" s="135"/>
      <c r="V43" s="136">
        <v>649502</v>
      </c>
      <c r="W43" s="140">
        <v>2001000302</v>
      </c>
      <c r="X43" s="138"/>
      <c r="Y43" s="138"/>
    </row>
    <row r="44" spans="2:25" s="139" customFormat="1" ht="12" customHeight="1" x14ac:dyDescent="0.25">
      <c r="B44" s="127" t="s">
        <v>80</v>
      </c>
      <c r="C44" s="128" t="s">
        <v>85</v>
      </c>
      <c r="D44" s="128" t="s">
        <v>86</v>
      </c>
      <c r="E44" s="129">
        <v>36951</v>
      </c>
      <c r="F44" s="129">
        <v>37864</v>
      </c>
      <c r="G44" s="130"/>
      <c r="H44" s="127" t="s">
        <v>60</v>
      </c>
      <c r="I44" s="128" t="s">
        <v>87</v>
      </c>
      <c r="J44" s="131">
        <f>10.845/J1</f>
        <v>0.34983870967741937</v>
      </c>
      <c r="K44" s="132">
        <v>0</v>
      </c>
      <c r="L44" s="132">
        <v>2.2000000000000001E-3</v>
      </c>
      <c r="M44" s="132">
        <v>7.1999999999999998E-3</v>
      </c>
      <c r="N44" s="132">
        <v>0</v>
      </c>
      <c r="O44" s="133">
        <v>0</v>
      </c>
      <c r="P44" s="132">
        <f>SUM(J44:N44)</f>
        <v>0.35923870967741933</v>
      </c>
      <c r="Q44" s="134" t="s">
        <v>100</v>
      </c>
      <c r="R44" s="128">
        <v>9980</v>
      </c>
      <c r="S44" s="130" t="s">
        <v>289</v>
      </c>
      <c r="T44" s="135">
        <f>+J44*R44*J1</f>
        <v>108233.1</v>
      </c>
      <c r="U44" s="135"/>
      <c r="V44" s="136">
        <v>648948</v>
      </c>
      <c r="W44" s="140" t="s">
        <v>6</v>
      </c>
      <c r="X44" s="138"/>
      <c r="Y44" s="138"/>
    </row>
    <row r="45" spans="2:25" s="139" customFormat="1" ht="12" customHeight="1" x14ac:dyDescent="0.25">
      <c r="B45" s="127" t="s">
        <v>80</v>
      </c>
      <c r="C45" s="128" t="s">
        <v>85</v>
      </c>
      <c r="D45" s="128" t="s">
        <v>86</v>
      </c>
      <c r="E45" s="129">
        <v>36951</v>
      </c>
      <c r="F45" s="129">
        <v>37864</v>
      </c>
      <c r="G45" s="130"/>
      <c r="H45" s="130"/>
      <c r="I45" s="128" t="s">
        <v>87</v>
      </c>
      <c r="J45" s="131">
        <f>1.544/31</f>
        <v>4.980645161290323E-2</v>
      </c>
      <c r="K45" s="132">
        <v>0</v>
      </c>
      <c r="L45" s="132">
        <v>2.2000000000000001E-3</v>
      </c>
      <c r="M45" s="132">
        <v>7.1999999999999998E-3</v>
      </c>
      <c r="N45" s="132">
        <v>0</v>
      </c>
      <c r="O45" s="133">
        <v>0</v>
      </c>
      <c r="P45" s="132">
        <f>SUM(J45:N45)</f>
        <v>5.9206451612903228E-2</v>
      </c>
      <c r="Q45" s="134" t="s">
        <v>108</v>
      </c>
      <c r="R45" s="128">
        <v>12484</v>
      </c>
      <c r="S45" s="127" t="s">
        <v>48</v>
      </c>
      <c r="T45" s="135">
        <f>+J45*R45*30</f>
        <v>18653.512258064518</v>
      </c>
      <c r="U45" s="135"/>
      <c r="V45" s="136">
        <v>649502</v>
      </c>
      <c r="W45" s="140">
        <f>+W43</f>
        <v>2001000302</v>
      </c>
      <c r="X45" s="138"/>
      <c r="Y45" s="138"/>
    </row>
    <row r="46" spans="2:25" s="139" customFormat="1" ht="12" customHeight="1" x14ac:dyDescent="0.25">
      <c r="B46" s="127" t="s">
        <v>80</v>
      </c>
      <c r="C46" s="128" t="s">
        <v>85</v>
      </c>
      <c r="D46" s="128" t="s">
        <v>86</v>
      </c>
      <c r="E46" s="129">
        <v>36951</v>
      </c>
      <c r="F46" s="129">
        <v>37864</v>
      </c>
      <c r="G46" s="127" t="s">
        <v>70</v>
      </c>
      <c r="H46" s="127" t="s">
        <v>60</v>
      </c>
      <c r="I46" s="128" t="s">
        <v>57</v>
      </c>
      <c r="J46" s="131">
        <f>10.845/J1</f>
        <v>0.34983870967741937</v>
      </c>
      <c r="K46" s="132"/>
      <c r="L46" s="132"/>
      <c r="M46" s="132"/>
      <c r="N46" s="132"/>
      <c r="O46" s="133"/>
      <c r="P46" s="132"/>
      <c r="Q46" s="134" t="s">
        <v>100</v>
      </c>
      <c r="R46" s="128">
        <v>12485</v>
      </c>
      <c r="S46" s="141" t="s">
        <v>290</v>
      </c>
      <c r="T46" s="135">
        <f>+J46*R46*30</f>
        <v>131032.08870967744</v>
      </c>
      <c r="U46" s="135"/>
      <c r="V46" s="136">
        <v>648869</v>
      </c>
      <c r="W46" s="140"/>
      <c r="X46" s="138"/>
      <c r="Y46" s="138"/>
    </row>
    <row r="47" spans="2:25" s="139" customFormat="1" ht="12" customHeight="1" x14ac:dyDescent="0.25">
      <c r="B47" s="127" t="s">
        <v>80</v>
      </c>
      <c r="C47" s="128" t="s">
        <v>85</v>
      </c>
      <c r="D47" s="128" t="s">
        <v>86</v>
      </c>
      <c r="E47" s="129">
        <v>36951</v>
      </c>
      <c r="F47" s="129">
        <v>36981</v>
      </c>
      <c r="G47" s="127" t="s">
        <v>70</v>
      </c>
      <c r="H47" s="127" t="s">
        <v>60</v>
      </c>
      <c r="I47" s="128" t="s">
        <v>57</v>
      </c>
      <c r="J47" s="131">
        <f>10.845/J1</f>
        <v>0.34983870967741937</v>
      </c>
      <c r="K47" s="132"/>
      <c r="L47" s="132"/>
      <c r="M47" s="132"/>
      <c r="N47" s="132"/>
      <c r="O47" s="133"/>
      <c r="P47" s="132"/>
      <c r="Q47" s="134" t="s">
        <v>100</v>
      </c>
      <c r="R47" s="128">
        <v>2062</v>
      </c>
      <c r="S47" s="141">
        <v>2001000336</v>
      </c>
      <c r="T47" s="135">
        <f>+J47*R47*30</f>
        <v>21641.02258064516</v>
      </c>
      <c r="U47" s="135"/>
      <c r="V47" s="136">
        <v>649455</v>
      </c>
      <c r="W47" s="140"/>
      <c r="X47" s="138"/>
      <c r="Y47" s="138"/>
    </row>
    <row r="48" spans="2:25" s="139" customFormat="1" ht="12" customHeight="1" x14ac:dyDescent="0.25">
      <c r="B48" s="127" t="s">
        <v>80</v>
      </c>
      <c r="C48" s="128" t="s">
        <v>85</v>
      </c>
      <c r="D48" s="128" t="s">
        <v>86</v>
      </c>
      <c r="E48" s="129">
        <v>36951</v>
      </c>
      <c r="F48" s="129">
        <v>37864</v>
      </c>
      <c r="G48" s="127" t="s">
        <v>70</v>
      </c>
      <c r="H48" s="127" t="s">
        <v>60</v>
      </c>
      <c r="I48" s="128" t="s">
        <v>57</v>
      </c>
      <c r="J48" s="131">
        <f>10.845/J1</f>
        <v>0.34983870967741937</v>
      </c>
      <c r="K48" s="132"/>
      <c r="L48" s="132"/>
      <c r="M48" s="132"/>
      <c r="N48" s="132"/>
      <c r="O48" s="133"/>
      <c r="P48" s="132"/>
      <c r="Q48" s="134" t="s">
        <v>100</v>
      </c>
      <c r="R48" s="128">
        <v>2937</v>
      </c>
      <c r="S48" s="142" t="s">
        <v>286</v>
      </c>
      <c r="T48" s="135">
        <f t="shared" ref="T48:T56" si="2">+R48*J48*30</f>
        <v>30824.288709677425</v>
      </c>
      <c r="U48" s="135"/>
      <c r="V48" s="136">
        <v>649344</v>
      </c>
      <c r="W48" s="140" t="s">
        <v>280</v>
      </c>
      <c r="X48" s="138"/>
      <c r="Y48" s="138"/>
    </row>
    <row r="49" spans="2:25" s="139" customFormat="1" ht="12" customHeight="1" x14ac:dyDescent="0.25">
      <c r="B49" s="127" t="s">
        <v>80</v>
      </c>
      <c r="C49" s="128" t="s">
        <v>85</v>
      </c>
      <c r="D49" s="128" t="s">
        <v>86</v>
      </c>
      <c r="E49" s="129">
        <v>36951</v>
      </c>
      <c r="F49" s="129">
        <v>37864</v>
      </c>
      <c r="G49" s="127" t="s">
        <v>70</v>
      </c>
      <c r="H49" s="127" t="s">
        <v>60</v>
      </c>
      <c r="I49" s="128" t="s">
        <v>57</v>
      </c>
      <c r="J49" s="131">
        <f>10.845/J1</f>
        <v>0.34983870967741937</v>
      </c>
      <c r="K49" s="132"/>
      <c r="L49" s="132"/>
      <c r="M49" s="132"/>
      <c r="N49" s="132"/>
      <c r="O49" s="133"/>
      <c r="P49" s="132"/>
      <c r="Q49" s="134" t="s">
        <v>100</v>
      </c>
      <c r="R49" s="128">
        <v>3511</v>
      </c>
      <c r="S49" s="142" t="s">
        <v>287</v>
      </c>
      <c r="T49" s="135">
        <f t="shared" si="2"/>
        <v>36848.511290322582</v>
      </c>
      <c r="U49" s="135"/>
      <c r="V49" s="136">
        <v>649331</v>
      </c>
      <c r="W49" s="140" t="s">
        <v>280</v>
      </c>
      <c r="X49" s="138"/>
      <c r="Y49" s="138"/>
    </row>
    <row r="50" spans="2:25" s="139" customFormat="1" ht="12" customHeight="1" x14ac:dyDescent="0.25">
      <c r="B50" s="127" t="s">
        <v>80</v>
      </c>
      <c r="C50" s="128" t="s">
        <v>85</v>
      </c>
      <c r="D50" s="128" t="s">
        <v>86</v>
      </c>
      <c r="E50" s="129">
        <v>36951</v>
      </c>
      <c r="F50" s="129">
        <v>37134</v>
      </c>
      <c r="G50" s="127" t="s">
        <v>70</v>
      </c>
      <c r="H50" s="127" t="s">
        <v>129</v>
      </c>
      <c r="I50" s="128" t="s">
        <v>57</v>
      </c>
      <c r="J50" s="131">
        <f>8.115/J1</f>
        <v>0.2617741935483871</v>
      </c>
      <c r="K50" s="132"/>
      <c r="L50" s="132"/>
      <c r="M50" s="132"/>
      <c r="N50" s="132"/>
      <c r="O50" s="133"/>
      <c r="P50" s="132"/>
      <c r="Q50" s="134" t="s">
        <v>100</v>
      </c>
      <c r="R50" s="128">
        <v>51</v>
      </c>
      <c r="S50" s="142" t="s">
        <v>288</v>
      </c>
      <c r="T50" s="135">
        <f t="shared" si="2"/>
        <v>400.5145161290323</v>
      </c>
      <c r="U50" s="135"/>
      <c r="V50" s="136">
        <v>649299</v>
      </c>
      <c r="W50" s="140" t="s">
        <v>280</v>
      </c>
      <c r="X50" s="138"/>
      <c r="Y50" s="138"/>
    </row>
    <row r="51" spans="2:25" s="139" customFormat="1" ht="12" customHeight="1" x14ac:dyDescent="0.25">
      <c r="B51" s="127" t="s">
        <v>80</v>
      </c>
      <c r="C51" s="128" t="s">
        <v>85</v>
      </c>
      <c r="D51" s="128" t="s">
        <v>86</v>
      </c>
      <c r="E51" s="129">
        <v>36951</v>
      </c>
      <c r="F51" s="129">
        <v>36981</v>
      </c>
      <c r="G51" s="127" t="s">
        <v>70</v>
      </c>
      <c r="H51" s="127" t="s">
        <v>60</v>
      </c>
      <c r="I51" s="128" t="s">
        <v>57</v>
      </c>
      <c r="J51" s="131">
        <f>10.845/J1</f>
        <v>0.34983870967741937</v>
      </c>
      <c r="K51" s="132"/>
      <c r="L51" s="132"/>
      <c r="M51" s="132"/>
      <c r="N51" s="132"/>
      <c r="O51" s="133"/>
      <c r="P51" s="132"/>
      <c r="Q51" s="134" t="s">
        <v>100</v>
      </c>
      <c r="R51" s="128">
        <v>4277</v>
      </c>
      <c r="S51" s="142" t="s">
        <v>285</v>
      </c>
      <c r="T51" s="135">
        <f t="shared" si="2"/>
        <v>44887.804838709679</v>
      </c>
      <c r="U51" s="135"/>
      <c r="V51" s="136">
        <v>649373</v>
      </c>
      <c r="W51" s="140" t="s">
        <v>6</v>
      </c>
      <c r="X51" s="138"/>
      <c r="Y51" s="138"/>
    </row>
    <row r="52" spans="2:25" s="139" customFormat="1" ht="12" customHeight="1" x14ac:dyDescent="0.25">
      <c r="B52" s="127" t="s">
        <v>80</v>
      </c>
      <c r="C52" s="128" t="s">
        <v>85</v>
      </c>
      <c r="D52" s="128" t="s">
        <v>86</v>
      </c>
      <c r="E52" s="129">
        <v>36951</v>
      </c>
      <c r="F52" s="129">
        <v>36981</v>
      </c>
      <c r="G52" s="127" t="s">
        <v>70</v>
      </c>
      <c r="H52" s="127" t="s">
        <v>60</v>
      </c>
      <c r="I52" s="128" t="s">
        <v>57</v>
      </c>
      <c r="J52" s="131">
        <f>10.845/J1</f>
        <v>0.34983870967741937</v>
      </c>
      <c r="K52" s="132"/>
      <c r="L52" s="132"/>
      <c r="M52" s="132"/>
      <c r="N52" s="132"/>
      <c r="O52" s="133"/>
      <c r="P52" s="132"/>
      <c r="Q52" s="134" t="s">
        <v>100</v>
      </c>
      <c r="R52" s="128">
        <v>5352</v>
      </c>
      <c r="S52" s="142" t="s">
        <v>278</v>
      </c>
      <c r="T52" s="135">
        <f t="shared" si="2"/>
        <v>56170.103225806459</v>
      </c>
      <c r="U52" s="135"/>
      <c r="V52" s="136">
        <v>649450</v>
      </c>
      <c r="W52" s="140"/>
      <c r="X52" s="138"/>
      <c r="Y52" s="138"/>
    </row>
    <row r="53" spans="2:25" s="139" customFormat="1" ht="12" customHeight="1" x14ac:dyDescent="0.25">
      <c r="B53" s="127" t="s">
        <v>80</v>
      </c>
      <c r="C53" s="128" t="s">
        <v>85</v>
      </c>
      <c r="D53" s="128" t="s">
        <v>86</v>
      </c>
      <c r="E53" s="129">
        <v>36951</v>
      </c>
      <c r="F53" s="129">
        <v>37134</v>
      </c>
      <c r="G53" s="127" t="s">
        <v>70</v>
      </c>
      <c r="H53" s="127" t="s">
        <v>60</v>
      </c>
      <c r="I53" s="128" t="s">
        <v>57</v>
      </c>
      <c r="J53" s="131">
        <f>10.845/J1</f>
        <v>0.34983870967741937</v>
      </c>
      <c r="K53" s="132"/>
      <c r="L53" s="132"/>
      <c r="M53" s="132"/>
      <c r="N53" s="132"/>
      <c r="O53" s="133"/>
      <c r="P53" s="132"/>
      <c r="Q53" s="134" t="s">
        <v>100</v>
      </c>
      <c r="R53" s="128">
        <v>4816</v>
      </c>
      <c r="S53" s="142" t="s">
        <v>292</v>
      </c>
      <c r="T53" s="135">
        <f>+R53*J53*30</f>
        <v>50544.696774193551</v>
      </c>
      <c r="U53" s="135"/>
      <c r="V53" s="136">
        <v>648368</v>
      </c>
      <c r="W53" s="140"/>
      <c r="X53" s="138"/>
      <c r="Y53" s="138"/>
    </row>
    <row r="54" spans="2:25" s="139" customFormat="1" ht="12" customHeight="1" x14ac:dyDescent="0.25">
      <c r="B54" s="127" t="s">
        <v>80</v>
      </c>
      <c r="C54" s="128" t="s">
        <v>85</v>
      </c>
      <c r="D54" s="128" t="s">
        <v>86</v>
      </c>
      <c r="E54" s="129">
        <v>36951</v>
      </c>
      <c r="F54" s="129">
        <v>37864</v>
      </c>
      <c r="G54" s="127" t="s">
        <v>70</v>
      </c>
      <c r="H54" s="127" t="s">
        <v>60</v>
      </c>
      <c r="I54" s="128" t="s">
        <v>57</v>
      </c>
      <c r="J54" s="131">
        <f>8.15/J1</f>
        <v>0.26290322580645165</v>
      </c>
      <c r="K54" s="132"/>
      <c r="L54" s="132"/>
      <c r="M54" s="132"/>
      <c r="N54" s="132"/>
      <c r="O54" s="133"/>
      <c r="P54" s="132"/>
      <c r="Q54" s="134" t="s">
        <v>100</v>
      </c>
      <c r="R54" s="128">
        <v>359</v>
      </c>
      <c r="S54" s="142" t="s">
        <v>291</v>
      </c>
      <c r="T54" s="135">
        <f>+R54*J54*30</f>
        <v>2831.4677419354839</v>
      </c>
      <c r="U54" s="135"/>
      <c r="V54" s="136">
        <v>648808</v>
      </c>
      <c r="W54" s="140"/>
      <c r="X54" s="138"/>
      <c r="Y54" s="138"/>
    </row>
    <row r="55" spans="2:25" s="139" customFormat="1" ht="12" customHeight="1" x14ac:dyDescent="0.25">
      <c r="B55" s="127" t="s">
        <v>80</v>
      </c>
      <c r="C55" s="128" t="s">
        <v>85</v>
      </c>
      <c r="D55" s="128" t="s">
        <v>86</v>
      </c>
      <c r="E55" s="129">
        <v>36951</v>
      </c>
      <c r="F55" s="129">
        <v>36981</v>
      </c>
      <c r="G55" s="127" t="s">
        <v>70</v>
      </c>
      <c r="H55" s="127" t="s">
        <v>129</v>
      </c>
      <c r="I55" s="128" t="s">
        <v>57</v>
      </c>
      <c r="J55" s="131">
        <f>10.845/J1</f>
        <v>0.34983870967741937</v>
      </c>
      <c r="K55" s="132"/>
      <c r="L55" s="132"/>
      <c r="M55" s="132"/>
      <c r="N55" s="132"/>
      <c r="O55" s="133"/>
      <c r="P55" s="132"/>
      <c r="Q55" s="134" t="s">
        <v>100</v>
      </c>
      <c r="R55" s="128">
        <v>573</v>
      </c>
      <c r="S55" s="143" t="s">
        <v>283</v>
      </c>
      <c r="T55" s="135">
        <f t="shared" si="2"/>
        <v>6013.7274193548392</v>
      </c>
      <c r="U55" s="135" t="s">
        <v>6</v>
      </c>
      <c r="V55" s="136">
        <v>649417</v>
      </c>
      <c r="W55" s="140" t="s">
        <v>280</v>
      </c>
      <c r="X55" s="138"/>
      <c r="Y55" s="138"/>
    </row>
    <row r="56" spans="2:25" s="139" customFormat="1" ht="12" customHeight="1" x14ac:dyDescent="0.25">
      <c r="B56" s="127" t="s">
        <v>80</v>
      </c>
      <c r="C56" s="128" t="s">
        <v>85</v>
      </c>
      <c r="D56" s="128" t="s">
        <v>86</v>
      </c>
      <c r="E56" s="129">
        <v>36951</v>
      </c>
      <c r="F56" s="129">
        <v>37864</v>
      </c>
      <c r="G56" s="127" t="s">
        <v>70</v>
      </c>
      <c r="H56" s="127" t="s">
        <v>130</v>
      </c>
      <c r="I56" s="128" t="s">
        <v>57</v>
      </c>
      <c r="J56" s="131">
        <f>10.845/J1</f>
        <v>0.34983870967741937</v>
      </c>
      <c r="K56" s="132"/>
      <c r="L56" s="132"/>
      <c r="M56" s="132"/>
      <c r="N56" s="132"/>
      <c r="O56" s="133"/>
      <c r="P56" s="132"/>
      <c r="Q56" s="134" t="s">
        <v>100</v>
      </c>
      <c r="R56" s="128">
        <v>1339</v>
      </c>
      <c r="S56" s="143" t="s">
        <v>284</v>
      </c>
      <c r="T56" s="135">
        <f t="shared" si="2"/>
        <v>14053.020967741935</v>
      </c>
      <c r="U56" s="135"/>
      <c r="V56" s="136">
        <v>649408</v>
      </c>
      <c r="W56" s="140" t="s">
        <v>280</v>
      </c>
      <c r="X56" s="138"/>
      <c r="Y56" s="138"/>
    </row>
    <row r="57" spans="2:25" s="139" customFormat="1" ht="12" customHeight="1" x14ac:dyDescent="0.25">
      <c r="B57" s="127" t="s">
        <v>80</v>
      </c>
      <c r="C57" s="128" t="s">
        <v>85</v>
      </c>
      <c r="D57" s="128" t="s">
        <v>86</v>
      </c>
      <c r="E57" s="129">
        <v>36951</v>
      </c>
      <c r="F57" s="129">
        <v>36981</v>
      </c>
      <c r="G57" s="130"/>
      <c r="H57" s="127" t="s">
        <v>266</v>
      </c>
      <c r="I57" s="128" t="s">
        <v>57</v>
      </c>
      <c r="J57" s="131">
        <f>8.155/J1</f>
        <v>0.26306451612903226</v>
      </c>
      <c r="K57" s="132"/>
      <c r="L57" s="132"/>
      <c r="M57" s="132"/>
      <c r="N57" s="132"/>
      <c r="O57" s="133"/>
      <c r="P57" s="132"/>
      <c r="Q57" s="134" t="s">
        <v>100</v>
      </c>
      <c r="R57" s="128">
        <v>20</v>
      </c>
      <c r="S57" s="130" t="s">
        <v>279</v>
      </c>
      <c r="T57" s="135">
        <f>J57*J$1*R57</f>
        <v>163.1</v>
      </c>
      <c r="U57" s="135"/>
      <c r="V57" s="136">
        <v>649441</v>
      </c>
      <c r="W57" s="140" t="s">
        <v>280</v>
      </c>
      <c r="X57" s="138"/>
      <c r="Y57" s="138"/>
    </row>
    <row r="58" spans="2:25" s="139" customFormat="1" ht="12" customHeight="1" x14ac:dyDescent="0.25">
      <c r="B58" s="127" t="s">
        <v>80</v>
      </c>
      <c r="C58" s="128" t="s">
        <v>85</v>
      </c>
      <c r="D58" s="128" t="s">
        <v>86</v>
      </c>
      <c r="E58" s="129">
        <v>36951</v>
      </c>
      <c r="F58" s="129">
        <v>36981</v>
      </c>
      <c r="G58" s="130"/>
      <c r="H58" s="127" t="s">
        <v>266</v>
      </c>
      <c r="I58" s="128" t="s">
        <v>57</v>
      </c>
      <c r="J58" s="131">
        <f>8.155/J1</f>
        <v>0.26306451612903226</v>
      </c>
      <c r="K58" s="132"/>
      <c r="L58" s="132"/>
      <c r="M58" s="132"/>
      <c r="N58" s="132"/>
      <c r="O58" s="133"/>
      <c r="P58" s="132"/>
      <c r="Q58" s="134" t="s">
        <v>100</v>
      </c>
      <c r="R58" s="128">
        <v>154</v>
      </c>
      <c r="S58" s="130" t="s">
        <v>277</v>
      </c>
      <c r="T58" s="135">
        <f>J58*J$1*R58</f>
        <v>1255.8699999999999</v>
      </c>
      <c r="U58" s="135"/>
      <c r="V58" s="136">
        <v>649468</v>
      </c>
      <c r="W58" s="140"/>
      <c r="X58" s="138"/>
      <c r="Y58" s="138"/>
    </row>
    <row r="59" spans="2:25" s="139" customFormat="1" ht="12" customHeight="1" x14ac:dyDescent="0.25">
      <c r="B59" s="127" t="s">
        <v>80</v>
      </c>
      <c r="C59" s="128" t="s">
        <v>85</v>
      </c>
      <c r="D59" s="128" t="s">
        <v>86</v>
      </c>
      <c r="E59" s="129">
        <v>36951</v>
      </c>
      <c r="F59" s="129">
        <v>36981</v>
      </c>
      <c r="G59" s="130"/>
      <c r="H59" s="130"/>
      <c r="I59" s="128" t="s">
        <v>57</v>
      </c>
      <c r="J59" s="131">
        <f>10.845/J1</f>
        <v>0.34983870967741937</v>
      </c>
      <c r="K59" s="132"/>
      <c r="L59" s="132"/>
      <c r="M59" s="132"/>
      <c r="N59" s="132"/>
      <c r="O59" s="133"/>
      <c r="P59" s="132"/>
      <c r="Q59" s="134" t="s">
        <v>100</v>
      </c>
      <c r="R59" s="128">
        <v>1256</v>
      </c>
      <c r="S59" s="142" t="s">
        <v>282</v>
      </c>
      <c r="T59" s="135">
        <f>J59*J$1*R59</f>
        <v>13621.320000000002</v>
      </c>
      <c r="U59" s="135"/>
      <c r="V59" s="136">
        <v>649426</v>
      </c>
      <c r="W59" s="140" t="s">
        <v>280</v>
      </c>
      <c r="X59" s="138"/>
      <c r="Y59" s="138"/>
    </row>
    <row r="60" spans="2:25" s="139" customFormat="1" ht="12" customHeight="1" x14ac:dyDescent="0.25">
      <c r="B60" s="127" t="s">
        <v>80</v>
      </c>
      <c r="C60" s="128" t="s">
        <v>85</v>
      </c>
      <c r="D60" s="128" t="s">
        <v>86</v>
      </c>
      <c r="E60" s="129">
        <v>36951</v>
      </c>
      <c r="F60" s="129">
        <v>36981</v>
      </c>
      <c r="G60" s="127" t="s">
        <v>70</v>
      </c>
      <c r="H60" s="127" t="s">
        <v>60</v>
      </c>
      <c r="I60" s="128" t="s">
        <v>57</v>
      </c>
      <c r="J60" s="131">
        <f>10.845/J1</f>
        <v>0.34983870967741937</v>
      </c>
      <c r="K60" s="132"/>
      <c r="L60" s="132"/>
      <c r="M60" s="132"/>
      <c r="N60" s="132"/>
      <c r="O60" s="133"/>
      <c r="P60" s="132"/>
      <c r="Q60" s="134" t="s">
        <v>100</v>
      </c>
      <c r="R60" s="128">
        <v>1507</v>
      </c>
      <c r="S60" s="142" t="s">
        <v>281</v>
      </c>
      <c r="T60" s="135">
        <f>J60*J$1*R60</f>
        <v>16343.415000000001</v>
      </c>
      <c r="U60" s="135"/>
      <c r="V60" s="136">
        <v>649435</v>
      </c>
      <c r="W60" s="140" t="s">
        <v>280</v>
      </c>
      <c r="X60" s="138"/>
      <c r="Y60" s="138"/>
    </row>
    <row r="61" spans="2:25" s="124" customFormat="1" ht="12" customHeight="1" x14ac:dyDescent="0.25">
      <c r="B61" s="113" t="s">
        <v>80</v>
      </c>
      <c r="C61" s="114" t="s">
        <v>89</v>
      </c>
      <c r="D61" s="114" t="s">
        <v>86</v>
      </c>
      <c r="E61" s="115">
        <v>36923</v>
      </c>
      <c r="F61" s="115">
        <v>36950</v>
      </c>
      <c r="G61" s="113" t="s">
        <v>70</v>
      </c>
      <c r="H61" s="113" t="s">
        <v>70</v>
      </c>
      <c r="I61" s="114" t="s">
        <v>57</v>
      </c>
      <c r="J61" s="117">
        <f>4.75/J1</f>
        <v>0.15322580645161291</v>
      </c>
      <c r="K61" s="118"/>
      <c r="L61" s="118"/>
      <c r="M61" s="118"/>
      <c r="N61" s="118"/>
      <c r="O61" s="119"/>
      <c r="P61" s="118"/>
      <c r="Q61" s="120" t="s">
        <v>114</v>
      </c>
      <c r="R61" s="114">
        <v>176</v>
      </c>
      <c r="S61" s="126" t="s">
        <v>265</v>
      </c>
      <c r="T61" s="121">
        <f>+J61*R61*31</f>
        <v>836</v>
      </c>
      <c r="U61" s="121"/>
      <c r="V61" s="122">
        <v>588866</v>
      </c>
      <c r="W61" s="125"/>
      <c r="X61" s="123"/>
      <c r="Y61" s="123"/>
    </row>
    <row r="62" spans="2:25" s="124" customFormat="1" ht="12" customHeight="1" x14ac:dyDescent="0.25">
      <c r="B62" s="113" t="s">
        <v>80</v>
      </c>
      <c r="C62" s="114" t="s">
        <v>89</v>
      </c>
      <c r="D62" s="114" t="s">
        <v>86</v>
      </c>
      <c r="E62" s="115">
        <v>11355</v>
      </c>
      <c r="F62" s="115">
        <v>36950</v>
      </c>
      <c r="G62" s="113" t="s">
        <v>70</v>
      </c>
      <c r="H62" s="113" t="s">
        <v>70</v>
      </c>
      <c r="I62" s="114" t="s">
        <v>57</v>
      </c>
      <c r="J62" s="117">
        <f>4.75/J1</f>
        <v>0.15322580645161291</v>
      </c>
      <c r="K62" s="118"/>
      <c r="L62" s="118"/>
      <c r="M62" s="118"/>
      <c r="N62" s="118"/>
      <c r="O62" s="119"/>
      <c r="P62" s="118"/>
      <c r="Q62" s="120" t="s">
        <v>114</v>
      </c>
      <c r="R62" s="114">
        <v>5</v>
      </c>
      <c r="S62" s="116" t="s">
        <v>264</v>
      </c>
      <c r="T62" s="121">
        <f>J62*J$1*R62</f>
        <v>23.75</v>
      </c>
      <c r="U62" s="121"/>
      <c r="V62" s="122">
        <v>588858</v>
      </c>
      <c r="W62" s="125"/>
      <c r="X62" s="123"/>
      <c r="Y62" s="123"/>
    </row>
    <row r="63" spans="2:25" s="124" customFormat="1" ht="12" customHeight="1" x14ac:dyDescent="0.25">
      <c r="B63" s="113" t="s">
        <v>80</v>
      </c>
      <c r="C63" s="114" t="s">
        <v>89</v>
      </c>
      <c r="D63" s="114" t="s">
        <v>86</v>
      </c>
      <c r="E63" s="115">
        <v>11355</v>
      </c>
      <c r="F63" s="115">
        <v>37134</v>
      </c>
      <c r="G63" s="113" t="s">
        <v>70</v>
      </c>
      <c r="H63" s="113" t="s">
        <v>70</v>
      </c>
      <c r="I63" s="114" t="s">
        <v>57</v>
      </c>
      <c r="J63" s="117">
        <f>4.75/J1</f>
        <v>0.15322580645161291</v>
      </c>
      <c r="K63" s="118"/>
      <c r="L63" s="118"/>
      <c r="M63" s="118"/>
      <c r="N63" s="118"/>
      <c r="O63" s="119"/>
      <c r="P63" s="118"/>
      <c r="Q63" s="120" t="s">
        <v>114</v>
      </c>
      <c r="R63" s="114">
        <v>411</v>
      </c>
      <c r="S63" s="116" t="s">
        <v>263</v>
      </c>
      <c r="T63" s="121">
        <f>J63*J$1*R63</f>
        <v>1952.25</v>
      </c>
      <c r="U63" s="121"/>
      <c r="V63" s="122">
        <v>588951</v>
      </c>
      <c r="W63" s="125"/>
      <c r="X63" s="123"/>
      <c r="Y63" s="123"/>
    </row>
    <row r="64" spans="2:25" s="58" customFormat="1" ht="12" customHeight="1" x14ac:dyDescent="0.25">
      <c r="B64" s="1"/>
      <c r="C64" s="3"/>
      <c r="D64" s="3"/>
      <c r="E64" s="4"/>
      <c r="F64" s="4"/>
      <c r="G64" s="1"/>
      <c r="H64" s="1"/>
      <c r="I64" s="3"/>
      <c r="J64" s="8"/>
      <c r="K64" s="5"/>
      <c r="L64" s="5"/>
      <c r="M64" s="5"/>
      <c r="N64" s="5"/>
      <c r="O64" s="41"/>
      <c r="P64" s="5"/>
      <c r="Q64" s="24"/>
      <c r="R64" s="3">
        <f>SUM(R47:R63)</f>
        <v>28806</v>
      </c>
      <c r="S64" s="1"/>
      <c r="T64" s="9"/>
      <c r="U64" s="9"/>
      <c r="V64" s="54"/>
      <c r="W64" s="1"/>
      <c r="X64" s="36"/>
      <c r="Y64" s="36"/>
    </row>
    <row r="65" spans="2:25" s="58" customFormat="1" x14ac:dyDescent="0.25">
      <c r="B65" s="1"/>
      <c r="C65" s="3"/>
      <c r="D65" s="3"/>
      <c r="E65" s="4"/>
      <c r="F65" s="4"/>
      <c r="G65" s="29"/>
      <c r="H65" s="29"/>
      <c r="I65" s="3"/>
      <c r="J65" s="8"/>
      <c r="K65" s="5"/>
      <c r="L65" s="5"/>
      <c r="M65" s="5"/>
      <c r="N65" s="5"/>
      <c r="O65" s="41"/>
      <c r="P65" s="5"/>
      <c r="Q65" s="24"/>
      <c r="R65" s="3"/>
      <c r="S65" s="1"/>
      <c r="T65" s="9">
        <f>SUM(T29:T64)</f>
        <v>605012.82544930885</v>
      </c>
      <c r="U65" s="9"/>
      <c r="V65" s="54"/>
      <c r="W65" s="1"/>
      <c r="X65" s="36"/>
      <c r="Y65" s="36"/>
    </row>
    <row r="66" spans="2:25" x14ac:dyDescent="0.25">
      <c r="B66" s="16" t="s">
        <v>7</v>
      </c>
      <c r="C66" s="17" t="s">
        <v>8</v>
      </c>
      <c r="D66" s="17" t="s">
        <v>9</v>
      </c>
      <c r="E66" s="18" t="s">
        <v>10</v>
      </c>
      <c r="F66" s="18"/>
      <c r="G66" s="16" t="s">
        <v>11</v>
      </c>
      <c r="H66" s="16" t="s">
        <v>12</v>
      </c>
      <c r="I66" s="17" t="s">
        <v>39</v>
      </c>
      <c r="J66" s="19" t="s">
        <v>13</v>
      </c>
      <c r="K66" s="17" t="s">
        <v>14</v>
      </c>
      <c r="L66" s="17" t="s">
        <v>15</v>
      </c>
      <c r="M66" s="17" t="s">
        <v>16</v>
      </c>
      <c r="N66" s="17" t="s">
        <v>17</v>
      </c>
      <c r="O66" s="42" t="s">
        <v>18</v>
      </c>
      <c r="P66" s="17" t="s">
        <v>19</v>
      </c>
      <c r="Q66" s="20" t="s">
        <v>78</v>
      </c>
      <c r="R66" s="17" t="s">
        <v>20</v>
      </c>
      <c r="S66" s="16" t="s">
        <v>21</v>
      </c>
      <c r="T66" s="21" t="s">
        <v>38</v>
      </c>
      <c r="U66" s="21" t="s">
        <v>37</v>
      </c>
      <c r="V66" s="52" t="s">
        <v>79</v>
      </c>
      <c r="W66" s="56" t="e">
        <f>+#REF!</f>
        <v>#REF!</v>
      </c>
      <c r="X66" s="36"/>
      <c r="Y66" s="36"/>
    </row>
    <row r="67" spans="2:25" x14ac:dyDescent="0.25">
      <c r="B67" s="1"/>
      <c r="C67" s="3"/>
      <c r="D67" s="3"/>
      <c r="E67" s="4"/>
      <c r="F67" s="4"/>
      <c r="G67" s="1"/>
      <c r="H67" s="1"/>
      <c r="I67" s="3"/>
      <c r="J67" s="8"/>
      <c r="K67" s="5"/>
      <c r="L67" s="23"/>
      <c r="M67" s="5"/>
      <c r="N67" s="5"/>
      <c r="O67" s="41"/>
      <c r="P67" s="5"/>
      <c r="Q67" s="24"/>
      <c r="R67" s="2"/>
      <c r="S67" s="3"/>
      <c r="T67" s="9"/>
      <c r="U67" s="9"/>
      <c r="V67" s="54"/>
      <c r="W67" s="1"/>
      <c r="X67" s="36"/>
      <c r="Y67" s="36"/>
    </row>
    <row r="68" spans="2:25" x14ac:dyDescent="0.25">
      <c r="B68" s="1"/>
      <c r="C68" s="3"/>
      <c r="D68" s="3"/>
      <c r="E68" s="4"/>
      <c r="F68" s="4"/>
      <c r="G68" s="1"/>
      <c r="H68" s="1"/>
      <c r="I68" s="3"/>
      <c r="J68" s="8"/>
      <c r="K68" s="5"/>
      <c r="L68" s="23"/>
      <c r="M68" s="5"/>
      <c r="N68" s="5"/>
      <c r="O68" s="44"/>
      <c r="P68" s="5"/>
      <c r="Q68" s="24"/>
      <c r="R68" s="3"/>
      <c r="S68" s="3"/>
      <c r="T68" s="65">
        <f>SUM(T67:T67)</f>
        <v>0</v>
      </c>
      <c r="W68" s="29"/>
      <c r="X68" s="37"/>
      <c r="Y68" s="37"/>
    </row>
    <row r="69" spans="2:25" ht="11.25" customHeight="1" x14ac:dyDescent="0.25">
      <c r="B69" s="16" t="s">
        <v>7</v>
      </c>
      <c r="C69" s="17" t="s">
        <v>8</v>
      </c>
      <c r="D69" s="17" t="s">
        <v>9</v>
      </c>
      <c r="E69" s="18" t="s">
        <v>10</v>
      </c>
      <c r="F69" s="18"/>
      <c r="G69" s="16" t="s">
        <v>11</v>
      </c>
      <c r="H69" s="16" t="s">
        <v>12</v>
      </c>
      <c r="I69" s="17" t="s">
        <v>39</v>
      </c>
      <c r="J69" s="19" t="s">
        <v>13</v>
      </c>
      <c r="K69" s="17" t="s">
        <v>14</v>
      </c>
      <c r="L69" s="17" t="s">
        <v>15</v>
      </c>
      <c r="M69" s="17" t="s">
        <v>16</v>
      </c>
      <c r="N69" s="17" t="s">
        <v>17</v>
      </c>
      <c r="O69" s="42" t="s">
        <v>18</v>
      </c>
      <c r="P69" s="17" t="s">
        <v>19</v>
      </c>
      <c r="Q69" s="20" t="s">
        <v>78</v>
      </c>
      <c r="R69" s="17" t="s">
        <v>20</v>
      </c>
      <c r="S69" s="16" t="s">
        <v>21</v>
      </c>
      <c r="T69" s="21" t="s">
        <v>38</v>
      </c>
      <c r="U69" s="21" t="s">
        <v>37</v>
      </c>
      <c r="V69" s="52" t="s">
        <v>79</v>
      </c>
      <c r="W69" s="56" t="e">
        <f>+#REF!</f>
        <v>#REF!</v>
      </c>
      <c r="X69" s="36"/>
      <c r="Y69" s="36"/>
    </row>
    <row r="70" spans="2:25" s="139" customFormat="1" x14ac:dyDescent="0.25">
      <c r="B70" s="127" t="s">
        <v>80</v>
      </c>
      <c r="C70" s="128" t="s">
        <v>5</v>
      </c>
      <c r="D70" s="128" t="s">
        <v>54</v>
      </c>
      <c r="E70" s="129">
        <v>36951</v>
      </c>
      <c r="F70" s="129">
        <v>36981</v>
      </c>
      <c r="G70" s="127" t="s">
        <v>25</v>
      </c>
      <c r="H70" s="130" t="s">
        <v>61</v>
      </c>
      <c r="I70" s="128" t="s">
        <v>58</v>
      </c>
      <c r="J70" s="131">
        <f>7.1121/J$1</f>
        <v>0.22942258064516127</v>
      </c>
      <c r="K70" s="132">
        <v>0</v>
      </c>
      <c r="L70" s="132">
        <v>2.2000000000000001E-3</v>
      </c>
      <c r="M70" s="132">
        <v>0</v>
      </c>
      <c r="N70" s="132">
        <v>0</v>
      </c>
      <c r="O70" s="133">
        <v>0</v>
      </c>
      <c r="P70" s="132">
        <f t="shared" ref="P70:P97" si="3">SUM(J70:N70)</f>
        <v>0.23162258064516128</v>
      </c>
      <c r="Q70" s="147">
        <v>3.8342000000000001</v>
      </c>
      <c r="R70" s="128">
        <v>6</v>
      </c>
      <c r="S70" s="127" t="s">
        <v>300</v>
      </c>
      <c r="T70" s="135">
        <f t="shared" ref="T70:T98" si="4">J70*J$1*R70</f>
        <v>42.672600000000003</v>
      </c>
      <c r="U70" s="135"/>
      <c r="V70" s="136">
        <v>644018</v>
      </c>
      <c r="W70" s="127"/>
      <c r="X70" s="138"/>
      <c r="Y70" s="138"/>
    </row>
    <row r="71" spans="2:25" s="139" customFormat="1" x14ac:dyDescent="0.25">
      <c r="B71" s="127" t="s">
        <v>80</v>
      </c>
      <c r="C71" s="128" t="s">
        <v>5</v>
      </c>
      <c r="D71" s="128" t="s">
        <v>54</v>
      </c>
      <c r="E71" s="129">
        <v>36951</v>
      </c>
      <c r="F71" s="129">
        <v>36981</v>
      </c>
      <c r="G71" s="127" t="s">
        <v>59</v>
      </c>
      <c r="H71" s="130" t="s">
        <v>61</v>
      </c>
      <c r="I71" s="128" t="s">
        <v>58</v>
      </c>
      <c r="J71" s="131">
        <f>+J70</f>
        <v>0.22942258064516127</v>
      </c>
      <c r="K71" s="132">
        <v>0</v>
      </c>
      <c r="L71" s="132">
        <v>2.2000000000000001E-3</v>
      </c>
      <c r="M71" s="132">
        <v>0</v>
      </c>
      <c r="N71" s="132">
        <v>0</v>
      </c>
      <c r="O71" s="133">
        <v>0</v>
      </c>
      <c r="P71" s="132">
        <f t="shared" si="3"/>
        <v>0.23162258064516128</v>
      </c>
      <c r="Q71" s="147">
        <f>+Q70</f>
        <v>3.8342000000000001</v>
      </c>
      <c r="R71" s="128">
        <v>8</v>
      </c>
      <c r="S71" s="127" t="str">
        <f>+S70</f>
        <v>#02860</v>
      </c>
      <c r="T71" s="135">
        <f t="shared" si="4"/>
        <v>56.896799999999999</v>
      </c>
      <c r="U71" s="135"/>
      <c r="V71" s="136">
        <f>+V70</f>
        <v>644018</v>
      </c>
      <c r="W71" s="127"/>
      <c r="X71" s="138"/>
      <c r="Y71" s="138"/>
    </row>
    <row r="72" spans="2:25" s="139" customFormat="1" x14ac:dyDescent="0.25">
      <c r="B72" s="127" t="s">
        <v>80</v>
      </c>
      <c r="C72" s="128" t="s">
        <v>5</v>
      </c>
      <c r="D72" s="128" t="s">
        <v>54</v>
      </c>
      <c r="E72" s="129">
        <v>36951</v>
      </c>
      <c r="F72" s="129">
        <v>36981</v>
      </c>
      <c r="G72" s="127" t="s">
        <v>60</v>
      </c>
      <c r="H72" s="130" t="s">
        <v>61</v>
      </c>
      <c r="I72" s="128" t="s">
        <v>58</v>
      </c>
      <c r="J72" s="131">
        <f>+J71</f>
        <v>0.22942258064516127</v>
      </c>
      <c r="K72" s="132">
        <v>0</v>
      </c>
      <c r="L72" s="132">
        <v>2.2000000000000001E-3</v>
      </c>
      <c r="M72" s="132">
        <v>0</v>
      </c>
      <c r="N72" s="132">
        <v>0</v>
      </c>
      <c r="O72" s="133">
        <v>0</v>
      </c>
      <c r="P72" s="132">
        <f t="shared" si="3"/>
        <v>0.23162258064516128</v>
      </c>
      <c r="Q72" s="147">
        <f>+Q71</f>
        <v>3.8342000000000001</v>
      </c>
      <c r="R72" s="128">
        <f>7+14</f>
        <v>21</v>
      </c>
      <c r="S72" s="127" t="str">
        <f>+S71</f>
        <v>#02860</v>
      </c>
      <c r="T72" s="135">
        <f t="shared" si="4"/>
        <v>149.35409999999999</v>
      </c>
      <c r="U72" s="135"/>
      <c r="V72" s="136">
        <f>+V71</f>
        <v>644018</v>
      </c>
      <c r="W72" s="127"/>
      <c r="X72" s="138"/>
      <c r="Y72" s="138"/>
    </row>
    <row r="73" spans="2:25" s="139" customFormat="1" x14ac:dyDescent="0.25">
      <c r="B73" s="127" t="s">
        <v>80</v>
      </c>
      <c r="C73" s="128" t="s">
        <v>5</v>
      </c>
      <c r="D73" s="128" t="s">
        <v>54</v>
      </c>
      <c r="E73" s="129">
        <v>36951</v>
      </c>
      <c r="F73" s="129">
        <v>37864</v>
      </c>
      <c r="G73" s="127" t="s">
        <v>25</v>
      </c>
      <c r="H73" s="130" t="s">
        <v>61</v>
      </c>
      <c r="I73" s="128" t="s">
        <v>58</v>
      </c>
      <c r="J73" s="131">
        <f>7.1121/J$1</f>
        <v>0.22942258064516127</v>
      </c>
      <c r="K73" s="132">
        <v>0</v>
      </c>
      <c r="L73" s="132">
        <v>2.2000000000000001E-3</v>
      </c>
      <c r="M73" s="132">
        <v>0</v>
      </c>
      <c r="N73" s="132">
        <v>0</v>
      </c>
      <c r="O73" s="133">
        <v>0</v>
      </c>
      <c r="P73" s="132">
        <f t="shared" si="3"/>
        <v>0.23162258064516128</v>
      </c>
      <c r="Q73" s="147">
        <v>3.8285</v>
      </c>
      <c r="R73" s="150">
        <v>21</v>
      </c>
      <c r="S73" s="127" t="s">
        <v>315</v>
      </c>
      <c r="T73" s="135">
        <f t="shared" si="4"/>
        <v>149.35409999999999</v>
      </c>
      <c r="U73" s="135"/>
      <c r="V73" s="136">
        <v>640569</v>
      </c>
      <c r="W73" s="127" t="s">
        <v>167</v>
      </c>
      <c r="X73" s="138"/>
      <c r="Y73" s="138"/>
    </row>
    <row r="74" spans="2:25" s="139" customFormat="1" x14ac:dyDescent="0.25">
      <c r="B74" s="127" t="s">
        <v>80</v>
      </c>
      <c r="C74" s="128" t="s">
        <v>5</v>
      </c>
      <c r="D74" s="128" t="s">
        <v>54</v>
      </c>
      <c r="E74" s="129">
        <v>36951</v>
      </c>
      <c r="F74" s="129">
        <f>+F73</f>
        <v>37864</v>
      </c>
      <c r="G74" s="127" t="s">
        <v>59</v>
      </c>
      <c r="H74" s="130" t="s">
        <v>61</v>
      </c>
      <c r="I74" s="128" t="s">
        <v>58</v>
      </c>
      <c r="J74" s="131">
        <f>+J73</f>
        <v>0.22942258064516127</v>
      </c>
      <c r="K74" s="132">
        <v>0</v>
      </c>
      <c r="L74" s="132">
        <v>2.2000000000000001E-3</v>
      </c>
      <c r="M74" s="132">
        <v>0</v>
      </c>
      <c r="N74" s="132">
        <v>0</v>
      </c>
      <c r="O74" s="133">
        <v>0</v>
      </c>
      <c r="P74" s="132">
        <f t="shared" si="3"/>
        <v>0.23162258064516128</v>
      </c>
      <c r="Q74" s="147">
        <f>+Q73</f>
        <v>3.8285</v>
      </c>
      <c r="R74" s="128">
        <v>31</v>
      </c>
      <c r="S74" s="127" t="str">
        <f>+S73</f>
        <v>#22813</v>
      </c>
      <c r="T74" s="135">
        <f t="shared" si="4"/>
        <v>220.4751</v>
      </c>
      <c r="U74" s="135"/>
      <c r="V74" s="136">
        <f>+V73</f>
        <v>640569</v>
      </c>
      <c r="W74" s="127" t="s">
        <v>167</v>
      </c>
      <c r="X74" s="138"/>
      <c r="Y74" s="138"/>
    </row>
    <row r="75" spans="2:25" s="139" customFormat="1" x14ac:dyDescent="0.25">
      <c r="B75" s="127" t="s">
        <v>80</v>
      </c>
      <c r="C75" s="128" t="s">
        <v>5</v>
      </c>
      <c r="D75" s="128" t="s">
        <v>54</v>
      </c>
      <c r="E75" s="129">
        <v>36951</v>
      </c>
      <c r="F75" s="129">
        <f>+F74</f>
        <v>37864</v>
      </c>
      <c r="G75" s="127" t="s">
        <v>60</v>
      </c>
      <c r="H75" s="130" t="s">
        <v>61</v>
      </c>
      <c r="I75" s="128" t="s">
        <v>58</v>
      </c>
      <c r="J75" s="131">
        <f>+J74</f>
        <v>0.22942258064516127</v>
      </c>
      <c r="K75" s="132">
        <v>0</v>
      </c>
      <c r="L75" s="132">
        <v>2.2000000000000001E-3</v>
      </c>
      <c r="M75" s="132">
        <v>0</v>
      </c>
      <c r="N75" s="132">
        <v>0</v>
      </c>
      <c r="O75" s="133">
        <v>0</v>
      </c>
      <c r="P75" s="132">
        <f t="shared" si="3"/>
        <v>0.23162258064516128</v>
      </c>
      <c r="Q75" s="147">
        <f>+Q74</f>
        <v>3.8285</v>
      </c>
      <c r="R75" s="128">
        <f>23+48</f>
        <v>71</v>
      </c>
      <c r="S75" s="127" t="str">
        <f>+S74</f>
        <v>#22813</v>
      </c>
      <c r="T75" s="135">
        <f t="shared" si="4"/>
        <v>504.95909999999998</v>
      </c>
      <c r="U75" s="135"/>
      <c r="V75" s="136">
        <f>+V74</f>
        <v>640569</v>
      </c>
      <c r="W75" s="127" t="s">
        <v>167</v>
      </c>
      <c r="X75" s="138"/>
      <c r="Y75" s="138"/>
    </row>
    <row r="76" spans="2:25" s="139" customFormat="1" x14ac:dyDescent="0.25">
      <c r="B76" s="127" t="s">
        <v>80</v>
      </c>
      <c r="C76" s="128" t="s">
        <v>5</v>
      </c>
      <c r="D76" s="128" t="s">
        <v>54</v>
      </c>
      <c r="E76" s="129">
        <v>36951</v>
      </c>
      <c r="F76" s="129">
        <v>37864</v>
      </c>
      <c r="G76" s="127" t="s">
        <v>25</v>
      </c>
      <c r="H76" s="130" t="s">
        <v>61</v>
      </c>
      <c r="I76" s="128" t="s">
        <v>58</v>
      </c>
      <c r="J76" s="131">
        <f>7.1121/J$1</f>
        <v>0.22942258064516127</v>
      </c>
      <c r="K76" s="132">
        <v>0</v>
      </c>
      <c r="L76" s="132">
        <v>2.2000000000000001E-3</v>
      </c>
      <c r="M76" s="132">
        <v>0</v>
      </c>
      <c r="N76" s="132">
        <v>0</v>
      </c>
      <c r="O76" s="133">
        <v>0</v>
      </c>
      <c r="P76" s="132">
        <f t="shared" si="3"/>
        <v>0.23162258064516128</v>
      </c>
      <c r="Q76" s="147">
        <v>3.8239999999999998</v>
      </c>
      <c r="R76" s="150">
        <v>49</v>
      </c>
      <c r="S76" s="127" t="s">
        <v>324</v>
      </c>
      <c r="T76" s="135">
        <f t="shared" si="4"/>
        <v>348.49290000000002</v>
      </c>
      <c r="U76" s="135"/>
      <c r="V76" s="136">
        <v>640393</v>
      </c>
      <c r="W76" s="127"/>
      <c r="X76" s="138"/>
      <c r="Y76" s="138"/>
    </row>
    <row r="77" spans="2:25" s="139" customFormat="1" x14ac:dyDescent="0.25">
      <c r="B77" s="127" t="s">
        <v>80</v>
      </c>
      <c r="C77" s="128" t="s">
        <v>5</v>
      </c>
      <c r="D77" s="128" t="s">
        <v>54</v>
      </c>
      <c r="E77" s="129">
        <v>36951</v>
      </c>
      <c r="F77" s="129">
        <f>+F76</f>
        <v>37864</v>
      </c>
      <c r="G77" s="127" t="s">
        <v>59</v>
      </c>
      <c r="H77" s="130" t="s">
        <v>61</v>
      </c>
      <c r="I77" s="128" t="s">
        <v>58</v>
      </c>
      <c r="J77" s="131">
        <f>+J76</f>
        <v>0.22942258064516127</v>
      </c>
      <c r="K77" s="132">
        <v>0</v>
      </c>
      <c r="L77" s="132">
        <v>2.2000000000000001E-3</v>
      </c>
      <c r="M77" s="132">
        <v>0</v>
      </c>
      <c r="N77" s="132">
        <v>0</v>
      </c>
      <c r="O77" s="133">
        <v>0</v>
      </c>
      <c r="P77" s="132">
        <f t="shared" si="3"/>
        <v>0.23162258064516128</v>
      </c>
      <c r="Q77" s="147">
        <f>+Q76</f>
        <v>3.8239999999999998</v>
      </c>
      <c r="R77" s="128">
        <v>71</v>
      </c>
      <c r="S77" s="127" t="str">
        <f>+S76</f>
        <v>#22812</v>
      </c>
      <c r="T77" s="135">
        <f t="shared" si="4"/>
        <v>504.95909999999998</v>
      </c>
      <c r="U77" s="135"/>
      <c r="V77" s="136">
        <f>+V76</f>
        <v>640393</v>
      </c>
      <c r="W77" s="127"/>
      <c r="X77" s="138"/>
      <c r="Y77" s="138"/>
    </row>
    <row r="78" spans="2:25" s="139" customFormat="1" x14ac:dyDescent="0.25">
      <c r="B78" s="127" t="s">
        <v>80</v>
      </c>
      <c r="C78" s="128" t="s">
        <v>5</v>
      </c>
      <c r="D78" s="128" t="s">
        <v>54</v>
      </c>
      <c r="E78" s="129">
        <f>+E77</f>
        <v>36951</v>
      </c>
      <c r="F78" s="129">
        <f>+F77</f>
        <v>37864</v>
      </c>
      <c r="G78" s="127" t="s">
        <v>60</v>
      </c>
      <c r="H78" s="130" t="s">
        <v>61</v>
      </c>
      <c r="I78" s="128" t="s">
        <v>58</v>
      </c>
      <c r="J78" s="131">
        <f>+J77</f>
        <v>0.22942258064516127</v>
      </c>
      <c r="K78" s="132">
        <v>0</v>
      </c>
      <c r="L78" s="132">
        <v>2.2000000000000001E-3</v>
      </c>
      <c r="M78" s="132">
        <v>0</v>
      </c>
      <c r="N78" s="132">
        <v>0</v>
      </c>
      <c r="O78" s="133">
        <v>0</v>
      </c>
      <c r="P78" s="132">
        <f t="shared" si="3"/>
        <v>0.23162258064516128</v>
      </c>
      <c r="Q78" s="147">
        <f>+Q77</f>
        <v>3.8239999999999998</v>
      </c>
      <c r="R78" s="128">
        <f>54+112</f>
        <v>166</v>
      </c>
      <c r="S78" s="127" t="str">
        <f>+S77</f>
        <v>#22812</v>
      </c>
      <c r="T78" s="135">
        <f t="shared" si="4"/>
        <v>1180.6086</v>
      </c>
      <c r="U78" s="135"/>
      <c r="V78" s="136">
        <f>+V77</f>
        <v>640393</v>
      </c>
      <c r="W78" s="127"/>
      <c r="X78" s="138"/>
      <c r="Y78" s="138"/>
    </row>
    <row r="79" spans="2:25" s="139" customFormat="1" x14ac:dyDescent="0.25">
      <c r="B79" s="127" t="s">
        <v>80</v>
      </c>
      <c r="C79" s="128" t="s">
        <v>5</v>
      </c>
      <c r="D79" s="128" t="s">
        <v>54</v>
      </c>
      <c r="E79" s="129">
        <v>36951</v>
      </c>
      <c r="F79" s="129">
        <v>36950</v>
      </c>
      <c r="G79" s="127" t="s">
        <v>25</v>
      </c>
      <c r="H79" s="130" t="s">
        <v>61</v>
      </c>
      <c r="I79" s="128" t="s">
        <v>58</v>
      </c>
      <c r="J79" s="131">
        <f>7.1121/J$1</f>
        <v>0.22942258064516127</v>
      </c>
      <c r="K79" s="132">
        <v>0</v>
      </c>
      <c r="L79" s="132">
        <v>2.2000000000000001E-3</v>
      </c>
      <c r="M79" s="132">
        <v>0</v>
      </c>
      <c r="N79" s="132">
        <v>0</v>
      </c>
      <c r="O79" s="133">
        <v>0</v>
      </c>
      <c r="P79" s="132">
        <f t="shared" si="3"/>
        <v>0.23162258064516128</v>
      </c>
      <c r="Q79" s="147">
        <v>3.8287</v>
      </c>
      <c r="R79" s="128">
        <v>344</v>
      </c>
      <c r="S79" s="127" t="s">
        <v>314</v>
      </c>
      <c r="T79" s="135">
        <f t="shared" si="4"/>
        <v>2446.5623999999998</v>
      </c>
      <c r="U79" s="135"/>
      <c r="V79" s="136">
        <v>640587</v>
      </c>
      <c r="W79" s="127"/>
      <c r="X79" s="138"/>
      <c r="Y79" s="138"/>
    </row>
    <row r="80" spans="2:25" s="139" customFormat="1" x14ac:dyDescent="0.25">
      <c r="B80" s="127" t="s">
        <v>80</v>
      </c>
      <c r="C80" s="128" t="s">
        <v>5</v>
      </c>
      <c r="D80" s="128" t="s">
        <v>54</v>
      </c>
      <c r="E80" s="129">
        <v>36951</v>
      </c>
      <c r="F80" s="129">
        <v>36950</v>
      </c>
      <c r="G80" s="127" t="s">
        <v>59</v>
      </c>
      <c r="H80" s="130" t="s">
        <v>61</v>
      </c>
      <c r="I80" s="128" t="s">
        <v>58</v>
      </c>
      <c r="J80" s="131">
        <f>+J79</f>
        <v>0.22942258064516127</v>
      </c>
      <c r="K80" s="132">
        <v>0</v>
      </c>
      <c r="L80" s="132">
        <v>2.2000000000000001E-3</v>
      </c>
      <c r="M80" s="132">
        <v>0</v>
      </c>
      <c r="N80" s="132">
        <v>0</v>
      </c>
      <c r="O80" s="133">
        <v>0</v>
      </c>
      <c r="P80" s="132">
        <f t="shared" si="3"/>
        <v>0.23162258064516128</v>
      </c>
      <c r="Q80" s="147">
        <f>+Q79</f>
        <v>3.8287</v>
      </c>
      <c r="R80" s="128">
        <v>507</v>
      </c>
      <c r="S80" s="127" t="str">
        <f>+S79</f>
        <v>#022817</v>
      </c>
      <c r="T80" s="135">
        <f t="shared" si="4"/>
        <v>3605.8346999999999</v>
      </c>
      <c r="U80" s="135"/>
      <c r="V80" s="136">
        <f>+V79</f>
        <v>640587</v>
      </c>
      <c r="W80" s="127"/>
      <c r="X80" s="138"/>
      <c r="Y80" s="138"/>
    </row>
    <row r="81" spans="2:25" s="139" customFormat="1" x14ac:dyDescent="0.25">
      <c r="B81" s="127" t="s">
        <v>80</v>
      </c>
      <c r="C81" s="128" t="s">
        <v>5</v>
      </c>
      <c r="D81" s="128" t="s">
        <v>54</v>
      </c>
      <c r="E81" s="129">
        <v>36951</v>
      </c>
      <c r="F81" s="129">
        <v>36950</v>
      </c>
      <c r="G81" s="127" t="s">
        <v>60</v>
      </c>
      <c r="H81" s="130" t="s">
        <v>61</v>
      </c>
      <c r="I81" s="128" t="s">
        <v>58</v>
      </c>
      <c r="J81" s="131">
        <f>+J80</f>
        <v>0.22942258064516127</v>
      </c>
      <c r="K81" s="132">
        <v>0</v>
      </c>
      <c r="L81" s="132">
        <v>2.2000000000000001E-3</v>
      </c>
      <c r="M81" s="132">
        <v>0</v>
      </c>
      <c r="N81" s="132">
        <v>0</v>
      </c>
      <c r="O81" s="133">
        <v>0</v>
      </c>
      <c r="P81" s="132">
        <f t="shared" si="3"/>
        <v>0.23162258064516128</v>
      </c>
      <c r="Q81" s="147">
        <f>+Q80</f>
        <v>3.8287</v>
      </c>
      <c r="R81" s="128">
        <f>385+790</f>
        <v>1175</v>
      </c>
      <c r="S81" s="127" t="str">
        <f>+S80</f>
        <v>#022817</v>
      </c>
      <c r="T81" s="135">
        <f t="shared" si="4"/>
        <v>8356.7175000000007</v>
      </c>
      <c r="U81" s="135"/>
      <c r="V81" s="136">
        <f>+V80</f>
        <v>640587</v>
      </c>
      <c r="W81" s="127"/>
      <c r="X81" s="138"/>
      <c r="Y81" s="138"/>
    </row>
    <row r="82" spans="2:25" s="139" customFormat="1" x14ac:dyDescent="0.25">
      <c r="B82" s="127" t="s">
        <v>80</v>
      </c>
      <c r="C82" s="128" t="s">
        <v>5</v>
      </c>
      <c r="D82" s="128" t="s">
        <v>54</v>
      </c>
      <c r="E82" s="129">
        <v>36951</v>
      </c>
      <c r="F82" s="129">
        <v>37134</v>
      </c>
      <c r="G82" s="127" t="s">
        <v>25</v>
      </c>
      <c r="H82" s="130" t="s">
        <v>61</v>
      </c>
      <c r="I82" s="128" t="s">
        <v>58</v>
      </c>
      <c r="J82" s="131">
        <f>7.1121/J$1</f>
        <v>0.22942258064516127</v>
      </c>
      <c r="K82" s="132">
        <v>0</v>
      </c>
      <c r="L82" s="132">
        <v>2.2000000000000001E-3</v>
      </c>
      <c r="M82" s="132">
        <v>0</v>
      </c>
      <c r="N82" s="132">
        <v>0</v>
      </c>
      <c r="O82" s="133">
        <v>0</v>
      </c>
      <c r="P82" s="132">
        <f t="shared" si="3"/>
        <v>0.23162258064516128</v>
      </c>
      <c r="Q82" s="147">
        <v>3.8321000000000001</v>
      </c>
      <c r="R82" s="128">
        <v>235</v>
      </c>
      <c r="S82" s="127" t="s">
        <v>309</v>
      </c>
      <c r="T82" s="135">
        <f t="shared" si="4"/>
        <v>1671.3434999999999</v>
      </c>
      <c r="U82" s="135"/>
      <c r="V82" s="136">
        <v>641582</v>
      </c>
      <c r="W82" s="127"/>
      <c r="X82" s="138"/>
      <c r="Y82" s="138"/>
    </row>
    <row r="83" spans="2:25" s="139" customFormat="1" x14ac:dyDescent="0.25">
      <c r="B83" s="127" t="s">
        <v>80</v>
      </c>
      <c r="C83" s="128" t="s">
        <v>5</v>
      </c>
      <c r="D83" s="128" t="s">
        <v>54</v>
      </c>
      <c r="E83" s="129">
        <v>36951</v>
      </c>
      <c r="F83" s="129">
        <v>37134</v>
      </c>
      <c r="G83" s="127" t="s">
        <v>59</v>
      </c>
      <c r="H83" s="130" t="s">
        <v>61</v>
      </c>
      <c r="I83" s="128" t="s">
        <v>58</v>
      </c>
      <c r="J83" s="131">
        <f>+J82</f>
        <v>0.22942258064516127</v>
      </c>
      <c r="K83" s="132">
        <v>0</v>
      </c>
      <c r="L83" s="132">
        <v>2.2000000000000001E-3</v>
      </c>
      <c r="M83" s="132">
        <v>0</v>
      </c>
      <c r="N83" s="132">
        <v>0</v>
      </c>
      <c r="O83" s="133">
        <v>0</v>
      </c>
      <c r="P83" s="132">
        <f t="shared" si="3"/>
        <v>0.23162258064516128</v>
      </c>
      <c r="Q83" s="147">
        <f>+Q82</f>
        <v>3.8321000000000001</v>
      </c>
      <c r="R83" s="128">
        <v>347</v>
      </c>
      <c r="S83" s="127" t="str">
        <f>+S82</f>
        <v>#22863</v>
      </c>
      <c r="T83" s="135">
        <f t="shared" si="4"/>
        <v>2467.8986999999997</v>
      </c>
      <c r="U83" s="135"/>
      <c r="V83" s="136">
        <f>+V82</f>
        <v>641582</v>
      </c>
      <c r="W83" s="127"/>
      <c r="X83" s="138"/>
      <c r="Y83" s="138"/>
    </row>
    <row r="84" spans="2:25" s="139" customFormat="1" x14ac:dyDescent="0.25">
      <c r="B84" s="127" t="s">
        <v>80</v>
      </c>
      <c r="C84" s="128" t="s">
        <v>5</v>
      </c>
      <c r="D84" s="128" t="s">
        <v>54</v>
      </c>
      <c r="E84" s="129">
        <v>36951</v>
      </c>
      <c r="F84" s="129">
        <v>37134</v>
      </c>
      <c r="G84" s="127" t="s">
        <v>60</v>
      </c>
      <c r="H84" s="130" t="s">
        <v>61</v>
      </c>
      <c r="I84" s="128" t="s">
        <v>58</v>
      </c>
      <c r="J84" s="131">
        <f>+J83</f>
        <v>0.22942258064516127</v>
      </c>
      <c r="K84" s="132">
        <v>0</v>
      </c>
      <c r="L84" s="132">
        <v>2.2000000000000001E-3</v>
      </c>
      <c r="M84" s="132">
        <v>0</v>
      </c>
      <c r="N84" s="132">
        <v>0</v>
      </c>
      <c r="O84" s="133">
        <v>0</v>
      </c>
      <c r="P84" s="132">
        <f t="shared" si="3"/>
        <v>0.23162258064516128</v>
      </c>
      <c r="Q84" s="147">
        <f>+Q83</f>
        <v>3.8321000000000001</v>
      </c>
      <c r="R84" s="128">
        <f>263+540</f>
        <v>803</v>
      </c>
      <c r="S84" s="127" t="str">
        <f>+S83</f>
        <v>#22863</v>
      </c>
      <c r="T84" s="135">
        <f t="shared" si="4"/>
        <v>5711.0163000000002</v>
      </c>
      <c r="U84" s="135"/>
      <c r="V84" s="136">
        <f>+V83</f>
        <v>641582</v>
      </c>
      <c r="W84" s="127"/>
      <c r="X84" s="138"/>
      <c r="Y84" s="138"/>
    </row>
    <row r="85" spans="2:25" s="139" customFormat="1" x14ac:dyDescent="0.25">
      <c r="B85" s="127" t="s">
        <v>80</v>
      </c>
      <c r="C85" s="128" t="s">
        <v>5</v>
      </c>
      <c r="D85" s="128" t="s">
        <v>54</v>
      </c>
      <c r="E85" s="129">
        <v>36951</v>
      </c>
      <c r="F85" s="129">
        <v>36981</v>
      </c>
      <c r="G85" s="127" t="s">
        <v>60</v>
      </c>
      <c r="H85" s="127" t="s">
        <v>60</v>
      </c>
      <c r="I85" s="128" t="s">
        <v>58</v>
      </c>
      <c r="J85" s="131">
        <f>7.0221/J$1</f>
        <v>0.22651935483870969</v>
      </c>
      <c r="K85" s="132">
        <v>0</v>
      </c>
      <c r="L85" s="132">
        <v>2.2000000000000001E-3</v>
      </c>
      <c r="M85" s="132">
        <v>0</v>
      </c>
      <c r="N85" s="132">
        <v>0</v>
      </c>
      <c r="O85" s="133">
        <v>0</v>
      </c>
      <c r="P85" s="132">
        <f t="shared" si="3"/>
        <v>0.2287193548387097</v>
      </c>
      <c r="Q85" s="147">
        <v>3.8344999999999998</v>
      </c>
      <c r="R85" s="128">
        <v>33</v>
      </c>
      <c r="S85" s="127" t="s">
        <v>305</v>
      </c>
      <c r="T85" s="135">
        <f t="shared" si="4"/>
        <v>231.72929999999999</v>
      </c>
      <c r="U85" s="135"/>
      <c r="V85" s="136">
        <v>644004</v>
      </c>
      <c r="W85" s="127"/>
      <c r="X85" s="138"/>
      <c r="Y85" s="138"/>
    </row>
    <row r="86" spans="2:25" s="139" customFormat="1" x14ac:dyDescent="0.25">
      <c r="B86" s="127" t="s">
        <v>80</v>
      </c>
      <c r="C86" s="128" t="s">
        <v>5</v>
      </c>
      <c r="D86" s="128" t="s">
        <v>54</v>
      </c>
      <c r="E86" s="129">
        <v>36951</v>
      </c>
      <c r="F86" s="129">
        <v>36981</v>
      </c>
      <c r="G86" s="127" t="s">
        <v>60</v>
      </c>
      <c r="H86" s="127" t="s">
        <v>60</v>
      </c>
      <c r="I86" s="128" t="s">
        <v>58</v>
      </c>
      <c r="J86" s="131">
        <f>7.0221/J$1</f>
        <v>0.22651935483870969</v>
      </c>
      <c r="K86" s="132">
        <v>0</v>
      </c>
      <c r="L86" s="132">
        <v>2.2000000000000001E-3</v>
      </c>
      <c r="M86" s="132">
        <v>0</v>
      </c>
      <c r="N86" s="132">
        <v>0</v>
      </c>
      <c r="O86" s="133">
        <v>0</v>
      </c>
      <c r="P86" s="132">
        <f t="shared" si="3"/>
        <v>0.2287193548387097</v>
      </c>
      <c r="Q86" s="147">
        <v>3.8288000000000002</v>
      </c>
      <c r="R86" s="128">
        <v>115</v>
      </c>
      <c r="S86" s="127" t="s">
        <v>318</v>
      </c>
      <c r="T86" s="135">
        <f t="shared" si="4"/>
        <v>807.54150000000004</v>
      </c>
      <c r="U86" s="135"/>
      <c r="V86" s="136">
        <v>640495</v>
      </c>
      <c r="W86" s="127"/>
      <c r="X86" s="138"/>
      <c r="Y86" s="138"/>
    </row>
    <row r="87" spans="2:25" s="139" customFormat="1" x14ac:dyDescent="0.25">
      <c r="B87" s="127" t="s">
        <v>80</v>
      </c>
      <c r="C87" s="128" t="s">
        <v>5</v>
      </c>
      <c r="D87" s="128" t="s">
        <v>54</v>
      </c>
      <c r="E87" s="129">
        <v>36951</v>
      </c>
      <c r="F87" s="129">
        <v>37864</v>
      </c>
      <c r="G87" s="127" t="s">
        <v>25</v>
      </c>
      <c r="H87" s="130" t="s">
        <v>61</v>
      </c>
      <c r="I87" s="128" t="s">
        <v>58</v>
      </c>
      <c r="J87" s="131">
        <f>7.1121/J$1</f>
        <v>0.22942258064516127</v>
      </c>
      <c r="K87" s="132">
        <v>0</v>
      </c>
      <c r="L87" s="132">
        <v>2.2000000000000001E-3</v>
      </c>
      <c r="M87" s="132">
        <v>0</v>
      </c>
      <c r="N87" s="132">
        <v>0</v>
      </c>
      <c r="O87" s="133">
        <v>0</v>
      </c>
      <c r="P87" s="132">
        <f>SUM(J87:N87)</f>
        <v>0.23162258064516128</v>
      </c>
      <c r="Q87" s="147">
        <v>3.8237999999999999</v>
      </c>
      <c r="R87" s="150">
        <v>804</v>
      </c>
      <c r="S87" s="127" t="s">
        <v>323</v>
      </c>
      <c r="T87" s="135">
        <f>J87*J$1*R87</f>
        <v>5718.1283999999996</v>
      </c>
      <c r="U87" s="135"/>
      <c r="V87" s="136">
        <v>640414</v>
      </c>
      <c r="W87" s="127"/>
      <c r="X87" s="138"/>
      <c r="Y87" s="138"/>
    </row>
    <row r="88" spans="2:25" s="139" customFormat="1" x14ac:dyDescent="0.25">
      <c r="B88" s="127" t="s">
        <v>80</v>
      </c>
      <c r="C88" s="128" t="s">
        <v>5</v>
      </c>
      <c r="D88" s="128" t="s">
        <v>54</v>
      </c>
      <c r="E88" s="129">
        <v>36951</v>
      </c>
      <c r="F88" s="129">
        <v>37864</v>
      </c>
      <c r="G88" s="127" t="s">
        <v>59</v>
      </c>
      <c r="H88" s="130" t="s">
        <v>61</v>
      </c>
      <c r="I88" s="128" t="s">
        <v>58</v>
      </c>
      <c r="J88" s="131">
        <f>+J87</f>
        <v>0.22942258064516127</v>
      </c>
      <c r="K88" s="132">
        <v>0</v>
      </c>
      <c r="L88" s="132">
        <v>2.2000000000000001E-3</v>
      </c>
      <c r="M88" s="132">
        <v>0</v>
      </c>
      <c r="N88" s="132">
        <v>0</v>
      </c>
      <c r="O88" s="133">
        <v>0</v>
      </c>
      <c r="P88" s="132">
        <f>SUM(J88:N88)</f>
        <v>0.23162258064516128</v>
      </c>
      <c r="Q88" s="147">
        <f>+Q87</f>
        <v>3.8237999999999999</v>
      </c>
      <c r="R88" s="128">
        <v>1182</v>
      </c>
      <c r="S88" s="127" t="str">
        <f>+S87</f>
        <v>#22816</v>
      </c>
      <c r="T88" s="135">
        <f>J88*J$1*R88</f>
        <v>8406.502199999999</v>
      </c>
      <c r="U88" s="135"/>
      <c r="V88" s="136">
        <f>+V87</f>
        <v>640414</v>
      </c>
      <c r="W88" s="127"/>
      <c r="X88" s="138"/>
      <c r="Y88" s="138"/>
    </row>
    <row r="89" spans="2:25" s="139" customFormat="1" x14ac:dyDescent="0.25">
      <c r="B89" s="127" t="s">
        <v>80</v>
      </c>
      <c r="C89" s="128" t="s">
        <v>5</v>
      </c>
      <c r="D89" s="128" t="s">
        <v>54</v>
      </c>
      <c r="E89" s="129">
        <v>36951</v>
      </c>
      <c r="F89" s="129">
        <v>37864</v>
      </c>
      <c r="G89" s="127" t="s">
        <v>60</v>
      </c>
      <c r="H89" s="130" t="s">
        <v>61</v>
      </c>
      <c r="I89" s="128" t="s">
        <v>58</v>
      </c>
      <c r="J89" s="131">
        <f>+J88</f>
        <v>0.22942258064516127</v>
      </c>
      <c r="K89" s="132">
        <v>0</v>
      </c>
      <c r="L89" s="132">
        <v>2.2000000000000001E-3</v>
      </c>
      <c r="M89" s="132">
        <v>0</v>
      </c>
      <c r="N89" s="132">
        <v>0</v>
      </c>
      <c r="O89" s="133">
        <v>0</v>
      </c>
      <c r="P89" s="132">
        <f>SUM(J89:N89)</f>
        <v>0.23162258064516128</v>
      </c>
      <c r="Q89" s="147">
        <f>+Q88</f>
        <v>3.8237999999999999</v>
      </c>
      <c r="R89" s="128">
        <f>898+1844</f>
        <v>2742</v>
      </c>
      <c r="S89" s="127" t="str">
        <f>+S88</f>
        <v>#22816</v>
      </c>
      <c r="T89" s="135">
        <f>J89*J$1*R89</f>
        <v>19501.378199999999</v>
      </c>
      <c r="U89" s="135"/>
      <c r="V89" s="136">
        <f>+V88</f>
        <v>640414</v>
      </c>
      <c r="W89" s="127"/>
      <c r="X89" s="138"/>
      <c r="Y89" s="138"/>
    </row>
    <row r="90" spans="2:25" s="139" customFormat="1" x14ac:dyDescent="0.25">
      <c r="B90" s="127" t="s">
        <v>80</v>
      </c>
      <c r="C90" s="128" t="s">
        <v>5</v>
      </c>
      <c r="D90" s="128" t="s">
        <v>54</v>
      </c>
      <c r="E90" s="129">
        <v>36951</v>
      </c>
      <c r="F90" s="129">
        <v>37864</v>
      </c>
      <c r="G90" s="127" t="s">
        <v>25</v>
      </c>
      <c r="H90" s="130" t="s">
        <v>61</v>
      </c>
      <c r="I90" s="128" t="s">
        <v>58</v>
      </c>
      <c r="J90" s="131">
        <f>7.1121/J$1</f>
        <v>0.22942258064516127</v>
      </c>
      <c r="K90" s="132">
        <v>0</v>
      </c>
      <c r="L90" s="132">
        <v>2.2000000000000001E-3</v>
      </c>
      <c r="M90" s="132">
        <v>0</v>
      </c>
      <c r="N90" s="132">
        <v>0</v>
      </c>
      <c r="O90" s="133">
        <v>0</v>
      </c>
      <c r="P90" s="132">
        <f t="shared" si="3"/>
        <v>0.23162258064516128</v>
      </c>
      <c r="Q90" s="147">
        <v>3.8323</v>
      </c>
      <c r="R90" s="150">
        <v>14</v>
      </c>
      <c r="S90" s="127" t="s">
        <v>307</v>
      </c>
      <c r="T90" s="135">
        <f t="shared" si="4"/>
        <v>99.569400000000002</v>
      </c>
      <c r="U90" s="135"/>
      <c r="V90" s="136">
        <v>641683</v>
      </c>
      <c r="W90" s="127"/>
      <c r="X90" s="138"/>
      <c r="Y90" s="138"/>
    </row>
    <row r="91" spans="2:25" s="139" customFormat="1" x14ac:dyDescent="0.25">
      <c r="B91" s="127" t="s">
        <v>80</v>
      </c>
      <c r="C91" s="128" t="s">
        <v>5</v>
      </c>
      <c r="D91" s="128" t="s">
        <v>54</v>
      </c>
      <c r="E91" s="129">
        <v>36951</v>
      </c>
      <c r="F91" s="129">
        <v>37864</v>
      </c>
      <c r="G91" s="127" t="s">
        <v>59</v>
      </c>
      <c r="H91" s="130" t="s">
        <v>61</v>
      </c>
      <c r="I91" s="128" t="s">
        <v>58</v>
      </c>
      <c r="J91" s="131">
        <f>+J90</f>
        <v>0.22942258064516127</v>
      </c>
      <c r="K91" s="132">
        <v>0</v>
      </c>
      <c r="L91" s="132">
        <v>2.2000000000000001E-3</v>
      </c>
      <c r="M91" s="132">
        <v>0</v>
      </c>
      <c r="N91" s="132">
        <v>0</v>
      </c>
      <c r="O91" s="133">
        <v>0</v>
      </c>
      <c r="P91" s="132">
        <f t="shared" si="3"/>
        <v>0.23162258064516128</v>
      </c>
      <c r="Q91" s="147">
        <f>+Q90</f>
        <v>3.8323</v>
      </c>
      <c r="R91" s="128">
        <v>20</v>
      </c>
      <c r="S91" s="127" t="str">
        <f>+S90</f>
        <v>#22859</v>
      </c>
      <c r="T91" s="135">
        <f t="shared" si="4"/>
        <v>142.24199999999999</v>
      </c>
      <c r="U91" s="135"/>
      <c r="V91" s="136">
        <f>+V90</f>
        <v>641683</v>
      </c>
      <c r="W91" s="127"/>
      <c r="X91" s="138"/>
      <c r="Y91" s="138"/>
    </row>
    <row r="92" spans="2:25" s="139" customFormat="1" x14ac:dyDescent="0.25">
      <c r="B92" s="127" t="s">
        <v>80</v>
      </c>
      <c r="C92" s="128" t="s">
        <v>5</v>
      </c>
      <c r="D92" s="128" t="s">
        <v>54</v>
      </c>
      <c r="E92" s="129">
        <v>36951</v>
      </c>
      <c r="F92" s="129">
        <v>37864</v>
      </c>
      <c r="G92" s="127" t="s">
        <v>60</v>
      </c>
      <c r="H92" s="130" t="s">
        <v>61</v>
      </c>
      <c r="I92" s="128" t="s">
        <v>58</v>
      </c>
      <c r="J92" s="131">
        <f>+J91</f>
        <v>0.22942258064516127</v>
      </c>
      <c r="K92" s="132">
        <v>0</v>
      </c>
      <c r="L92" s="132">
        <v>2.2000000000000001E-3</v>
      </c>
      <c r="M92" s="132">
        <v>0</v>
      </c>
      <c r="N92" s="132">
        <v>0</v>
      </c>
      <c r="O92" s="133">
        <v>0</v>
      </c>
      <c r="P92" s="132">
        <f t="shared" si="3"/>
        <v>0.23162258064516128</v>
      </c>
      <c r="Q92" s="147">
        <f>+Q91</f>
        <v>3.8323</v>
      </c>
      <c r="R92" s="128">
        <f>15+32</f>
        <v>47</v>
      </c>
      <c r="S92" s="127" t="str">
        <f>+S91</f>
        <v>#22859</v>
      </c>
      <c r="T92" s="135">
        <f t="shared" si="4"/>
        <v>334.26869999999997</v>
      </c>
      <c r="U92" s="135"/>
      <c r="V92" s="136">
        <f>+V91</f>
        <v>641683</v>
      </c>
      <c r="W92" s="127"/>
      <c r="X92" s="138"/>
      <c r="Y92" s="138"/>
    </row>
    <row r="93" spans="2:25" s="139" customFormat="1" x14ac:dyDescent="0.25">
      <c r="B93" s="127" t="s">
        <v>80</v>
      </c>
      <c r="C93" s="128" t="s">
        <v>5</v>
      </c>
      <c r="D93" s="128" t="s">
        <v>54</v>
      </c>
      <c r="E93" s="129">
        <v>36951</v>
      </c>
      <c r="F93" s="129">
        <v>37864</v>
      </c>
      <c r="G93" s="127" t="s">
        <v>62</v>
      </c>
      <c r="H93" s="130" t="s">
        <v>61</v>
      </c>
      <c r="I93" s="128" t="s">
        <v>63</v>
      </c>
      <c r="J93" s="131">
        <f>11.9593/J1</f>
        <v>0.38578387096774197</v>
      </c>
      <c r="K93" s="132">
        <v>0</v>
      </c>
      <c r="L93" s="132">
        <v>2.2000000000000001E-3</v>
      </c>
      <c r="M93" s="132">
        <v>0</v>
      </c>
      <c r="N93" s="132">
        <v>0</v>
      </c>
      <c r="O93" s="133">
        <v>0</v>
      </c>
      <c r="P93" s="132">
        <f t="shared" si="3"/>
        <v>0.38798387096774195</v>
      </c>
      <c r="Q93" s="144">
        <v>3.8237000000000001</v>
      </c>
      <c r="R93" s="128">
        <v>2885</v>
      </c>
      <c r="S93" s="127" t="s">
        <v>321</v>
      </c>
      <c r="T93" s="135">
        <f t="shared" si="4"/>
        <v>34502.580500000004</v>
      </c>
      <c r="U93" s="135"/>
      <c r="V93" s="136">
        <v>640421</v>
      </c>
      <c r="W93" s="127"/>
      <c r="X93" s="138"/>
      <c r="Y93" s="138"/>
    </row>
    <row r="94" spans="2:25" s="139" customFormat="1" x14ac:dyDescent="0.25">
      <c r="B94" s="127" t="s">
        <v>80</v>
      </c>
      <c r="C94" s="128" t="s">
        <v>5</v>
      </c>
      <c r="D94" s="128" t="s">
        <v>54</v>
      </c>
      <c r="E94" s="129">
        <v>36951</v>
      </c>
      <c r="F94" s="129">
        <v>36981</v>
      </c>
      <c r="G94" s="127" t="s">
        <v>25</v>
      </c>
      <c r="H94" s="130" t="s">
        <v>61</v>
      </c>
      <c r="I94" s="128" t="s">
        <v>58</v>
      </c>
      <c r="J94" s="131">
        <f>7.1121/J1</f>
        <v>0.22942258064516127</v>
      </c>
      <c r="K94" s="132">
        <v>0</v>
      </c>
      <c r="L94" s="132">
        <v>2.2000000000000001E-3</v>
      </c>
      <c r="M94" s="132">
        <v>0</v>
      </c>
      <c r="N94" s="132">
        <v>0</v>
      </c>
      <c r="O94" s="133">
        <v>0</v>
      </c>
      <c r="P94" s="132">
        <f t="shared" si="3"/>
        <v>0.23162258064516128</v>
      </c>
      <c r="Q94" s="147">
        <v>3.8344</v>
      </c>
      <c r="R94" s="128">
        <v>101</v>
      </c>
      <c r="S94" s="127" t="s">
        <v>304</v>
      </c>
      <c r="T94" s="135">
        <f t="shared" si="4"/>
        <v>718.32209999999998</v>
      </c>
      <c r="U94" s="135"/>
      <c r="V94" s="136">
        <v>644009</v>
      </c>
      <c r="W94" s="127"/>
      <c r="X94" s="138"/>
      <c r="Y94" s="138"/>
    </row>
    <row r="95" spans="2:25" s="139" customFormat="1" x14ac:dyDescent="0.25">
      <c r="B95" s="127" t="s">
        <v>80</v>
      </c>
      <c r="C95" s="128" t="s">
        <v>5</v>
      </c>
      <c r="D95" s="128" t="s">
        <v>54</v>
      </c>
      <c r="E95" s="129">
        <v>36951</v>
      </c>
      <c r="F95" s="129">
        <f>+F94</f>
        <v>36981</v>
      </c>
      <c r="G95" s="127" t="s">
        <v>59</v>
      </c>
      <c r="H95" s="130" t="s">
        <v>61</v>
      </c>
      <c r="I95" s="128" t="s">
        <v>58</v>
      </c>
      <c r="J95" s="131">
        <f>+J94</f>
        <v>0.22942258064516127</v>
      </c>
      <c r="K95" s="132">
        <v>0</v>
      </c>
      <c r="L95" s="132">
        <v>2.2000000000000001E-3</v>
      </c>
      <c r="M95" s="132">
        <v>0</v>
      </c>
      <c r="N95" s="132">
        <v>0</v>
      </c>
      <c r="O95" s="133">
        <v>0</v>
      </c>
      <c r="P95" s="132">
        <f>SUM(J95:N95)</f>
        <v>0.23162258064516128</v>
      </c>
      <c r="Q95" s="147">
        <f>+Q94</f>
        <v>3.8344</v>
      </c>
      <c r="R95" s="128">
        <v>148</v>
      </c>
      <c r="S95" s="127" t="str">
        <f>+S94</f>
        <v>#22864</v>
      </c>
      <c r="T95" s="135">
        <f>J95*J$1*R95</f>
        <v>1052.5907999999999</v>
      </c>
      <c r="U95" s="135"/>
      <c r="V95" s="136">
        <f>+V94</f>
        <v>644009</v>
      </c>
      <c r="W95" s="127"/>
      <c r="X95" s="138"/>
      <c r="Y95" s="138"/>
    </row>
    <row r="96" spans="2:25" s="139" customFormat="1" x14ac:dyDescent="0.25">
      <c r="B96" s="127" t="s">
        <v>80</v>
      </c>
      <c r="C96" s="128" t="s">
        <v>5</v>
      </c>
      <c r="D96" s="128" t="s">
        <v>54</v>
      </c>
      <c r="E96" s="129">
        <v>36951</v>
      </c>
      <c r="F96" s="129">
        <f>+F95</f>
        <v>36981</v>
      </c>
      <c r="G96" s="127" t="s">
        <v>303</v>
      </c>
      <c r="H96" s="130" t="s">
        <v>61</v>
      </c>
      <c r="I96" s="128" t="s">
        <v>58</v>
      </c>
      <c r="J96" s="131">
        <f>+J95</f>
        <v>0.22942258064516127</v>
      </c>
      <c r="K96" s="132">
        <v>0</v>
      </c>
      <c r="L96" s="132">
        <v>2.2000000000000001E-3</v>
      </c>
      <c r="M96" s="132">
        <v>0</v>
      </c>
      <c r="N96" s="132">
        <v>0</v>
      </c>
      <c r="O96" s="133">
        <v>0</v>
      </c>
      <c r="P96" s="132">
        <f>SUM(J96:N96)</f>
        <v>0.23162258064516128</v>
      </c>
      <c r="Q96" s="147">
        <f>+Q95</f>
        <v>3.8344</v>
      </c>
      <c r="R96" s="128">
        <f>113+232</f>
        <v>345</v>
      </c>
      <c r="S96" s="127" t="str">
        <f>+S95</f>
        <v>#22864</v>
      </c>
      <c r="T96" s="135">
        <f>J96*J$1*R96</f>
        <v>2453.6745000000001</v>
      </c>
      <c r="U96" s="135"/>
      <c r="V96" s="136">
        <f>+V95</f>
        <v>644009</v>
      </c>
      <c r="W96" s="127"/>
      <c r="X96" s="138"/>
      <c r="Y96" s="138"/>
    </row>
    <row r="97" spans="2:25" s="139" customFormat="1" x14ac:dyDescent="0.25">
      <c r="B97" s="127" t="s">
        <v>80</v>
      </c>
      <c r="C97" s="128" t="s">
        <v>5</v>
      </c>
      <c r="D97" s="128" t="s">
        <v>54</v>
      </c>
      <c r="E97" s="129">
        <v>36951</v>
      </c>
      <c r="F97" s="129">
        <v>36981</v>
      </c>
      <c r="G97" s="127" t="s">
        <v>301</v>
      </c>
      <c r="H97" s="130" t="s">
        <v>61</v>
      </c>
      <c r="I97" s="128" t="s">
        <v>58</v>
      </c>
      <c r="J97" s="131">
        <f>12.6955/J1</f>
        <v>0.4095322580645161</v>
      </c>
      <c r="K97" s="132">
        <v>0</v>
      </c>
      <c r="L97" s="132">
        <v>2.2000000000000001E-3</v>
      </c>
      <c r="M97" s="132">
        <v>0</v>
      </c>
      <c r="N97" s="132">
        <v>0</v>
      </c>
      <c r="O97" s="133">
        <v>0</v>
      </c>
      <c r="P97" s="132">
        <f t="shared" si="3"/>
        <v>0.41173225806451608</v>
      </c>
      <c r="Q97" s="147">
        <v>3.8342999999999998</v>
      </c>
      <c r="R97" s="128">
        <f>839+1723</f>
        <v>2562</v>
      </c>
      <c r="S97" s="127" t="s">
        <v>302</v>
      </c>
      <c r="T97" s="135">
        <f t="shared" si="4"/>
        <v>32525.870999999999</v>
      </c>
      <c r="U97" s="135"/>
      <c r="V97" s="136">
        <v>644014</v>
      </c>
      <c r="W97" s="127"/>
      <c r="X97" s="138"/>
      <c r="Y97" s="138"/>
    </row>
    <row r="98" spans="2:25" s="139" customFormat="1" x14ac:dyDescent="0.25">
      <c r="B98" s="127" t="s">
        <v>80</v>
      </c>
      <c r="C98" s="128" t="s">
        <v>5</v>
      </c>
      <c r="D98" s="128" t="s">
        <v>54</v>
      </c>
      <c r="E98" s="129">
        <v>36951</v>
      </c>
      <c r="F98" s="129">
        <v>36981</v>
      </c>
      <c r="G98" s="127" t="s">
        <v>298</v>
      </c>
      <c r="H98" s="130" t="s">
        <v>61</v>
      </c>
      <c r="I98" s="128" t="s">
        <v>63</v>
      </c>
      <c r="J98" s="131">
        <f>13.8142/J1</f>
        <v>0.44561935483870968</v>
      </c>
      <c r="K98" s="132">
        <v>0</v>
      </c>
      <c r="L98" s="132">
        <v>2.2000000000000001E-3</v>
      </c>
      <c r="M98" s="132">
        <v>0</v>
      </c>
      <c r="N98" s="132">
        <v>0</v>
      </c>
      <c r="O98" s="133">
        <v>0</v>
      </c>
      <c r="P98" s="132">
        <f t="shared" ref="P98:P112" si="5">SUM(J98:N98)</f>
        <v>0.44781935483870966</v>
      </c>
      <c r="Q98" s="144">
        <v>3.8347000000000002</v>
      </c>
      <c r="R98" s="128">
        <v>254</v>
      </c>
      <c r="S98" s="127" t="s">
        <v>299</v>
      </c>
      <c r="T98" s="135">
        <f t="shared" si="4"/>
        <v>3508.8067999999998</v>
      </c>
      <c r="U98" s="135"/>
      <c r="V98" s="136">
        <v>644019</v>
      </c>
      <c r="W98" s="127" t="s">
        <v>167</v>
      </c>
      <c r="X98" s="138"/>
      <c r="Y98" s="138"/>
    </row>
    <row r="99" spans="2:25" s="139" customFormat="1" x14ac:dyDescent="0.25">
      <c r="B99" s="127" t="s">
        <v>80</v>
      </c>
      <c r="C99" s="128" t="s">
        <v>5</v>
      </c>
      <c r="D99" s="128" t="s">
        <v>54</v>
      </c>
      <c r="E99" s="129">
        <v>36951</v>
      </c>
      <c r="F99" s="129">
        <v>37864</v>
      </c>
      <c r="G99" s="127" t="s">
        <v>66</v>
      </c>
      <c r="H99" s="130"/>
      <c r="I99" s="128" t="s">
        <v>65</v>
      </c>
      <c r="J99" s="131">
        <v>7.3000000000000001E-3</v>
      </c>
      <c r="K99" s="132">
        <v>0</v>
      </c>
      <c r="L99" s="132">
        <v>2.2000000000000001E-3</v>
      </c>
      <c r="M99" s="132">
        <v>0</v>
      </c>
      <c r="N99" s="132">
        <v>0</v>
      </c>
      <c r="O99" s="133">
        <v>0</v>
      </c>
      <c r="P99" s="132">
        <f>SUM(J99:N99)</f>
        <v>9.4999999999999998E-3</v>
      </c>
      <c r="Q99" s="144">
        <v>3.8191999999999999</v>
      </c>
      <c r="R99" s="128">
        <v>274971</v>
      </c>
      <c r="S99" s="127" t="s">
        <v>319</v>
      </c>
      <c r="T99" s="145">
        <f>+R99*J99</f>
        <v>2007.2882999999999</v>
      </c>
      <c r="U99" s="135"/>
      <c r="V99" s="136">
        <v>640448</v>
      </c>
      <c r="W99" s="127" t="s">
        <v>167</v>
      </c>
      <c r="X99" s="138"/>
      <c r="Y99" s="138"/>
    </row>
    <row r="100" spans="2:25" s="139" customFormat="1" x14ac:dyDescent="0.25">
      <c r="B100" s="127" t="s">
        <v>80</v>
      </c>
      <c r="C100" s="128" t="s">
        <v>5</v>
      </c>
      <c r="D100" s="128" t="s">
        <v>54</v>
      </c>
      <c r="E100" s="129">
        <v>36951</v>
      </c>
      <c r="F100" s="129">
        <v>37864</v>
      </c>
      <c r="G100" s="127" t="s">
        <v>64</v>
      </c>
      <c r="H100" s="130"/>
      <c r="I100" s="128" t="s">
        <v>65</v>
      </c>
      <c r="J100" s="131">
        <v>0.624</v>
      </c>
      <c r="K100" s="132">
        <v>0</v>
      </c>
      <c r="L100" s="132">
        <v>2.2000000000000001E-3</v>
      </c>
      <c r="M100" s="132">
        <v>0</v>
      </c>
      <c r="N100" s="132">
        <v>0</v>
      </c>
      <c r="O100" s="133">
        <v>0</v>
      </c>
      <c r="P100" s="132">
        <f>SUM(J100:N100)</f>
        <v>0.62619999999999998</v>
      </c>
      <c r="Q100" s="144">
        <f>+Q99</f>
        <v>3.8191999999999999</v>
      </c>
      <c r="R100" s="128">
        <v>3235</v>
      </c>
      <c r="S100" s="127" t="str">
        <f>+S99</f>
        <v>#022736</v>
      </c>
      <c r="T100" s="145">
        <f>+R100*J100</f>
        <v>2018.64</v>
      </c>
      <c r="U100" s="135"/>
      <c r="V100" s="136">
        <f>+V99</f>
        <v>640448</v>
      </c>
      <c r="W100" s="127" t="s">
        <v>167</v>
      </c>
      <c r="X100" s="138"/>
      <c r="Y100" s="138"/>
    </row>
    <row r="101" spans="2:25" s="139" customFormat="1" x14ac:dyDescent="0.25">
      <c r="B101" s="127" t="s">
        <v>80</v>
      </c>
      <c r="C101" s="128" t="s">
        <v>5</v>
      </c>
      <c r="D101" s="128" t="s">
        <v>54</v>
      </c>
      <c r="E101" s="129">
        <v>36951</v>
      </c>
      <c r="F101" s="129">
        <v>36981</v>
      </c>
      <c r="G101" s="127" t="s">
        <v>66</v>
      </c>
      <c r="H101" s="130"/>
      <c r="I101" s="128" t="s">
        <v>65</v>
      </c>
      <c r="J101" s="131">
        <v>7.3000000000000001E-3</v>
      </c>
      <c r="K101" s="132">
        <v>0</v>
      </c>
      <c r="L101" s="132">
        <v>2.2000000000000001E-3</v>
      </c>
      <c r="M101" s="132">
        <v>0</v>
      </c>
      <c r="N101" s="132">
        <v>0</v>
      </c>
      <c r="O101" s="133">
        <v>0</v>
      </c>
      <c r="P101" s="132">
        <f t="shared" si="5"/>
        <v>9.4999999999999998E-3</v>
      </c>
      <c r="Q101" s="144">
        <v>3.8338999999999999</v>
      </c>
      <c r="R101" s="128">
        <v>33807</v>
      </c>
      <c r="S101" s="127" t="s">
        <v>294</v>
      </c>
      <c r="T101" s="145">
        <f t="shared" ref="T101:T106" si="6">+R101*J101</f>
        <v>246.7911</v>
      </c>
      <c r="U101" s="135"/>
      <c r="V101" s="136">
        <v>644028</v>
      </c>
      <c r="W101" s="127" t="s">
        <v>167</v>
      </c>
      <c r="X101" s="138"/>
      <c r="Y101" s="138"/>
    </row>
    <row r="102" spans="2:25" s="139" customFormat="1" x14ac:dyDescent="0.25">
      <c r="B102" s="127" t="s">
        <v>80</v>
      </c>
      <c r="C102" s="128" t="s">
        <v>5</v>
      </c>
      <c r="D102" s="128" t="s">
        <v>54</v>
      </c>
      <c r="E102" s="129">
        <v>36951</v>
      </c>
      <c r="F102" s="129">
        <v>36981</v>
      </c>
      <c r="G102" s="127" t="s">
        <v>64</v>
      </c>
      <c r="H102" s="130"/>
      <c r="I102" s="128" t="s">
        <v>65</v>
      </c>
      <c r="J102" s="131">
        <v>0.624</v>
      </c>
      <c r="K102" s="132">
        <v>0</v>
      </c>
      <c r="L102" s="132">
        <v>2.2000000000000001E-3</v>
      </c>
      <c r="M102" s="132">
        <v>0</v>
      </c>
      <c r="N102" s="132">
        <v>0</v>
      </c>
      <c r="O102" s="133">
        <v>0</v>
      </c>
      <c r="P102" s="132">
        <f t="shared" si="5"/>
        <v>0.62619999999999998</v>
      </c>
      <c r="Q102" s="144">
        <f>+Q101</f>
        <v>3.8338999999999999</v>
      </c>
      <c r="R102" s="128">
        <v>398</v>
      </c>
      <c r="S102" s="127" t="str">
        <f>+S101</f>
        <v>#022872</v>
      </c>
      <c r="T102" s="145">
        <f t="shared" si="6"/>
        <v>248.352</v>
      </c>
      <c r="U102" s="135"/>
      <c r="V102" s="136">
        <v>644028</v>
      </c>
      <c r="W102" s="127" t="s">
        <v>167</v>
      </c>
      <c r="X102" s="138"/>
      <c r="Y102" s="138"/>
    </row>
    <row r="103" spans="2:25" s="139" customFormat="1" x14ac:dyDescent="0.25">
      <c r="B103" s="127" t="s">
        <v>80</v>
      </c>
      <c r="C103" s="128" t="s">
        <v>5</v>
      </c>
      <c r="D103" s="128" t="s">
        <v>54</v>
      </c>
      <c r="E103" s="129">
        <v>36951</v>
      </c>
      <c r="F103" s="129">
        <v>37864</v>
      </c>
      <c r="G103" s="127" t="s">
        <v>66</v>
      </c>
      <c r="H103" s="130"/>
      <c r="I103" s="128" t="s">
        <v>65</v>
      </c>
      <c r="J103" s="131">
        <v>7.3000000000000001E-3</v>
      </c>
      <c r="K103" s="132">
        <v>0</v>
      </c>
      <c r="L103" s="132">
        <v>2.2000000000000001E-3</v>
      </c>
      <c r="M103" s="132">
        <v>0</v>
      </c>
      <c r="N103" s="132">
        <v>0</v>
      </c>
      <c r="O103" s="133">
        <v>0</v>
      </c>
      <c r="P103" s="132">
        <f>SUM(J103:N103)</f>
        <v>9.4999999999999998E-3</v>
      </c>
      <c r="Q103" s="147">
        <v>3.8336999999999999</v>
      </c>
      <c r="R103" s="128">
        <v>78885</v>
      </c>
      <c r="S103" s="127" t="s">
        <v>297</v>
      </c>
      <c r="T103" s="145">
        <f t="shared" si="6"/>
        <v>575.8605</v>
      </c>
      <c r="U103" s="135"/>
      <c r="V103" s="136">
        <v>644024</v>
      </c>
      <c r="W103" s="127"/>
      <c r="X103" s="138"/>
      <c r="Y103" s="138"/>
    </row>
    <row r="104" spans="2:25" s="139" customFormat="1" ht="13.5" customHeight="1" x14ac:dyDescent="0.25">
      <c r="B104" s="127" t="s">
        <v>80</v>
      </c>
      <c r="C104" s="128" t="s">
        <v>5</v>
      </c>
      <c r="D104" s="128" t="s">
        <v>54</v>
      </c>
      <c r="E104" s="129">
        <v>36951</v>
      </c>
      <c r="F104" s="129">
        <v>37864</v>
      </c>
      <c r="G104" s="127" t="s">
        <v>64</v>
      </c>
      <c r="H104" s="130"/>
      <c r="I104" s="128" t="s">
        <v>65</v>
      </c>
      <c r="J104" s="131">
        <v>6.2399999999999997E-2</v>
      </c>
      <c r="K104" s="132">
        <v>0</v>
      </c>
      <c r="L104" s="132">
        <v>2.2000000000000001E-3</v>
      </c>
      <c r="M104" s="132">
        <v>0</v>
      </c>
      <c r="N104" s="132">
        <v>0</v>
      </c>
      <c r="O104" s="133">
        <v>0</v>
      </c>
      <c r="P104" s="132">
        <f>SUM(J104:N104)</f>
        <v>6.4599999999999991E-2</v>
      </c>
      <c r="Q104" s="147">
        <v>3.8336999999999999</v>
      </c>
      <c r="R104" s="128">
        <v>928</v>
      </c>
      <c r="S104" s="127" t="str">
        <f>+S103</f>
        <v>#22871</v>
      </c>
      <c r="T104" s="145">
        <f t="shared" si="6"/>
        <v>57.907199999999996</v>
      </c>
      <c r="U104" s="135"/>
      <c r="V104" s="136">
        <v>644024</v>
      </c>
      <c r="W104" s="127"/>
      <c r="X104" s="138"/>
      <c r="Y104" s="138"/>
    </row>
    <row r="105" spans="2:25" s="139" customFormat="1" x14ac:dyDescent="0.25">
      <c r="B105" s="127" t="s">
        <v>80</v>
      </c>
      <c r="C105" s="128" t="s">
        <v>5</v>
      </c>
      <c r="D105" s="128" t="s">
        <v>54</v>
      </c>
      <c r="E105" s="129">
        <v>36951</v>
      </c>
      <c r="F105" s="129">
        <v>36981</v>
      </c>
      <c r="G105" s="127" t="s">
        <v>66</v>
      </c>
      <c r="H105" s="130"/>
      <c r="I105" s="128" t="s">
        <v>65</v>
      </c>
      <c r="J105" s="131">
        <v>7.3000000000000001E-3</v>
      </c>
      <c r="K105" s="132">
        <v>0</v>
      </c>
      <c r="L105" s="132">
        <v>2.2000000000000001E-3</v>
      </c>
      <c r="M105" s="132">
        <v>0</v>
      </c>
      <c r="N105" s="132">
        <v>0</v>
      </c>
      <c r="O105" s="133">
        <v>0</v>
      </c>
      <c r="P105" s="132">
        <f t="shared" si="5"/>
        <v>9.4999999999999998E-3</v>
      </c>
      <c r="Q105" s="147">
        <v>3.8315000000000001</v>
      </c>
      <c r="R105" s="128">
        <v>117844</v>
      </c>
      <c r="S105" s="127" t="s">
        <v>311</v>
      </c>
      <c r="T105" s="145">
        <f t="shared" si="6"/>
        <v>860.26120000000003</v>
      </c>
      <c r="U105" s="135"/>
      <c r="V105" s="136">
        <v>640651</v>
      </c>
      <c r="W105" s="127"/>
      <c r="X105" s="138"/>
      <c r="Y105" s="138"/>
    </row>
    <row r="106" spans="2:25" s="139" customFormat="1" x14ac:dyDescent="0.25">
      <c r="B106" s="127" t="s">
        <v>80</v>
      </c>
      <c r="C106" s="128" t="s">
        <v>5</v>
      </c>
      <c r="D106" s="128" t="s">
        <v>54</v>
      </c>
      <c r="E106" s="129">
        <v>36981</v>
      </c>
      <c r="F106" s="129">
        <v>36981</v>
      </c>
      <c r="G106" s="127" t="s">
        <v>64</v>
      </c>
      <c r="H106" s="130"/>
      <c r="I106" s="128" t="s">
        <v>65</v>
      </c>
      <c r="J106" s="131">
        <v>0.624</v>
      </c>
      <c r="K106" s="132">
        <v>0</v>
      </c>
      <c r="L106" s="132">
        <v>2.2000000000000001E-3</v>
      </c>
      <c r="M106" s="132">
        <v>0</v>
      </c>
      <c r="N106" s="132">
        <v>0</v>
      </c>
      <c r="O106" s="133">
        <v>0</v>
      </c>
      <c r="P106" s="132">
        <f t="shared" si="5"/>
        <v>0.62619999999999998</v>
      </c>
      <c r="Q106" s="147">
        <v>3.8315000000000001</v>
      </c>
      <c r="R106" s="128">
        <v>1386</v>
      </c>
      <c r="S106" s="127" t="s">
        <v>311</v>
      </c>
      <c r="T106" s="145">
        <f t="shared" si="6"/>
        <v>864.86400000000003</v>
      </c>
      <c r="U106" s="135"/>
      <c r="V106" s="136">
        <v>640651</v>
      </c>
      <c r="W106" s="127"/>
      <c r="X106" s="138"/>
      <c r="Y106" s="138"/>
    </row>
    <row r="107" spans="2:25" s="139" customFormat="1" x14ac:dyDescent="0.25">
      <c r="B107" s="127" t="s">
        <v>80</v>
      </c>
      <c r="C107" s="128" t="s">
        <v>5</v>
      </c>
      <c r="D107" s="128" t="s">
        <v>54</v>
      </c>
      <c r="E107" s="129">
        <v>36951</v>
      </c>
      <c r="F107" s="129">
        <v>37864</v>
      </c>
      <c r="G107" s="127" t="s">
        <v>67</v>
      </c>
      <c r="H107" s="130"/>
      <c r="I107" s="128" t="s">
        <v>69</v>
      </c>
      <c r="J107" s="131">
        <v>4.3999999999999997E-2</v>
      </c>
      <c r="K107" s="132">
        <v>0</v>
      </c>
      <c r="L107" s="132">
        <v>2.2000000000000001E-3</v>
      </c>
      <c r="M107" s="132">
        <v>0</v>
      </c>
      <c r="N107" s="132">
        <v>0</v>
      </c>
      <c r="O107" s="133">
        <v>0</v>
      </c>
      <c r="P107" s="132">
        <f>SUM(J107:N107)</f>
        <v>4.6199999999999998E-2</v>
      </c>
      <c r="Q107" s="144">
        <v>3.8197999999999999</v>
      </c>
      <c r="R107" s="128">
        <v>13971</v>
      </c>
      <c r="S107" s="127" t="s">
        <v>320</v>
      </c>
      <c r="T107" s="145">
        <f>+J107*R107</f>
        <v>614.72399999999993</v>
      </c>
      <c r="U107" s="135"/>
      <c r="V107" s="136">
        <v>640427</v>
      </c>
      <c r="W107" s="127"/>
      <c r="X107" s="138"/>
      <c r="Y107" s="138"/>
    </row>
    <row r="108" spans="2:25" s="139" customFormat="1" x14ac:dyDescent="0.25">
      <c r="B108" s="127" t="s">
        <v>80</v>
      </c>
      <c r="C108" s="128" t="s">
        <v>5</v>
      </c>
      <c r="D108" s="128" t="s">
        <v>54</v>
      </c>
      <c r="E108" s="129">
        <v>36951</v>
      </c>
      <c r="F108" s="129">
        <v>37864</v>
      </c>
      <c r="G108" s="127" t="s">
        <v>68</v>
      </c>
      <c r="H108" s="130"/>
      <c r="I108" s="128" t="s">
        <v>69</v>
      </c>
      <c r="J108" s="131">
        <v>0.44259999999999999</v>
      </c>
      <c r="K108" s="132">
        <v>0</v>
      </c>
      <c r="L108" s="132">
        <v>2.2000000000000001E-3</v>
      </c>
      <c r="M108" s="132">
        <v>0</v>
      </c>
      <c r="N108" s="132">
        <v>0</v>
      </c>
      <c r="O108" s="133">
        <v>0</v>
      </c>
      <c r="P108" s="132">
        <f>SUM(J108:N108)</f>
        <v>0.44479999999999997</v>
      </c>
      <c r="Q108" s="144">
        <v>3.8197999999999999</v>
      </c>
      <c r="R108" s="128">
        <v>1389</v>
      </c>
      <c r="S108" s="127" t="str">
        <f>+S107</f>
        <v>#22735</v>
      </c>
      <c r="T108" s="145">
        <f>+J108*R108</f>
        <v>614.77139999999997</v>
      </c>
      <c r="U108" s="135"/>
      <c r="V108" s="136">
        <v>640427</v>
      </c>
      <c r="W108" s="127"/>
      <c r="X108" s="138"/>
      <c r="Y108" s="138"/>
    </row>
    <row r="109" spans="2:25" s="139" customFormat="1" x14ac:dyDescent="0.25">
      <c r="B109" s="127" t="s">
        <v>80</v>
      </c>
      <c r="C109" s="128" t="s">
        <v>5</v>
      </c>
      <c r="D109" s="128" t="s">
        <v>54</v>
      </c>
      <c r="E109" s="129">
        <v>36951</v>
      </c>
      <c r="F109" s="129">
        <v>36981</v>
      </c>
      <c r="G109" s="127" t="s">
        <v>67</v>
      </c>
      <c r="H109" s="130"/>
      <c r="I109" s="128" t="s">
        <v>69</v>
      </c>
      <c r="J109" s="131">
        <v>4.3999999999999997E-2</v>
      </c>
      <c r="K109" s="132">
        <v>0</v>
      </c>
      <c r="L109" s="132">
        <v>2.2000000000000001E-3</v>
      </c>
      <c r="M109" s="132">
        <v>0</v>
      </c>
      <c r="N109" s="132">
        <v>0</v>
      </c>
      <c r="O109" s="133">
        <v>0</v>
      </c>
      <c r="P109" s="132">
        <f t="shared" si="5"/>
        <v>4.6199999999999998E-2</v>
      </c>
      <c r="Q109" s="144">
        <v>3.8338000000000001</v>
      </c>
      <c r="R109" s="128">
        <v>1717</v>
      </c>
      <c r="S109" s="127" t="s">
        <v>295</v>
      </c>
      <c r="T109" s="145">
        <f t="shared" ref="T109:T115" si="7">+J109*R109</f>
        <v>75.548000000000002</v>
      </c>
      <c r="U109" s="135"/>
      <c r="V109" s="136">
        <v>644030</v>
      </c>
      <c r="W109" s="127"/>
      <c r="X109" s="138"/>
      <c r="Y109" s="138"/>
    </row>
    <row r="110" spans="2:25" s="139" customFormat="1" x14ac:dyDescent="0.25">
      <c r="B110" s="127" t="s">
        <v>80</v>
      </c>
      <c r="C110" s="128" t="s">
        <v>5</v>
      </c>
      <c r="D110" s="128" t="s">
        <v>54</v>
      </c>
      <c r="E110" s="129">
        <v>36951</v>
      </c>
      <c r="F110" s="129">
        <v>36981</v>
      </c>
      <c r="G110" s="127" t="s">
        <v>68</v>
      </c>
      <c r="H110" s="130"/>
      <c r="I110" s="128" t="s">
        <v>69</v>
      </c>
      <c r="J110" s="131">
        <v>0.44259999999999999</v>
      </c>
      <c r="K110" s="132">
        <v>0</v>
      </c>
      <c r="L110" s="132">
        <v>2.2000000000000001E-3</v>
      </c>
      <c r="M110" s="132">
        <v>0</v>
      </c>
      <c r="N110" s="132">
        <v>0</v>
      </c>
      <c r="O110" s="133">
        <v>0</v>
      </c>
      <c r="P110" s="132">
        <f t="shared" si="5"/>
        <v>0.44479999999999997</v>
      </c>
      <c r="Q110" s="144">
        <v>3.8338000000000001</v>
      </c>
      <c r="R110" s="128">
        <v>171</v>
      </c>
      <c r="S110" s="127" t="s">
        <v>295</v>
      </c>
      <c r="T110" s="145">
        <f t="shared" si="7"/>
        <v>75.684600000000003</v>
      </c>
      <c r="U110" s="135"/>
      <c r="V110" s="136">
        <v>644030</v>
      </c>
      <c r="W110" s="127"/>
      <c r="X110" s="138"/>
      <c r="Y110" s="138"/>
    </row>
    <row r="111" spans="2:25" s="139" customFormat="1" x14ac:dyDescent="0.25">
      <c r="B111" s="127" t="s">
        <v>80</v>
      </c>
      <c r="C111" s="128" t="s">
        <v>5</v>
      </c>
      <c r="D111" s="128" t="s">
        <v>54</v>
      </c>
      <c r="E111" s="129">
        <v>36951</v>
      </c>
      <c r="F111" s="129">
        <v>37864</v>
      </c>
      <c r="G111" s="127" t="s">
        <v>67</v>
      </c>
      <c r="H111" s="130"/>
      <c r="I111" s="128" t="s">
        <v>69</v>
      </c>
      <c r="J111" s="131">
        <v>4.3999999999999997E-2</v>
      </c>
      <c r="K111" s="132">
        <v>0</v>
      </c>
      <c r="L111" s="132">
        <v>2.2000000000000001E-3</v>
      </c>
      <c r="M111" s="132">
        <v>0</v>
      </c>
      <c r="N111" s="132">
        <v>0</v>
      </c>
      <c r="O111" s="133">
        <v>0</v>
      </c>
      <c r="P111" s="132">
        <f t="shared" si="5"/>
        <v>4.6199999999999998E-2</v>
      </c>
      <c r="Q111" s="144">
        <v>3.8336000000000001</v>
      </c>
      <c r="R111" s="128">
        <v>4009</v>
      </c>
      <c r="S111" s="127" t="s">
        <v>296</v>
      </c>
      <c r="T111" s="145">
        <f t="shared" si="7"/>
        <v>176.39599999999999</v>
      </c>
      <c r="U111" s="135"/>
      <c r="V111" s="136">
        <v>644034</v>
      </c>
      <c r="W111" s="146" t="s">
        <v>167</v>
      </c>
      <c r="X111" s="138"/>
      <c r="Y111" s="138"/>
    </row>
    <row r="112" spans="2:25" s="139" customFormat="1" x14ac:dyDescent="0.25">
      <c r="B112" s="127" t="s">
        <v>80</v>
      </c>
      <c r="C112" s="128" t="s">
        <v>5</v>
      </c>
      <c r="D112" s="128" t="s">
        <v>54</v>
      </c>
      <c r="E112" s="129">
        <v>36951</v>
      </c>
      <c r="F112" s="129">
        <v>37864</v>
      </c>
      <c r="G112" s="127" t="s">
        <v>68</v>
      </c>
      <c r="H112" s="130"/>
      <c r="I112" s="128" t="s">
        <v>69</v>
      </c>
      <c r="J112" s="131">
        <v>0.44259999999999999</v>
      </c>
      <c r="K112" s="132">
        <v>0</v>
      </c>
      <c r="L112" s="132">
        <v>2.2000000000000001E-3</v>
      </c>
      <c r="M112" s="132">
        <v>0</v>
      </c>
      <c r="N112" s="132">
        <v>0</v>
      </c>
      <c r="O112" s="133">
        <v>0</v>
      </c>
      <c r="P112" s="132">
        <f t="shared" si="5"/>
        <v>0.44479999999999997</v>
      </c>
      <c r="Q112" s="144">
        <v>3.8336000000000001</v>
      </c>
      <c r="R112" s="128">
        <v>398</v>
      </c>
      <c r="S112" s="127" t="str">
        <f>+S111</f>
        <v>#22869</v>
      </c>
      <c r="T112" s="145">
        <f t="shared" si="7"/>
        <v>176.15479999999999</v>
      </c>
      <c r="U112" s="135"/>
      <c r="V112" s="136">
        <v>644034</v>
      </c>
      <c r="W112" s="146" t="s">
        <v>167</v>
      </c>
      <c r="X112" s="138"/>
      <c r="Y112" s="138"/>
    </row>
    <row r="113" spans="2:25" s="139" customFormat="1" x14ac:dyDescent="0.25">
      <c r="B113" s="127" t="s">
        <v>80</v>
      </c>
      <c r="C113" s="128" t="s">
        <v>5</v>
      </c>
      <c r="D113" s="128" t="s">
        <v>54</v>
      </c>
      <c r="E113" s="129">
        <v>36951</v>
      </c>
      <c r="F113" s="129">
        <v>36981</v>
      </c>
      <c r="G113" s="127" t="s">
        <v>67</v>
      </c>
      <c r="H113" s="130"/>
      <c r="I113" s="128" t="s">
        <v>69</v>
      </c>
      <c r="J113" s="131">
        <v>4.3999999999999997E-2</v>
      </c>
      <c r="K113" s="132">
        <v>0</v>
      </c>
      <c r="L113" s="132">
        <v>2.2000000000000001E-3</v>
      </c>
      <c r="M113" s="132">
        <v>0</v>
      </c>
      <c r="N113" s="132">
        <v>0</v>
      </c>
      <c r="O113" s="133">
        <v>0</v>
      </c>
      <c r="P113" s="132">
        <f>SUM(J113:N113)</f>
        <v>4.6199999999999998E-2</v>
      </c>
      <c r="Q113" s="144">
        <v>3.8313999999999999</v>
      </c>
      <c r="R113" s="128">
        <v>5987</v>
      </c>
      <c r="S113" s="127" t="s">
        <v>312</v>
      </c>
      <c r="T113" s="145">
        <f>+J113*R113</f>
        <v>263.428</v>
      </c>
      <c r="U113" s="135"/>
      <c r="V113" s="136">
        <v>640667</v>
      </c>
      <c r="W113" s="146" t="s">
        <v>167</v>
      </c>
      <c r="X113" s="138"/>
      <c r="Y113" s="138"/>
    </row>
    <row r="114" spans="2:25" s="139" customFormat="1" x14ac:dyDescent="0.25">
      <c r="B114" s="127" t="s">
        <v>80</v>
      </c>
      <c r="C114" s="128" t="s">
        <v>5</v>
      </c>
      <c r="D114" s="128" t="s">
        <v>54</v>
      </c>
      <c r="E114" s="129">
        <v>36951</v>
      </c>
      <c r="F114" s="129">
        <v>36981</v>
      </c>
      <c r="G114" s="127" t="s">
        <v>68</v>
      </c>
      <c r="H114" s="130"/>
      <c r="I114" s="128" t="s">
        <v>69</v>
      </c>
      <c r="J114" s="131">
        <v>0.44259999999999999</v>
      </c>
      <c r="K114" s="132">
        <v>0</v>
      </c>
      <c r="L114" s="132">
        <v>2.2000000000000001E-3</v>
      </c>
      <c r="M114" s="132">
        <v>0</v>
      </c>
      <c r="N114" s="132">
        <v>0</v>
      </c>
      <c r="O114" s="133">
        <v>0</v>
      </c>
      <c r="P114" s="132">
        <f>SUM(J114:N114)</f>
        <v>0.44479999999999997</v>
      </c>
      <c r="Q114" s="144">
        <v>3.8313999999999999</v>
      </c>
      <c r="R114" s="128">
        <v>595</v>
      </c>
      <c r="S114" s="127" t="str">
        <f>+S113</f>
        <v>#22752</v>
      </c>
      <c r="T114" s="145">
        <f>+J114*R114</f>
        <v>263.34699999999998</v>
      </c>
      <c r="U114" s="135"/>
      <c r="V114" s="136">
        <f>+V113</f>
        <v>640667</v>
      </c>
      <c r="W114" s="146" t="s">
        <v>167</v>
      </c>
      <c r="X114" s="138"/>
      <c r="Y114" s="138"/>
    </row>
    <row r="115" spans="2:25" s="139" customFormat="1" x14ac:dyDescent="0.25">
      <c r="B115" s="127" t="s">
        <v>80</v>
      </c>
      <c r="C115" s="128" t="s">
        <v>5</v>
      </c>
      <c r="D115" s="128" t="s">
        <v>54</v>
      </c>
      <c r="E115" s="129">
        <v>36951</v>
      </c>
      <c r="F115" s="129">
        <v>36981</v>
      </c>
      <c r="G115" s="127" t="s">
        <v>140</v>
      </c>
      <c r="H115" s="127" t="s">
        <v>61</v>
      </c>
      <c r="I115" s="128" t="s">
        <v>141</v>
      </c>
      <c r="J115" s="131">
        <f>13.8142/J1</f>
        <v>0.44561935483870968</v>
      </c>
      <c r="K115" s="132"/>
      <c r="L115" s="132"/>
      <c r="M115" s="132"/>
      <c r="N115" s="132"/>
      <c r="O115" s="133"/>
      <c r="P115" s="132"/>
      <c r="Q115" s="149">
        <v>3.8290000000000002</v>
      </c>
      <c r="R115" s="150">
        <v>885</v>
      </c>
      <c r="S115" s="146" t="s">
        <v>316</v>
      </c>
      <c r="T115" s="145">
        <f t="shared" si="7"/>
        <v>394.37312903225808</v>
      </c>
      <c r="U115" s="151"/>
      <c r="V115" s="152">
        <v>640555</v>
      </c>
      <c r="W115" s="146" t="s">
        <v>167</v>
      </c>
      <c r="X115" s="153"/>
      <c r="Y115" s="153"/>
    </row>
    <row r="116" spans="2:25" s="139" customFormat="1" x14ac:dyDescent="0.25">
      <c r="B116" s="127" t="s">
        <v>80</v>
      </c>
      <c r="C116" s="128" t="s">
        <v>5</v>
      </c>
      <c r="D116" s="128" t="s">
        <v>54</v>
      </c>
      <c r="E116" s="129">
        <v>36951</v>
      </c>
      <c r="F116" s="129">
        <v>36981</v>
      </c>
      <c r="G116" s="127" t="s">
        <v>140</v>
      </c>
      <c r="H116" s="127" t="s">
        <v>61</v>
      </c>
      <c r="I116" s="128" t="s">
        <v>141</v>
      </c>
      <c r="J116" s="131">
        <f>11.9593/J1</f>
        <v>0.38578387096774197</v>
      </c>
      <c r="K116" s="132"/>
      <c r="L116" s="132"/>
      <c r="M116" s="132"/>
      <c r="N116" s="132"/>
      <c r="O116" s="133"/>
      <c r="P116" s="132"/>
      <c r="Q116" s="149">
        <v>3.8289</v>
      </c>
      <c r="R116" s="150">
        <v>1236</v>
      </c>
      <c r="S116" s="146" t="s">
        <v>317</v>
      </c>
      <c r="T116" s="145">
        <f>+J116*R116*J1</f>
        <v>14781.694800000003</v>
      </c>
      <c r="U116" s="151"/>
      <c r="V116" s="152">
        <v>640542</v>
      </c>
      <c r="W116" s="146" t="s">
        <v>167</v>
      </c>
      <c r="X116" s="153"/>
      <c r="Y116" s="153"/>
    </row>
    <row r="117" spans="2:25" s="139" customFormat="1" x14ac:dyDescent="0.25">
      <c r="B117" s="127" t="s">
        <v>80</v>
      </c>
      <c r="C117" s="128" t="s">
        <v>5</v>
      </c>
      <c r="D117" s="128" t="s">
        <v>54</v>
      </c>
      <c r="E117" s="129">
        <v>36951</v>
      </c>
      <c r="F117" s="129">
        <v>37134</v>
      </c>
      <c r="G117" s="127" t="s">
        <v>166</v>
      </c>
      <c r="H117" s="127" t="s">
        <v>61</v>
      </c>
      <c r="I117" s="128" t="s">
        <v>168</v>
      </c>
      <c r="J117" s="148">
        <f>12.6955/J1</f>
        <v>0.4095322580645161</v>
      </c>
      <c r="K117" s="132"/>
      <c r="L117" s="132"/>
      <c r="M117" s="132"/>
      <c r="N117" s="132"/>
      <c r="O117" s="133"/>
      <c r="P117" s="132"/>
      <c r="Q117" s="149">
        <v>3.8239000000000001</v>
      </c>
      <c r="R117" s="150">
        <v>3764</v>
      </c>
      <c r="S117" s="146" t="s">
        <v>322</v>
      </c>
      <c r="T117" s="145">
        <f>+R117*J117*J1</f>
        <v>47785.862000000001</v>
      </c>
      <c r="U117" s="151"/>
      <c r="V117" s="152">
        <v>640419</v>
      </c>
      <c r="W117" s="146" t="s">
        <v>167</v>
      </c>
      <c r="X117" s="153"/>
      <c r="Y117" s="153"/>
    </row>
    <row r="118" spans="2:25" s="139" customFormat="1" x14ac:dyDescent="0.25">
      <c r="B118" s="127" t="s">
        <v>80</v>
      </c>
      <c r="C118" s="128" t="s">
        <v>5</v>
      </c>
      <c r="D118" s="128" t="s">
        <v>54</v>
      </c>
      <c r="E118" s="129">
        <v>36951</v>
      </c>
      <c r="F118" s="129">
        <v>36981</v>
      </c>
      <c r="G118" s="127" t="s">
        <v>166</v>
      </c>
      <c r="H118" s="127" t="s">
        <v>61</v>
      </c>
      <c r="I118" s="128" t="s">
        <v>168</v>
      </c>
      <c r="J118" s="148">
        <f>12.695/J1</f>
        <v>0.40951612903225809</v>
      </c>
      <c r="K118" s="132"/>
      <c r="L118" s="132"/>
      <c r="M118" s="132"/>
      <c r="N118" s="132"/>
      <c r="O118" s="133"/>
      <c r="P118" s="132"/>
      <c r="Q118" s="149">
        <v>3.8285999999999998</v>
      </c>
      <c r="R118" s="150">
        <v>1613</v>
      </c>
      <c r="S118" s="146" t="s">
        <v>313</v>
      </c>
      <c r="T118" s="145">
        <f>+J118*R118*J1</f>
        <v>20477.035000000003</v>
      </c>
      <c r="U118" s="151"/>
      <c r="V118" s="152">
        <v>640631</v>
      </c>
      <c r="W118" s="146" t="s">
        <v>167</v>
      </c>
      <c r="X118" s="153"/>
      <c r="Y118" s="153"/>
    </row>
    <row r="119" spans="2:25" s="139" customFormat="1" x14ac:dyDescent="0.25">
      <c r="B119" s="127" t="s">
        <v>80</v>
      </c>
      <c r="C119" s="128" t="s">
        <v>5</v>
      </c>
      <c r="D119" s="128" t="s">
        <v>54</v>
      </c>
      <c r="E119" s="129">
        <v>36951</v>
      </c>
      <c r="F119" s="129">
        <v>37864</v>
      </c>
      <c r="G119" s="127" t="s">
        <v>166</v>
      </c>
      <c r="H119" s="127" t="s">
        <v>61</v>
      </c>
      <c r="I119" s="128" t="s">
        <v>168</v>
      </c>
      <c r="J119" s="148">
        <f>11.9593/J1</f>
        <v>0.38578387096774197</v>
      </c>
      <c r="K119" s="132"/>
      <c r="L119" s="132"/>
      <c r="M119" s="132"/>
      <c r="N119" s="132"/>
      <c r="O119" s="133"/>
      <c r="P119" s="132"/>
      <c r="Q119" s="149">
        <v>3.8319999999999999</v>
      </c>
      <c r="R119" s="150">
        <v>802</v>
      </c>
      <c r="S119" s="146" t="s">
        <v>310</v>
      </c>
      <c r="T119" s="145">
        <f>+J119*R119*$J$1</f>
        <v>9591.3586000000014</v>
      </c>
      <c r="U119" s="151"/>
      <c r="V119" s="152">
        <v>641531</v>
      </c>
      <c r="W119" s="146" t="s">
        <v>167</v>
      </c>
      <c r="X119" s="153"/>
      <c r="Y119" s="153"/>
    </row>
    <row r="120" spans="2:25" s="139" customFormat="1" x14ac:dyDescent="0.25">
      <c r="B120" s="127" t="s">
        <v>80</v>
      </c>
      <c r="C120" s="128" t="s">
        <v>5</v>
      </c>
      <c r="D120" s="128" t="s">
        <v>54</v>
      </c>
      <c r="E120" s="129">
        <v>36951</v>
      </c>
      <c r="F120" s="129">
        <v>37134</v>
      </c>
      <c r="G120" s="127" t="s">
        <v>166</v>
      </c>
      <c r="H120" s="127" t="s">
        <v>61</v>
      </c>
      <c r="I120" s="128" t="s">
        <v>168</v>
      </c>
      <c r="J120" s="148">
        <f>12.6955/J1</f>
        <v>0.4095322580645161</v>
      </c>
      <c r="K120" s="132"/>
      <c r="L120" s="132"/>
      <c r="M120" s="132"/>
      <c r="N120" s="132"/>
      <c r="O120" s="133"/>
      <c r="P120" s="132"/>
      <c r="Q120" s="149">
        <v>3.8321999999999998</v>
      </c>
      <c r="R120" s="150">
        <v>1079</v>
      </c>
      <c r="S120" s="146" t="s">
        <v>308</v>
      </c>
      <c r="T120" s="145">
        <f>+J120*R120*$J$1</f>
        <v>13698.444499999998</v>
      </c>
      <c r="U120" s="151"/>
      <c r="V120" s="152">
        <v>641660</v>
      </c>
      <c r="W120" s="146" t="s">
        <v>167</v>
      </c>
      <c r="X120" s="153"/>
      <c r="Y120" s="153"/>
    </row>
    <row r="121" spans="2:25" s="139" customFormat="1" x14ac:dyDescent="0.25">
      <c r="B121" s="127" t="s">
        <v>80</v>
      </c>
      <c r="C121" s="128" t="s">
        <v>5</v>
      </c>
      <c r="D121" s="128" t="s">
        <v>54</v>
      </c>
      <c r="E121" s="129">
        <v>36951</v>
      </c>
      <c r="F121" s="129">
        <v>36981</v>
      </c>
      <c r="G121" s="127" t="s">
        <v>166</v>
      </c>
      <c r="H121" s="127" t="s">
        <v>61</v>
      </c>
      <c r="I121" s="128" t="s">
        <v>168</v>
      </c>
      <c r="J121" s="148">
        <f>11.9593/J1</f>
        <v>0.38578387096774197</v>
      </c>
      <c r="K121" s="132"/>
      <c r="L121" s="132"/>
      <c r="M121" s="132"/>
      <c r="N121" s="132"/>
      <c r="O121" s="133"/>
      <c r="P121" s="132"/>
      <c r="Q121" s="149">
        <v>3.8346</v>
      </c>
      <c r="R121" s="150">
        <v>344</v>
      </c>
      <c r="S121" s="146" t="s">
        <v>306</v>
      </c>
      <c r="T121" s="145">
        <f>+J121*R121*$J$1</f>
        <v>4113.9992000000002</v>
      </c>
      <c r="U121" s="151"/>
      <c r="V121" s="152">
        <v>644020</v>
      </c>
      <c r="W121" s="146" t="s">
        <v>167</v>
      </c>
      <c r="X121" s="153"/>
      <c r="Y121" s="153"/>
    </row>
    <row r="122" spans="2:25" ht="13.8" thickBot="1" x14ac:dyDescent="0.3">
      <c r="B122" s="27"/>
      <c r="C122" s="3"/>
      <c r="D122" s="3"/>
      <c r="E122" s="4"/>
      <c r="F122" s="4"/>
      <c r="G122" s="1"/>
      <c r="H122" s="1"/>
      <c r="I122" s="3"/>
      <c r="J122" s="5"/>
      <c r="K122" s="5"/>
      <c r="L122" s="5"/>
      <c r="M122" s="5"/>
      <c r="N122" s="5"/>
      <c r="O122" s="41"/>
      <c r="P122" s="5"/>
      <c r="Q122" s="47"/>
      <c r="R122" s="48"/>
      <c r="S122" s="28"/>
      <c r="T122" s="66">
        <f>SUM(T70:T121)</f>
        <v>257403.13622903227</v>
      </c>
      <c r="U122" s="28"/>
      <c r="V122" s="50"/>
      <c r="W122" s="55"/>
      <c r="X122" s="35"/>
      <c r="Y122" s="35"/>
    </row>
    <row r="123" spans="2:25" ht="13.8" thickTop="1" x14ac:dyDescent="0.25">
      <c r="B123" s="27"/>
      <c r="C123" s="3"/>
      <c r="D123" s="3"/>
      <c r="E123" s="4"/>
      <c r="F123" s="4"/>
      <c r="G123" s="1"/>
      <c r="H123" s="1"/>
      <c r="I123" s="3"/>
      <c r="J123" s="5"/>
      <c r="K123" s="5"/>
      <c r="L123" s="5"/>
      <c r="M123" s="5"/>
      <c r="N123" s="5"/>
      <c r="O123" s="41"/>
      <c r="P123" s="5"/>
      <c r="Q123" s="47"/>
      <c r="R123" s="48"/>
      <c r="S123" s="28"/>
      <c r="T123" s="28"/>
      <c r="U123" s="55"/>
      <c r="V123" s="50"/>
      <c r="W123" s="55"/>
      <c r="X123" s="39"/>
      <c r="Y123" s="35"/>
    </row>
    <row r="124" spans="2:25" x14ac:dyDescent="0.25">
      <c r="B124" s="27"/>
      <c r="C124" s="3"/>
      <c r="D124" s="3"/>
      <c r="E124" s="4"/>
      <c r="F124" s="4"/>
      <c r="G124" s="1"/>
      <c r="H124" s="1"/>
      <c r="I124" s="3"/>
      <c r="J124" s="5"/>
      <c r="K124" s="5"/>
      <c r="L124" s="5"/>
      <c r="M124" s="5"/>
      <c r="N124" s="5"/>
      <c r="O124" s="41"/>
      <c r="P124" s="5"/>
      <c r="Q124" s="47"/>
      <c r="R124" s="48"/>
      <c r="S124" s="28"/>
      <c r="T124" s="28"/>
      <c r="U124" s="28"/>
      <c r="V124" s="50"/>
      <c r="W124" s="55"/>
      <c r="X124" s="35"/>
      <c r="Y124" s="35"/>
    </row>
    <row r="125" spans="2:25" x14ac:dyDescent="0.25">
      <c r="B125" s="27"/>
      <c r="C125" s="3"/>
      <c r="D125" s="3"/>
      <c r="E125" s="4"/>
      <c r="F125" s="4"/>
      <c r="G125" s="1"/>
      <c r="H125" s="1"/>
      <c r="I125" s="3"/>
      <c r="J125" s="5"/>
      <c r="K125" s="5"/>
      <c r="L125" s="5"/>
      <c r="M125" s="5"/>
      <c r="N125" s="5"/>
      <c r="O125" s="41"/>
      <c r="P125" s="5"/>
      <c r="Q125" s="47"/>
      <c r="R125" s="48"/>
      <c r="S125" s="28"/>
      <c r="T125" s="28"/>
      <c r="U125" s="28"/>
      <c r="V125" s="50"/>
      <c r="W125" s="55"/>
      <c r="X125" s="35"/>
      <c r="Y125" s="35"/>
    </row>
    <row r="126" spans="2:25" ht="13.8" thickBot="1" x14ac:dyDescent="0.3">
      <c r="B126" s="27"/>
      <c r="C126" s="3"/>
      <c r="D126" s="3"/>
      <c r="E126" s="36"/>
      <c r="F126" s="4"/>
      <c r="G126" s="1"/>
      <c r="H126" s="1"/>
      <c r="I126" s="3"/>
      <c r="J126" s="8"/>
      <c r="K126" s="5"/>
      <c r="L126" s="5"/>
      <c r="M126" s="5"/>
      <c r="N126" s="5"/>
      <c r="O126" s="41"/>
      <c r="P126" s="5"/>
      <c r="Q126" s="47"/>
      <c r="R126" s="48"/>
      <c r="S126" s="39"/>
      <c r="T126" s="98">
        <f>+T122+T65+T27</f>
        <v>867825.36167834117</v>
      </c>
      <c r="U126" s="55" t="s">
        <v>226</v>
      </c>
      <c r="V126" s="50"/>
      <c r="W126" s="55"/>
      <c r="X126" s="35"/>
      <c r="Y126" s="35"/>
    </row>
    <row r="127" spans="2:25" ht="13.8" thickTop="1" x14ac:dyDescent="0.25">
      <c r="B127" s="27"/>
      <c r="C127" s="3"/>
      <c r="D127" s="3"/>
      <c r="E127" s="36"/>
      <c r="F127" s="4"/>
      <c r="G127" s="1"/>
      <c r="H127" s="1"/>
      <c r="I127" s="3"/>
      <c r="J127" s="8"/>
      <c r="K127" s="5"/>
      <c r="L127" s="5"/>
      <c r="M127" s="5"/>
      <c r="N127" s="5"/>
      <c r="O127" s="41"/>
      <c r="P127" s="5"/>
      <c r="Q127" s="47"/>
      <c r="R127" s="48"/>
      <c r="S127" s="39"/>
      <c r="T127" s="28"/>
      <c r="U127" s="28"/>
      <c r="V127" s="50"/>
      <c r="W127" s="55"/>
      <c r="X127" s="35"/>
      <c r="Y127" s="35"/>
    </row>
    <row r="128" spans="2:25" x14ac:dyDescent="0.25">
      <c r="E128" s="38"/>
      <c r="Q128" s="34"/>
      <c r="R128" s="34"/>
      <c r="S128" s="34"/>
      <c r="T128" s="34"/>
      <c r="U128" s="34"/>
      <c r="V128" s="49"/>
      <c r="W128" s="57"/>
      <c r="X128" s="49"/>
    </row>
    <row r="129" spans="5:24" x14ac:dyDescent="0.25">
      <c r="E129" s="38"/>
      <c r="Q129" s="34"/>
      <c r="R129" s="34"/>
      <c r="S129" s="34"/>
      <c r="T129" s="34"/>
      <c r="U129" s="34"/>
      <c r="V129" s="49"/>
      <c r="W129" s="57"/>
      <c r="X129" s="49"/>
    </row>
    <row r="130" spans="5:24" x14ac:dyDescent="0.25">
      <c r="E130" s="38"/>
    </row>
    <row r="131" spans="5:24" x14ac:dyDescent="0.25">
      <c r="E131" s="38"/>
    </row>
    <row r="132" spans="5:24" x14ac:dyDescent="0.25">
      <c r="E132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topLeftCell="A30" workbookViewId="0">
      <selection activeCell="A57" sqref="A57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9.33203125" style="25" customWidth="1"/>
    <col min="10" max="10" width="7.6640625" style="25" customWidth="1"/>
    <col min="11" max="14" width="9.109375" style="25" hidden="1" customWidth="1"/>
    <col min="15" max="15" width="9.109375" style="45" hidden="1" customWidth="1"/>
    <col min="16" max="16" width="9.109375" style="25" hidden="1" customWidth="1"/>
    <col min="17" max="17" width="11.10937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4.88671875" style="38" customWidth="1"/>
    <col min="22" max="22" width="42.33203125" style="27" customWidth="1"/>
    <col min="23" max="24" width="9.109375" style="38"/>
    <col min="25" max="25" width="12.44140625" style="25" customWidth="1"/>
    <col min="26" max="16384" width="9.109375" style="25"/>
  </cols>
  <sheetData>
    <row r="1" spans="2:24" x14ac:dyDescent="0.25">
      <c r="B1" s="40" t="s">
        <v>260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 t="s">
        <v>172</v>
      </c>
      <c r="T1" s="28"/>
      <c r="U1" s="50"/>
      <c r="V1" s="55"/>
      <c r="W1" s="35"/>
      <c r="X1" s="35"/>
    </row>
    <row r="2" spans="2:24" x14ac:dyDescent="0.25">
      <c r="B2" s="1"/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5">
      <c r="B3" s="1"/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50"/>
      <c r="V3" s="55"/>
      <c r="W3" s="35"/>
      <c r="X3" s="35"/>
    </row>
    <row r="4" spans="2:24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5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5">
      <c r="B6" s="10" t="s">
        <v>6</v>
      </c>
      <c r="C6" s="11" t="s">
        <v>6</v>
      </c>
      <c r="D6" s="12" t="s">
        <v>6</v>
      </c>
      <c r="E6" s="13" t="s">
        <v>6</v>
      </c>
      <c r="F6" s="13"/>
      <c r="G6" s="10" t="s">
        <v>6</v>
      </c>
      <c r="H6" s="30" t="s">
        <v>6</v>
      </c>
      <c r="I6" s="11" t="s">
        <v>6</v>
      </c>
      <c r="J6" s="14"/>
      <c r="K6" s="15"/>
      <c r="L6" s="15"/>
      <c r="M6" s="15"/>
      <c r="N6" s="15"/>
      <c r="O6" s="43"/>
      <c r="P6" s="15"/>
      <c r="Q6" s="26" t="s">
        <v>6</v>
      </c>
      <c r="R6" s="11"/>
      <c r="S6" s="10" t="s">
        <v>6</v>
      </c>
      <c r="T6" s="22"/>
      <c r="U6" s="53"/>
      <c r="V6" s="10"/>
      <c r="W6" s="36"/>
      <c r="X6" s="36"/>
    </row>
    <row r="7" spans="2:24" x14ac:dyDescent="0.25">
      <c r="B7" s="16" t="s">
        <v>7</v>
      </c>
      <c r="C7" s="17" t="s">
        <v>8</v>
      </c>
      <c r="D7" s="17" t="s">
        <v>9</v>
      </c>
      <c r="E7" s="18" t="s">
        <v>10</v>
      </c>
      <c r="F7" s="18"/>
      <c r="G7" s="16" t="s">
        <v>11</v>
      </c>
      <c r="H7" s="16" t="s">
        <v>12</v>
      </c>
      <c r="I7" s="17" t="s">
        <v>39</v>
      </c>
      <c r="J7" s="19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42" t="s">
        <v>18</v>
      </c>
      <c r="P7" s="17" t="s">
        <v>19</v>
      </c>
      <c r="Q7" s="20" t="s">
        <v>78</v>
      </c>
      <c r="R7" s="17" t="s">
        <v>20</v>
      </c>
      <c r="S7" s="16" t="s">
        <v>21</v>
      </c>
      <c r="T7" s="21" t="s">
        <v>38</v>
      </c>
      <c r="U7" s="52" t="s">
        <v>79</v>
      </c>
      <c r="V7" s="56" t="e">
        <f>+#REF!</f>
        <v>#REF!</v>
      </c>
      <c r="W7" s="36"/>
      <c r="X7" s="36"/>
    </row>
    <row r="8" spans="2:24" s="58" customFormat="1" x14ac:dyDescent="0.25">
      <c r="B8" s="1" t="s">
        <v>80</v>
      </c>
      <c r="C8" s="3" t="s">
        <v>34</v>
      </c>
      <c r="D8" s="3" t="s">
        <v>44</v>
      </c>
      <c r="E8" s="4">
        <v>36617</v>
      </c>
      <c r="F8" s="4">
        <v>36830</v>
      </c>
      <c r="G8" s="1" t="s">
        <v>45</v>
      </c>
      <c r="H8" s="1" t="s">
        <v>47</v>
      </c>
      <c r="I8" s="3" t="s">
        <v>46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115</v>
      </c>
      <c r="T8" s="9"/>
      <c r="U8" s="54">
        <v>156569</v>
      </c>
      <c r="V8" s="1"/>
      <c r="W8" s="36"/>
      <c r="X8" s="36"/>
    </row>
    <row r="9" spans="2:24" s="58" customFormat="1" x14ac:dyDescent="0.25">
      <c r="B9" s="1" t="s">
        <v>80</v>
      </c>
      <c r="C9" s="3" t="s">
        <v>34</v>
      </c>
      <c r="D9" s="3" t="s">
        <v>44</v>
      </c>
      <c r="E9" s="4">
        <v>36617</v>
      </c>
      <c r="F9" s="4">
        <v>36830</v>
      </c>
      <c r="G9" s="1" t="s">
        <v>45</v>
      </c>
      <c r="H9" s="1" t="s">
        <v>48</v>
      </c>
      <c r="I9" s="3" t="s">
        <v>46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115</v>
      </c>
      <c r="T9" s="9"/>
      <c r="U9" s="54">
        <v>156569</v>
      </c>
      <c r="V9" s="1"/>
      <c r="W9" s="36"/>
      <c r="X9" s="36"/>
    </row>
    <row r="10" spans="2:24" s="58" customFormat="1" x14ac:dyDescent="0.25">
      <c r="B10" s="1" t="s">
        <v>80</v>
      </c>
      <c r="C10" s="3" t="s">
        <v>34</v>
      </c>
      <c r="D10" s="3" t="s">
        <v>36</v>
      </c>
      <c r="E10" s="4">
        <v>36923</v>
      </c>
      <c r="F10" s="4">
        <v>37287</v>
      </c>
      <c r="G10" s="1" t="s">
        <v>82</v>
      </c>
      <c r="H10" s="1" t="s">
        <v>84</v>
      </c>
      <c r="I10" s="3" t="s">
        <v>43</v>
      </c>
      <c r="J10" s="8">
        <f>6.285/J$1</f>
        <v>0.20274193548387098</v>
      </c>
      <c r="K10" s="5"/>
      <c r="L10" s="5"/>
      <c r="M10" s="5"/>
      <c r="N10" s="5"/>
      <c r="O10" s="41"/>
      <c r="P10" s="5"/>
      <c r="Q10" s="24">
        <v>70357</v>
      </c>
      <c r="R10" s="3">
        <v>1</v>
      </c>
      <c r="S10" s="1" t="s">
        <v>267</v>
      </c>
      <c r="T10" s="9">
        <f t="shared" ref="T10:T18" si="0">J10*J$1*R10</f>
        <v>6.2850000000000001</v>
      </c>
      <c r="U10" s="54">
        <v>575478</v>
      </c>
      <c r="V10" s="1"/>
      <c r="W10" s="36"/>
      <c r="X10" s="36"/>
    </row>
    <row r="11" spans="2:24" s="58" customFormat="1" x14ac:dyDescent="0.25">
      <c r="B11" s="1" t="s">
        <v>80</v>
      </c>
      <c r="C11" s="3" t="s">
        <v>34</v>
      </c>
      <c r="D11" s="3" t="s">
        <v>95</v>
      </c>
      <c r="E11" s="4">
        <v>36617</v>
      </c>
      <c r="F11" s="4" t="s">
        <v>96</v>
      </c>
      <c r="G11" s="1" t="s">
        <v>97</v>
      </c>
      <c r="H11" s="1"/>
      <c r="I11" s="3" t="s">
        <v>98</v>
      </c>
      <c r="J11" s="8"/>
      <c r="K11" s="5"/>
      <c r="L11" s="5"/>
      <c r="M11" s="5"/>
      <c r="N11" s="5"/>
      <c r="O11" s="41"/>
      <c r="P11" s="5"/>
      <c r="Q11" s="24">
        <v>66917</v>
      </c>
      <c r="R11" s="3"/>
      <c r="S11" s="1"/>
      <c r="T11" s="9">
        <f t="shared" si="0"/>
        <v>0</v>
      </c>
      <c r="U11" s="54">
        <v>228085</v>
      </c>
      <c r="V11" s="1"/>
      <c r="W11" s="36"/>
      <c r="X11" s="36"/>
    </row>
    <row r="12" spans="2:24" s="58" customFormat="1" x14ac:dyDescent="0.25">
      <c r="B12" s="1" t="s">
        <v>80</v>
      </c>
      <c r="C12" s="3" t="s">
        <v>34</v>
      </c>
      <c r="D12" s="3" t="s">
        <v>36</v>
      </c>
      <c r="E12" s="4">
        <v>36617</v>
      </c>
      <c r="F12" s="4">
        <v>36981</v>
      </c>
      <c r="G12" s="1" t="s">
        <v>82</v>
      </c>
      <c r="H12" s="1" t="s">
        <v>104</v>
      </c>
      <c r="I12" s="3" t="s">
        <v>43</v>
      </c>
      <c r="J12" s="8">
        <f t="shared" ref="J12:J17" si="1">6.431/$J$1</f>
        <v>0.20745161290322581</v>
      </c>
      <c r="K12" s="5"/>
      <c r="L12" s="5"/>
      <c r="M12" s="5"/>
      <c r="N12" s="5"/>
      <c r="O12" s="41"/>
      <c r="P12" s="5"/>
      <c r="Q12" s="24">
        <v>66939</v>
      </c>
      <c r="R12" s="3">
        <v>3</v>
      </c>
      <c r="S12" s="1" t="s">
        <v>4</v>
      </c>
      <c r="T12" s="9">
        <f t="shared" si="0"/>
        <v>19.292999999999999</v>
      </c>
      <c r="U12" s="54"/>
      <c r="V12" s="1"/>
      <c r="W12" s="36"/>
      <c r="X12" s="36"/>
    </row>
    <row r="13" spans="2:24" s="58" customFormat="1" x14ac:dyDescent="0.25">
      <c r="B13" s="1" t="s">
        <v>80</v>
      </c>
      <c r="C13" s="3" t="s">
        <v>34</v>
      </c>
      <c r="D13" s="3" t="s">
        <v>36</v>
      </c>
      <c r="E13" s="4">
        <v>36617</v>
      </c>
      <c r="F13" s="4">
        <v>36981</v>
      </c>
      <c r="G13" s="1" t="s">
        <v>82</v>
      </c>
      <c r="H13" s="1" t="s">
        <v>83</v>
      </c>
      <c r="I13" s="3" t="s">
        <v>43</v>
      </c>
      <c r="J13" s="8">
        <f t="shared" si="1"/>
        <v>0.20745161290322581</v>
      </c>
      <c r="K13" s="5"/>
      <c r="L13" s="5"/>
      <c r="M13" s="5"/>
      <c r="N13" s="5"/>
      <c r="O13" s="41"/>
      <c r="P13" s="5"/>
      <c r="Q13" s="24">
        <v>66939</v>
      </c>
      <c r="R13" s="3">
        <v>5</v>
      </c>
      <c r="S13" s="1" t="s">
        <v>4</v>
      </c>
      <c r="T13" s="9">
        <f t="shared" si="0"/>
        <v>32.155000000000001</v>
      </c>
      <c r="U13" s="54"/>
      <c r="V13" s="1"/>
      <c r="W13" s="36"/>
      <c r="X13" s="36"/>
    </row>
    <row r="14" spans="2:24" s="58" customFormat="1" x14ac:dyDescent="0.25">
      <c r="B14" s="1" t="s">
        <v>80</v>
      </c>
      <c r="C14" s="3" t="s">
        <v>34</v>
      </c>
      <c r="D14" s="3" t="s">
        <v>36</v>
      </c>
      <c r="E14" s="4">
        <v>36617</v>
      </c>
      <c r="F14" s="4">
        <v>36981</v>
      </c>
      <c r="G14" s="1" t="s">
        <v>82</v>
      </c>
      <c r="H14" s="1" t="s">
        <v>105</v>
      </c>
      <c r="I14" s="3" t="s">
        <v>43</v>
      </c>
      <c r="J14" s="8">
        <f t="shared" si="1"/>
        <v>0.20745161290322581</v>
      </c>
      <c r="K14" s="5"/>
      <c r="L14" s="5"/>
      <c r="M14" s="5"/>
      <c r="N14" s="5"/>
      <c r="O14" s="41"/>
      <c r="P14" s="5"/>
      <c r="Q14" s="24">
        <v>66939</v>
      </c>
      <c r="R14" s="3">
        <v>17</v>
      </c>
      <c r="S14" s="1" t="s">
        <v>4</v>
      </c>
      <c r="T14" s="9">
        <f t="shared" si="0"/>
        <v>109.327</v>
      </c>
      <c r="U14" s="54"/>
      <c r="V14" s="1"/>
      <c r="W14" s="36"/>
      <c r="X14" s="36"/>
    </row>
    <row r="15" spans="2:24" s="58" customFormat="1" x14ac:dyDescent="0.25">
      <c r="B15" s="1" t="s">
        <v>80</v>
      </c>
      <c r="C15" s="3" t="s">
        <v>34</v>
      </c>
      <c r="D15" s="3" t="s">
        <v>36</v>
      </c>
      <c r="E15" s="4">
        <v>36617</v>
      </c>
      <c r="F15" s="4">
        <v>36981</v>
      </c>
      <c r="G15" s="1" t="s">
        <v>82</v>
      </c>
      <c r="H15" s="1" t="s">
        <v>84</v>
      </c>
      <c r="I15" s="3" t="s">
        <v>43</v>
      </c>
      <c r="J15" s="8">
        <f t="shared" si="1"/>
        <v>0.20745161290322581</v>
      </c>
      <c r="K15" s="5"/>
      <c r="L15" s="5"/>
      <c r="M15" s="5"/>
      <c r="N15" s="5"/>
      <c r="O15" s="41"/>
      <c r="P15" s="5"/>
      <c r="Q15" s="24">
        <v>66939</v>
      </c>
      <c r="R15" s="3">
        <v>27</v>
      </c>
      <c r="S15" s="1" t="s">
        <v>4</v>
      </c>
      <c r="T15" s="9">
        <f t="shared" si="0"/>
        <v>173.637</v>
      </c>
      <c r="U15" s="54"/>
      <c r="V15" s="1"/>
      <c r="W15" s="36"/>
      <c r="X15" s="36"/>
    </row>
    <row r="16" spans="2:24" s="58" customFormat="1" x14ac:dyDescent="0.25">
      <c r="B16" s="1" t="s">
        <v>80</v>
      </c>
      <c r="C16" s="3" t="s">
        <v>34</v>
      </c>
      <c r="D16" s="3" t="s">
        <v>35</v>
      </c>
      <c r="E16" s="4">
        <v>36617</v>
      </c>
      <c r="F16" s="4">
        <v>36981</v>
      </c>
      <c r="G16" s="1" t="s">
        <v>137</v>
      </c>
      <c r="H16" s="1" t="s">
        <v>106</v>
      </c>
      <c r="I16" s="3" t="s">
        <v>43</v>
      </c>
      <c r="J16" s="8">
        <f t="shared" si="1"/>
        <v>0.20745161290322581</v>
      </c>
      <c r="K16" s="5"/>
      <c r="L16" s="5"/>
      <c r="M16" s="5"/>
      <c r="N16" s="5"/>
      <c r="O16" s="41"/>
      <c r="P16" s="5"/>
      <c r="Q16" s="24">
        <v>66940</v>
      </c>
      <c r="R16" s="3">
        <v>1</v>
      </c>
      <c r="S16" s="29" t="s">
        <v>99</v>
      </c>
      <c r="T16" s="9">
        <f t="shared" si="0"/>
        <v>6.431</v>
      </c>
      <c r="U16" s="54">
        <v>228134</v>
      </c>
      <c r="V16" s="1"/>
      <c r="W16" s="36"/>
      <c r="X16" s="36"/>
    </row>
    <row r="17" spans="2:24" s="58" customFormat="1" x14ac:dyDescent="0.25">
      <c r="B17" s="1" t="s">
        <v>80</v>
      </c>
      <c r="C17" s="3" t="s">
        <v>34</v>
      </c>
      <c r="D17" s="3" t="s">
        <v>35</v>
      </c>
      <c r="E17" s="4">
        <v>36617</v>
      </c>
      <c r="F17" s="4">
        <v>36981</v>
      </c>
      <c r="G17" s="1" t="s">
        <v>137</v>
      </c>
      <c r="H17" s="1" t="s">
        <v>107</v>
      </c>
      <c r="I17" s="3" t="s">
        <v>43</v>
      </c>
      <c r="J17" s="8">
        <f t="shared" si="1"/>
        <v>0.20745161290322581</v>
      </c>
      <c r="K17" s="5"/>
      <c r="L17" s="5"/>
      <c r="M17" s="5"/>
      <c r="N17" s="5"/>
      <c r="O17" s="41"/>
      <c r="P17" s="5"/>
      <c r="Q17" s="24">
        <v>66940</v>
      </c>
      <c r="R17" s="3">
        <v>1</v>
      </c>
      <c r="S17" s="29" t="s">
        <v>99</v>
      </c>
      <c r="T17" s="9">
        <f t="shared" si="0"/>
        <v>6.431</v>
      </c>
      <c r="U17" s="54">
        <v>228134</v>
      </c>
      <c r="V17" s="1"/>
      <c r="W17" s="36"/>
      <c r="X17" s="36"/>
    </row>
    <row r="18" spans="2:24" s="58" customFormat="1" x14ac:dyDescent="0.25">
      <c r="B18" s="1" t="s">
        <v>80</v>
      </c>
      <c r="C18" s="3" t="s">
        <v>34</v>
      </c>
      <c r="D18" s="3" t="s">
        <v>44</v>
      </c>
      <c r="E18" s="4">
        <v>36800</v>
      </c>
      <c r="F18" s="4">
        <v>36981</v>
      </c>
      <c r="G18" s="1" t="s">
        <v>45</v>
      </c>
      <c r="H18" s="1" t="s">
        <v>51</v>
      </c>
      <c r="I18" s="3" t="s">
        <v>50</v>
      </c>
      <c r="J18" s="8">
        <f>6.059/$J$1</f>
        <v>0.19545161290322582</v>
      </c>
      <c r="K18" s="5">
        <v>1.2999999999999999E-2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>SUM(J18:N18)</f>
        <v>0.21785161290322586</v>
      </c>
      <c r="Q18" s="24">
        <v>67694</v>
      </c>
      <c r="R18" s="3">
        <v>108648</v>
      </c>
      <c r="S18" s="1" t="s">
        <v>6</v>
      </c>
      <c r="T18" s="9">
        <f t="shared" si="0"/>
        <v>658298.23199999996</v>
      </c>
      <c r="U18" s="54">
        <v>231723</v>
      </c>
      <c r="V18" s="1"/>
      <c r="W18" s="36"/>
      <c r="X18" s="36"/>
    </row>
    <row r="19" spans="2:24" s="58" customFormat="1" x14ac:dyDescent="0.25">
      <c r="B19" s="1" t="s">
        <v>80</v>
      </c>
      <c r="C19" s="3" t="s">
        <v>34</v>
      </c>
      <c r="D19" s="3" t="s">
        <v>44</v>
      </c>
      <c r="E19" s="4">
        <v>36617</v>
      </c>
      <c r="F19" s="4">
        <v>36981</v>
      </c>
      <c r="G19" s="1" t="s">
        <v>45</v>
      </c>
      <c r="H19" s="1" t="s">
        <v>48</v>
      </c>
      <c r="I19" s="3" t="s">
        <v>46</v>
      </c>
      <c r="J19" s="8">
        <v>1.524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>SUM(J19:N19)</f>
        <v>1.524</v>
      </c>
      <c r="Q19" s="24">
        <v>67712</v>
      </c>
      <c r="R19" s="3">
        <v>108648</v>
      </c>
      <c r="S19" s="1" t="s">
        <v>111</v>
      </c>
      <c r="T19" s="9">
        <f>J19*R19</f>
        <v>165579.552</v>
      </c>
      <c r="U19" s="54">
        <v>235876</v>
      </c>
      <c r="V19" s="1">
        <v>231698</v>
      </c>
      <c r="W19" s="36"/>
      <c r="X19" s="36"/>
    </row>
    <row r="20" spans="2:24" s="58" customFormat="1" x14ac:dyDescent="0.25">
      <c r="B20" s="1" t="s">
        <v>80</v>
      </c>
      <c r="C20" s="3" t="s">
        <v>34</v>
      </c>
      <c r="D20" s="3" t="s">
        <v>44</v>
      </c>
      <c r="E20" s="4">
        <v>36617</v>
      </c>
      <c r="F20" s="4">
        <v>36981</v>
      </c>
      <c r="G20" s="1" t="s">
        <v>45</v>
      </c>
      <c r="H20" s="1" t="s">
        <v>47</v>
      </c>
      <c r="I20" s="3" t="s">
        <v>46</v>
      </c>
      <c r="J20" s="8">
        <v>2.93E-2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2.93E-2</v>
      </c>
      <c r="Q20" s="24">
        <v>67712</v>
      </c>
      <c r="R20" s="3">
        <v>6050607</v>
      </c>
      <c r="S20" s="1" t="s">
        <v>111</v>
      </c>
      <c r="T20" s="9">
        <f>J20*R20</f>
        <v>177282.78510000001</v>
      </c>
      <c r="U20" s="54">
        <v>235876</v>
      </c>
      <c r="V20" s="1">
        <v>231698</v>
      </c>
      <c r="W20" s="36"/>
      <c r="X20" s="36"/>
    </row>
    <row r="21" spans="2:24" s="58" customFormat="1" x14ac:dyDescent="0.25">
      <c r="B21" s="1" t="s">
        <v>80</v>
      </c>
      <c r="C21" s="3" t="s">
        <v>34</v>
      </c>
      <c r="D21" s="3" t="s">
        <v>44</v>
      </c>
      <c r="E21" s="4">
        <v>36617</v>
      </c>
      <c r="F21" s="4">
        <v>36981</v>
      </c>
      <c r="G21" s="1" t="s">
        <v>45</v>
      </c>
      <c r="H21" s="1" t="s">
        <v>47</v>
      </c>
      <c r="I21" s="3" t="s">
        <v>46</v>
      </c>
      <c r="J21" s="8">
        <v>0</v>
      </c>
      <c r="K21" s="5">
        <v>0</v>
      </c>
      <c r="L21" s="5">
        <v>0</v>
      </c>
      <c r="M21" s="5">
        <v>0</v>
      </c>
      <c r="N21" s="5">
        <v>0</v>
      </c>
      <c r="O21" s="41">
        <v>0</v>
      </c>
      <c r="P21" s="5">
        <f>SUM(J21:N21)</f>
        <v>0</v>
      </c>
      <c r="Q21" s="24">
        <v>67713</v>
      </c>
      <c r="R21" s="3">
        <v>0</v>
      </c>
      <c r="S21" s="1" t="s">
        <v>121</v>
      </c>
      <c r="T21" s="9">
        <f>J21*R21</f>
        <v>0</v>
      </c>
      <c r="U21" s="54">
        <v>235876</v>
      </c>
      <c r="V21" s="1"/>
      <c r="W21" s="36"/>
      <c r="X21" s="36"/>
    </row>
    <row r="22" spans="2:24" s="58" customFormat="1" x14ac:dyDescent="0.25">
      <c r="B22" s="1" t="s">
        <v>80</v>
      </c>
      <c r="C22" s="3" t="s">
        <v>34</v>
      </c>
      <c r="D22" s="3" t="s">
        <v>44</v>
      </c>
      <c r="E22" s="4">
        <v>36617</v>
      </c>
      <c r="F22" s="4">
        <v>36981</v>
      </c>
      <c r="G22" s="1" t="s">
        <v>45</v>
      </c>
      <c r="H22" s="1" t="s">
        <v>48</v>
      </c>
      <c r="I22" s="3" t="s">
        <v>46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0</v>
      </c>
      <c r="Q22" s="24">
        <v>67713</v>
      </c>
      <c r="R22" s="3">
        <v>0</v>
      </c>
      <c r="S22" s="1" t="s">
        <v>121</v>
      </c>
      <c r="T22" s="9">
        <f>J22*R22</f>
        <v>0</v>
      </c>
      <c r="U22" s="54">
        <v>235876</v>
      </c>
      <c r="V22" s="1"/>
      <c r="W22" s="36"/>
      <c r="X22" s="36"/>
    </row>
    <row r="23" spans="2:24" s="58" customFormat="1" x14ac:dyDescent="0.25">
      <c r="B23" s="1" t="s">
        <v>80</v>
      </c>
      <c r="C23" s="3" t="s">
        <v>34</v>
      </c>
      <c r="D23" s="3" t="s">
        <v>35</v>
      </c>
      <c r="E23" s="4">
        <v>36647</v>
      </c>
      <c r="F23" s="4">
        <v>37011</v>
      </c>
      <c r="G23" s="1" t="s">
        <v>196</v>
      </c>
      <c r="H23" s="1" t="s">
        <v>109</v>
      </c>
      <c r="I23" s="3" t="s">
        <v>43</v>
      </c>
      <c r="J23" s="8">
        <f>6.431/$J$1</f>
        <v>0.20745161290322581</v>
      </c>
      <c r="K23" s="5"/>
      <c r="L23" s="5"/>
      <c r="M23" s="5"/>
      <c r="N23" s="5"/>
      <c r="O23" s="41"/>
      <c r="P23" s="5"/>
      <c r="Q23" s="24">
        <v>68188</v>
      </c>
      <c r="R23" s="3">
        <v>1</v>
      </c>
      <c r="S23" s="1" t="s">
        <v>110</v>
      </c>
      <c r="T23" s="9">
        <f t="shared" ref="T23:T65" si="2">J23*J$1*R23</f>
        <v>6.431</v>
      </c>
      <c r="U23" s="54">
        <v>253195</v>
      </c>
      <c r="V23" s="1"/>
      <c r="W23" s="36"/>
      <c r="X23" s="36"/>
    </row>
    <row r="24" spans="2:24" s="110" customFormat="1" x14ac:dyDescent="0.25">
      <c r="B24" s="55" t="s">
        <v>80</v>
      </c>
      <c r="C24" s="39" t="s">
        <v>34</v>
      </c>
      <c r="D24" s="39" t="s">
        <v>56</v>
      </c>
      <c r="E24" s="108">
        <v>36647</v>
      </c>
      <c r="F24" s="108">
        <v>37011</v>
      </c>
      <c r="G24" s="55" t="s">
        <v>82</v>
      </c>
      <c r="H24" s="55" t="s">
        <v>197</v>
      </c>
      <c r="I24" s="39" t="s">
        <v>43</v>
      </c>
      <c r="J24" s="8">
        <f>6.431/$J$1</f>
        <v>0.20745161290322581</v>
      </c>
      <c r="K24" s="23"/>
      <c r="L24" s="23"/>
      <c r="M24" s="23"/>
      <c r="N24" s="23"/>
      <c r="O24" s="109"/>
      <c r="P24" s="23"/>
      <c r="Q24" s="47">
        <v>68257</v>
      </c>
      <c r="R24" s="39">
        <v>21</v>
      </c>
      <c r="S24" s="55" t="s">
        <v>113</v>
      </c>
      <c r="T24" s="9">
        <f t="shared" si="2"/>
        <v>135.05099999999999</v>
      </c>
      <c r="U24" s="50">
        <v>254718</v>
      </c>
      <c r="V24" s="55"/>
      <c r="W24" s="35"/>
      <c r="X24" s="35"/>
    </row>
    <row r="25" spans="2:24" s="58" customFormat="1" x14ac:dyDescent="0.25">
      <c r="B25" s="1" t="s">
        <v>80</v>
      </c>
      <c r="C25" s="3" t="s">
        <v>34</v>
      </c>
      <c r="D25" s="3" t="s">
        <v>36</v>
      </c>
      <c r="E25" s="4">
        <v>36656</v>
      </c>
      <c r="F25" s="4">
        <v>36950</v>
      </c>
      <c r="G25" s="1" t="s">
        <v>82</v>
      </c>
      <c r="H25" s="29" t="s">
        <v>84</v>
      </c>
      <c r="I25" s="3" t="s">
        <v>43</v>
      </c>
      <c r="J25" s="8">
        <f t="shared" ref="J25:J33" si="3">6.431/$J$1</f>
        <v>0.20745161290322581</v>
      </c>
      <c r="K25" s="5"/>
      <c r="L25" s="5"/>
      <c r="M25" s="5"/>
      <c r="N25" s="5"/>
      <c r="O25" s="41"/>
      <c r="P25" s="5"/>
      <c r="Q25" s="24">
        <v>68308</v>
      </c>
      <c r="R25" s="3">
        <v>4</v>
      </c>
      <c r="S25" s="1" t="s">
        <v>116</v>
      </c>
      <c r="T25" s="9">
        <f t="shared" si="2"/>
        <v>25.724</v>
      </c>
      <c r="U25" s="54">
        <v>262094</v>
      </c>
      <c r="V25" s="1"/>
      <c r="W25" s="36"/>
      <c r="X25" s="36"/>
    </row>
    <row r="26" spans="2:24" s="58" customFormat="1" x14ac:dyDescent="0.25">
      <c r="B26" s="1" t="s">
        <v>80</v>
      </c>
      <c r="C26" s="3" t="s">
        <v>34</v>
      </c>
      <c r="D26" s="3" t="s">
        <v>36</v>
      </c>
      <c r="E26" s="4">
        <v>36656</v>
      </c>
      <c r="F26" s="4">
        <v>36950</v>
      </c>
      <c r="G26" s="1" t="s">
        <v>82</v>
      </c>
      <c r="H26" s="29" t="s">
        <v>83</v>
      </c>
      <c r="I26" s="3" t="s">
        <v>43</v>
      </c>
      <c r="J26" s="8">
        <f t="shared" si="3"/>
        <v>0.20745161290322581</v>
      </c>
      <c r="K26" s="5"/>
      <c r="L26" s="5"/>
      <c r="M26" s="5"/>
      <c r="N26" s="5"/>
      <c r="O26" s="41"/>
      <c r="P26" s="5"/>
      <c r="Q26" s="24">
        <v>68308</v>
      </c>
      <c r="R26" s="3">
        <v>5</v>
      </c>
      <c r="S26" s="1" t="s">
        <v>116</v>
      </c>
      <c r="T26" s="9">
        <f t="shared" si="2"/>
        <v>32.155000000000001</v>
      </c>
      <c r="U26" s="54">
        <v>262094</v>
      </c>
      <c r="V26" s="1"/>
      <c r="W26" s="36"/>
      <c r="X26" s="36"/>
    </row>
    <row r="27" spans="2:24" s="58" customFormat="1" x14ac:dyDescent="0.25">
      <c r="B27" s="1" t="s">
        <v>80</v>
      </c>
      <c r="C27" s="3" t="s">
        <v>34</v>
      </c>
      <c r="D27" s="3" t="s">
        <v>41</v>
      </c>
      <c r="E27" s="4">
        <v>36678</v>
      </c>
      <c r="F27" s="4">
        <v>37042</v>
      </c>
      <c r="G27" s="1" t="s">
        <v>42</v>
      </c>
      <c r="H27" s="1" t="s">
        <v>198</v>
      </c>
      <c r="I27" s="3" t="s">
        <v>43</v>
      </c>
      <c r="J27" s="8">
        <f t="shared" si="3"/>
        <v>0.20745161290322581</v>
      </c>
      <c r="K27" s="5">
        <v>1.32E-2</v>
      </c>
      <c r="L27" s="5">
        <v>2.2000000000000001E-3</v>
      </c>
      <c r="M27" s="5">
        <v>7.1999999999999998E-3</v>
      </c>
      <c r="N27" s="5">
        <v>0</v>
      </c>
      <c r="O27" s="41">
        <v>2.1160000000000002E-2</v>
      </c>
      <c r="P27" s="5">
        <f t="shared" ref="P27:P33" si="4">SUM(J27:N27)</f>
        <v>0.23005161290322582</v>
      </c>
      <c r="Q27" s="24">
        <v>68359</v>
      </c>
      <c r="R27" s="3">
        <v>285</v>
      </c>
      <c r="S27" s="1" t="s">
        <v>120</v>
      </c>
      <c r="T27" s="9">
        <f t="shared" si="2"/>
        <v>1832.835</v>
      </c>
      <c r="U27" s="54">
        <v>271307</v>
      </c>
      <c r="V27" s="1"/>
      <c r="W27" s="36"/>
      <c r="X27" s="36"/>
    </row>
    <row r="28" spans="2:24" s="58" customFormat="1" x14ac:dyDescent="0.25">
      <c r="B28" s="1" t="s">
        <v>80</v>
      </c>
      <c r="C28" s="3" t="s">
        <v>34</v>
      </c>
      <c r="D28" s="3" t="s">
        <v>40</v>
      </c>
      <c r="E28" s="4">
        <v>36678</v>
      </c>
      <c r="F28" s="4">
        <v>37042</v>
      </c>
      <c r="G28" s="1" t="s">
        <v>42</v>
      </c>
      <c r="H28" s="1" t="s">
        <v>199</v>
      </c>
      <c r="I28" s="3" t="s">
        <v>43</v>
      </c>
      <c r="J28" s="8">
        <f t="shared" si="3"/>
        <v>0.20745161290322581</v>
      </c>
      <c r="K28" s="5">
        <v>1.32E-2</v>
      </c>
      <c r="L28" s="5">
        <v>2.2000000000000001E-3</v>
      </c>
      <c r="M28" s="5">
        <v>7.1999999999999998E-3</v>
      </c>
      <c r="N28" s="5">
        <v>0</v>
      </c>
      <c r="O28" s="41">
        <v>2.1160000000000002E-2</v>
      </c>
      <c r="P28" s="5">
        <f t="shared" si="4"/>
        <v>0.23005161290322582</v>
      </c>
      <c r="Q28" s="24">
        <v>68384</v>
      </c>
      <c r="R28" s="3">
        <v>23</v>
      </c>
      <c r="S28" s="1" t="s">
        <v>119</v>
      </c>
      <c r="T28" s="9">
        <f t="shared" si="2"/>
        <v>147.91300000000001</v>
      </c>
      <c r="U28" s="54">
        <v>280570</v>
      </c>
      <c r="V28" s="1"/>
      <c r="W28" s="36"/>
      <c r="X28" s="36"/>
    </row>
    <row r="29" spans="2:24" s="58" customFormat="1" x14ac:dyDescent="0.25">
      <c r="B29" s="1" t="s">
        <v>80</v>
      </c>
      <c r="C29" s="3" t="s">
        <v>34</v>
      </c>
      <c r="D29" s="3" t="s">
        <v>40</v>
      </c>
      <c r="E29" s="4">
        <v>36678</v>
      </c>
      <c r="F29" s="4">
        <v>37042</v>
      </c>
      <c r="G29" s="1" t="s">
        <v>42</v>
      </c>
      <c r="H29" s="1" t="s">
        <v>200</v>
      </c>
      <c r="I29" s="3" t="s">
        <v>43</v>
      </c>
      <c r="J29" s="8">
        <f t="shared" si="3"/>
        <v>0.20745161290322581</v>
      </c>
      <c r="K29" s="5">
        <v>1.32E-2</v>
      </c>
      <c r="L29" s="5">
        <v>2.2000000000000001E-3</v>
      </c>
      <c r="M29" s="5">
        <v>7.1999999999999998E-3</v>
      </c>
      <c r="N29" s="5">
        <v>0</v>
      </c>
      <c r="O29" s="41">
        <v>2.1160000000000002E-2</v>
      </c>
      <c r="P29" s="5">
        <f t="shared" si="4"/>
        <v>0.23005161290322582</v>
      </c>
      <c r="Q29" s="24">
        <v>68384</v>
      </c>
      <c r="R29" s="3">
        <v>88</v>
      </c>
      <c r="S29" s="1" t="s">
        <v>119</v>
      </c>
      <c r="T29" s="9">
        <f>J29*J$1*R29</f>
        <v>565.928</v>
      </c>
      <c r="U29" s="54">
        <v>280570</v>
      </c>
      <c r="V29" s="1"/>
      <c r="W29" s="36"/>
      <c r="X29" s="36"/>
    </row>
    <row r="30" spans="2:24" s="58" customFormat="1" x14ac:dyDescent="0.25">
      <c r="B30" s="1" t="s">
        <v>80</v>
      </c>
      <c r="C30" s="3" t="s">
        <v>34</v>
      </c>
      <c r="D30" s="3" t="s">
        <v>40</v>
      </c>
      <c r="E30" s="4">
        <v>36678</v>
      </c>
      <c r="F30" s="4">
        <v>37042</v>
      </c>
      <c r="G30" s="1" t="s">
        <v>42</v>
      </c>
      <c r="H30" s="1" t="s">
        <v>201</v>
      </c>
      <c r="I30" s="3" t="s">
        <v>43</v>
      </c>
      <c r="J30" s="8">
        <f t="shared" si="3"/>
        <v>0.20745161290322581</v>
      </c>
      <c r="K30" s="5">
        <v>1.32E-2</v>
      </c>
      <c r="L30" s="5">
        <v>2.2000000000000001E-3</v>
      </c>
      <c r="M30" s="5">
        <v>7.1999999999999998E-3</v>
      </c>
      <c r="N30" s="5">
        <v>0</v>
      </c>
      <c r="O30" s="41">
        <v>2.1160000000000002E-2</v>
      </c>
      <c r="P30" s="5">
        <f t="shared" si="4"/>
        <v>0.23005161290322582</v>
      </c>
      <c r="Q30" s="24">
        <v>68384</v>
      </c>
      <c r="R30" s="3">
        <v>19</v>
      </c>
      <c r="S30" s="1" t="s">
        <v>119</v>
      </c>
      <c r="T30" s="9">
        <f>J30*J$1*R30</f>
        <v>122.18900000000001</v>
      </c>
      <c r="U30" s="54">
        <v>280570</v>
      </c>
      <c r="V30" s="1"/>
      <c r="W30" s="36"/>
      <c r="X30" s="36"/>
    </row>
    <row r="31" spans="2:24" s="58" customFormat="1" x14ac:dyDescent="0.25">
      <c r="B31" s="1" t="s">
        <v>80</v>
      </c>
      <c r="C31" s="3" t="s">
        <v>34</v>
      </c>
      <c r="D31" s="3" t="s">
        <v>40</v>
      </c>
      <c r="E31" s="4">
        <v>36678</v>
      </c>
      <c r="F31" s="4">
        <v>37042</v>
      </c>
      <c r="G31" s="1" t="s">
        <v>42</v>
      </c>
      <c r="H31" s="1" t="s">
        <v>105</v>
      </c>
      <c r="I31" s="3" t="s">
        <v>43</v>
      </c>
      <c r="J31" s="8">
        <f t="shared" si="3"/>
        <v>0.20745161290322581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1">
        <v>2.1160000000000002E-2</v>
      </c>
      <c r="P31" s="5">
        <f t="shared" si="4"/>
        <v>0.23005161290322582</v>
      </c>
      <c r="Q31" s="24">
        <v>68384</v>
      </c>
      <c r="R31" s="3">
        <v>88</v>
      </c>
      <c r="S31" s="1" t="s">
        <v>119</v>
      </c>
      <c r="T31" s="9">
        <f>J31*J$1*R31</f>
        <v>565.928</v>
      </c>
      <c r="U31" s="54">
        <v>280570</v>
      </c>
      <c r="V31" s="1"/>
      <c r="W31" s="36"/>
      <c r="X31" s="36"/>
    </row>
    <row r="32" spans="2:24" s="58" customFormat="1" x14ac:dyDescent="0.25">
      <c r="B32" s="1" t="s">
        <v>80</v>
      </c>
      <c r="C32" s="3" t="s">
        <v>34</v>
      </c>
      <c r="D32" s="3" t="s">
        <v>41</v>
      </c>
      <c r="E32" s="4">
        <v>36708</v>
      </c>
      <c r="F32" s="4">
        <v>37072</v>
      </c>
      <c r="G32" s="1" t="s">
        <v>42</v>
      </c>
      <c r="H32" s="1" t="s">
        <v>197</v>
      </c>
      <c r="I32" s="3" t="s">
        <v>43</v>
      </c>
      <c r="J32" s="8">
        <f t="shared" si="3"/>
        <v>0.20745161290322581</v>
      </c>
      <c r="K32" s="5">
        <v>1.32E-2</v>
      </c>
      <c r="L32" s="5">
        <v>2.2000000000000001E-3</v>
      </c>
      <c r="M32" s="5">
        <v>7.1999999999999998E-3</v>
      </c>
      <c r="N32" s="5">
        <v>0</v>
      </c>
      <c r="O32" s="41">
        <v>2.1160000000000002E-2</v>
      </c>
      <c r="P32" s="5">
        <f t="shared" si="4"/>
        <v>0.23005161290322582</v>
      </c>
      <c r="Q32" s="24">
        <v>68616</v>
      </c>
      <c r="R32" s="3">
        <v>900</v>
      </c>
      <c r="S32" s="1" t="s">
        <v>122</v>
      </c>
      <c r="T32" s="9">
        <f t="shared" si="2"/>
        <v>5787.9</v>
      </c>
      <c r="U32" s="54">
        <v>309723</v>
      </c>
      <c r="V32" s="1" t="s">
        <v>123</v>
      </c>
      <c r="W32" s="36"/>
      <c r="X32" s="36"/>
    </row>
    <row r="33" spans="2:25" s="58" customFormat="1" x14ac:dyDescent="0.25">
      <c r="B33" s="1" t="s">
        <v>80</v>
      </c>
      <c r="C33" s="3" t="s">
        <v>34</v>
      </c>
      <c r="D33" s="3" t="s">
        <v>40</v>
      </c>
      <c r="E33" s="4">
        <v>36708</v>
      </c>
      <c r="F33" s="4">
        <v>37072</v>
      </c>
      <c r="G33" s="1" t="s">
        <v>42</v>
      </c>
      <c r="H33" s="1" t="s">
        <v>199</v>
      </c>
      <c r="I33" s="3" t="s">
        <v>43</v>
      </c>
      <c r="J33" s="8">
        <f t="shared" si="3"/>
        <v>0.20745161290322581</v>
      </c>
      <c r="K33" s="5">
        <v>1.32E-2</v>
      </c>
      <c r="L33" s="5">
        <v>2.2000000000000001E-3</v>
      </c>
      <c r="M33" s="5">
        <v>7.1999999999999998E-3</v>
      </c>
      <c r="N33" s="5">
        <v>0</v>
      </c>
      <c r="O33" s="41">
        <v>2.1160000000000002E-2</v>
      </c>
      <c r="P33" s="5">
        <f t="shared" si="4"/>
        <v>0.23005161290322582</v>
      </c>
      <c r="Q33" s="24">
        <v>68635</v>
      </c>
      <c r="R33" s="3">
        <v>1</v>
      </c>
      <c r="S33" s="1" t="s">
        <v>124</v>
      </c>
      <c r="T33" s="9">
        <f t="shared" si="2"/>
        <v>6.431</v>
      </c>
      <c r="U33" s="54">
        <v>312333</v>
      </c>
      <c r="V33" s="1"/>
      <c r="W33" s="36"/>
      <c r="X33" s="36"/>
    </row>
    <row r="34" spans="2:25" s="58" customFormat="1" x14ac:dyDescent="0.25">
      <c r="B34" s="1" t="s">
        <v>80</v>
      </c>
      <c r="C34" s="3" t="s">
        <v>34</v>
      </c>
      <c r="D34" s="3" t="s">
        <v>77</v>
      </c>
      <c r="E34" s="4">
        <v>36831</v>
      </c>
      <c r="F34" s="4">
        <v>37195</v>
      </c>
      <c r="G34" s="1" t="s">
        <v>152</v>
      </c>
      <c r="H34" s="1" t="s">
        <v>153</v>
      </c>
      <c r="I34" s="3" t="s">
        <v>43</v>
      </c>
      <c r="J34" s="8">
        <f>5.171/J$1</f>
        <v>0.16680645161290322</v>
      </c>
      <c r="K34" s="5">
        <v>1.32E-2</v>
      </c>
      <c r="L34" s="5">
        <v>2.2000000000000001E-3</v>
      </c>
      <c r="M34" s="5">
        <v>7.1999999999999998E-3</v>
      </c>
      <c r="N34" s="5">
        <v>0</v>
      </c>
      <c r="O34" s="41">
        <v>2.1160000000000002E-2</v>
      </c>
      <c r="P34" s="5">
        <f t="shared" ref="P34:P40" si="5">SUM(J34:N34)</f>
        <v>0.18940645161290323</v>
      </c>
      <c r="Q34" s="24">
        <v>68915</v>
      </c>
      <c r="R34" s="3">
        <v>2400</v>
      </c>
      <c r="S34" s="1" t="s">
        <v>151</v>
      </c>
      <c r="T34" s="9">
        <f t="shared" si="2"/>
        <v>12410.400000000001</v>
      </c>
      <c r="U34" s="111" t="s">
        <v>161</v>
      </c>
      <c r="V34" s="1"/>
      <c r="W34" s="36"/>
      <c r="X34" s="36"/>
    </row>
    <row r="35" spans="2:25" s="58" customFormat="1" x14ac:dyDescent="0.25">
      <c r="B35" s="1" t="s">
        <v>80</v>
      </c>
      <c r="C35" s="3" t="s">
        <v>34</v>
      </c>
      <c r="D35" s="3" t="s">
        <v>77</v>
      </c>
      <c r="E35" s="4">
        <v>36831</v>
      </c>
      <c r="F35" s="4">
        <v>37195</v>
      </c>
      <c r="G35" s="1" t="s">
        <v>52</v>
      </c>
      <c r="H35" s="1" t="s">
        <v>154</v>
      </c>
      <c r="I35" s="3" t="s">
        <v>43</v>
      </c>
      <c r="J35" s="8">
        <f>5.18/J$1</f>
        <v>0.16709677419354838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1">
        <v>2.1160000000000002E-2</v>
      </c>
      <c r="P35" s="5">
        <f t="shared" si="5"/>
        <v>0.18969677419354838</v>
      </c>
      <c r="Q35" s="24">
        <v>68916</v>
      </c>
      <c r="R35" s="3">
        <v>1915</v>
      </c>
      <c r="S35" s="1" t="s">
        <v>155</v>
      </c>
      <c r="T35" s="9">
        <f t="shared" si="2"/>
        <v>9919.6999999999989</v>
      </c>
      <c r="U35" s="111" t="s">
        <v>162</v>
      </c>
      <c r="V35" s="1"/>
      <c r="W35" s="36"/>
      <c r="X35" s="36"/>
    </row>
    <row r="36" spans="2:25" s="58" customFormat="1" x14ac:dyDescent="0.25">
      <c r="B36" s="1" t="s">
        <v>80</v>
      </c>
      <c r="C36" s="3" t="s">
        <v>34</v>
      </c>
      <c r="D36" s="3" t="s">
        <v>77</v>
      </c>
      <c r="E36" s="4">
        <v>36831</v>
      </c>
      <c r="F36" s="4">
        <v>37195</v>
      </c>
      <c r="G36" s="1" t="s">
        <v>52</v>
      </c>
      <c r="H36" s="1" t="s">
        <v>154</v>
      </c>
      <c r="I36" s="3" t="s">
        <v>43</v>
      </c>
      <c r="J36" s="8">
        <f>5.1807/J$1</f>
        <v>0.16711935483870968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1">
        <v>2.1160000000000002E-2</v>
      </c>
      <c r="P36" s="5">
        <f t="shared" si="5"/>
        <v>0.18971935483870969</v>
      </c>
      <c r="Q36" s="24">
        <v>68917</v>
      </c>
      <c r="R36" s="3">
        <v>85</v>
      </c>
      <c r="S36" s="1" t="s">
        <v>155</v>
      </c>
      <c r="T36" s="9">
        <f t="shared" si="2"/>
        <v>440.35949999999997</v>
      </c>
      <c r="U36" s="111" t="s">
        <v>163</v>
      </c>
      <c r="V36" s="1"/>
      <c r="W36" s="36"/>
      <c r="X36" s="36"/>
    </row>
    <row r="37" spans="2:25" s="58" customFormat="1" x14ac:dyDescent="0.25">
      <c r="B37" s="1" t="s">
        <v>80</v>
      </c>
      <c r="C37" s="3" t="s">
        <v>34</v>
      </c>
      <c r="D37" s="3" t="s">
        <v>77</v>
      </c>
      <c r="E37" s="4">
        <v>36831</v>
      </c>
      <c r="F37" s="4">
        <v>37195</v>
      </c>
      <c r="G37" s="1" t="s">
        <v>158</v>
      </c>
      <c r="H37" s="1" t="s">
        <v>157</v>
      </c>
      <c r="I37" s="3" t="s">
        <v>43</v>
      </c>
      <c r="J37" s="8">
        <f>5.171/J$1</f>
        <v>0.16680645161290322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1">
        <v>2.1160000000000002E-2</v>
      </c>
      <c r="P37" s="5">
        <f t="shared" si="5"/>
        <v>0.18940645161290323</v>
      </c>
      <c r="Q37" s="24">
        <v>68918</v>
      </c>
      <c r="R37" s="3">
        <v>1000</v>
      </c>
      <c r="S37" s="1" t="s">
        <v>156</v>
      </c>
      <c r="T37" s="9">
        <f t="shared" si="2"/>
        <v>5171</v>
      </c>
      <c r="U37" s="111" t="s">
        <v>164</v>
      </c>
      <c r="V37" s="1"/>
      <c r="W37" s="36"/>
      <c r="X37" s="36"/>
    </row>
    <row r="38" spans="2:25" s="58" customFormat="1" x14ac:dyDescent="0.25">
      <c r="B38" s="1" t="s">
        <v>80</v>
      </c>
      <c r="C38" s="3" t="s">
        <v>34</v>
      </c>
      <c r="D38" s="3" t="s">
        <v>77</v>
      </c>
      <c r="E38" s="4">
        <v>36831</v>
      </c>
      <c r="F38" s="4">
        <v>37195</v>
      </c>
      <c r="G38" s="1" t="s">
        <v>52</v>
      </c>
      <c r="H38" s="1" t="s">
        <v>157</v>
      </c>
      <c r="I38" s="3" t="s">
        <v>43</v>
      </c>
      <c r="J38" s="8">
        <f>5.171/J$1</f>
        <v>0.16680645161290322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1">
        <v>2.1160000000000002E-2</v>
      </c>
      <c r="P38" s="5">
        <f t="shared" si="5"/>
        <v>0.18940645161290323</v>
      </c>
      <c r="Q38" s="24">
        <v>68918</v>
      </c>
      <c r="R38" s="3">
        <v>2000</v>
      </c>
      <c r="S38" s="1" t="s">
        <v>156</v>
      </c>
      <c r="T38" s="9">
        <f t="shared" si="2"/>
        <v>10342</v>
      </c>
      <c r="U38" s="111" t="s">
        <v>164</v>
      </c>
      <c r="V38" s="1"/>
      <c r="W38" s="36"/>
      <c r="X38" s="36"/>
    </row>
    <row r="39" spans="2:25" s="58" customFormat="1" x14ac:dyDescent="0.25">
      <c r="B39" s="1" t="s">
        <v>80</v>
      </c>
      <c r="C39" s="3" t="s">
        <v>34</v>
      </c>
      <c r="D39" s="3" t="s">
        <v>77</v>
      </c>
      <c r="E39" s="4">
        <v>36831</v>
      </c>
      <c r="F39" s="4">
        <v>37195</v>
      </c>
      <c r="G39" s="1" t="s">
        <v>53</v>
      </c>
      <c r="H39" s="1" t="s">
        <v>157</v>
      </c>
      <c r="I39" s="3" t="s">
        <v>43</v>
      </c>
      <c r="J39" s="8">
        <f>5.171/J$1</f>
        <v>0.16680645161290322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1">
        <v>2.1160000000000002E-2</v>
      </c>
      <c r="P39" s="5">
        <f t="shared" si="5"/>
        <v>0.18940645161290323</v>
      </c>
      <c r="Q39" s="24">
        <v>68918</v>
      </c>
      <c r="R39" s="3">
        <v>5000</v>
      </c>
      <c r="S39" s="1" t="s">
        <v>156</v>
      </c>
      <c r="T39" s="9">
        <f t="shared" si="2"/>
        <v>25855</v>
      </c>
      <c r="U39" s="111" t="s">
        <v>164</v>
      </c>
      <c r="V39" s="1"/>
      <c r="W39" s="36"/>
      <c r="X39" s="36"/>
    </row>
    <row r="40" spans="2:25" s="58" customFormat="1" x14ac:dyDescent="0.25">
      <c r="B40" s="1" t="s">
        <v>80</v>
      </c>
      <c r="C40" s="3" t="s">
        <v>34</v>
      </c>
      <c r="D40" s="3" t="s">
        <v>40</v>
      </c>
      <c r="E40" s="4">
        <v>36739</v>
      </c>
      <c r="F40" s="4">
        <v>37103</v>
      </c>
      <c r="G40" s="1" t="s">
        <v>42</v>
      </c>
      <c r="H40" s="1" t="s">
        <v>133</v>
      </c>
      <c r="I40" s="3" t="s">
        <v>43</v>
      </c>
      <c r="J40" s="8">
        <f>6.431/J$1</f>
        <v>0.20745161290322581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1">
        <v>2.1160000000000002E-2</v>
      </c>
      <c r="P40" s="5">
        <f t="shared" si="5"/>
        <v>0.23005161290322582</v>
      </c>
      <c r="Q40" s="24">
        <v>68926</v>
      </c>
      <c r="R40" s="3">
        <v>2</v>
      </c>
      <c r="S40" s="1" t="s">
        <v>0</v>
      </c>
      <c r="T40" s="9">
        <f t="shared" si="2"/>
        <v>12.862</v>
      </c>
      <c r="U40" s="54">
        <v>345125</v>
      </c>
      <c r="V40" s="1"/>
      <c r="W40" s="36"/>
      <c r="X40" s="36"/>
    </row>
    <row r="41" spans="2:25" s="58" customFormat="1" x14ac:dyDescent="0.25">
      <c r="B41" s="1" t="s">
        <v>80</v>
      </c>
      <c r="C41" s="3" t="s">
        <v>34</v>
      </c>
      <c r="D41" s="3" t="s">
        <v>40</v>
      </c>
      <c r="E41" s="4">
        <v>36739</v>
      </c>
      <c r="F41" s="4">
        <v>37103</v>
      </c>
      <c r="G41" s="1" t="s">
        <v>42</v>
      </c>
      <c r="H41" s="1" t="s">
        <v>138</v>
      </c>
      <c r="I41" s="3" t="s">
        <v>43</v>
      </c>
      <c r="J41" s="8">
        <f>6.431/J$1</f>
        <v>0.20745161290322581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1">
        <v>2.1160000000000002E-2</v>
      </c>
      <c r="P41" s="5">
        <f>SUM(J41:N41)</f>
        <v>0.23005161290322582</v>
      </c>
      <c r="Q41" s="24">
        <v>68926</v>
      </c>
      <c r="R41" s="3">
        <v>2</v>
      </c>
      <c r="S41" s="1" t="s">
        <v>0</v>
      </c>
      <c r="T41" s="9">
        <f>J41*J$1*R41</f>
        <v>12.862</v>
      </c>
      <c r="U41" s="54">
        <v>345125</v>
      </c>
      <c r="V41" s="1"/>
      <c r="W41" s="36"/>
      <c r="X41" s="36"/>
    </row>
    <row r="42" spans="2:25" s="58" customFormat="1" x14ac:dyDescent="0.25">
      <c r="B42" s="55" t="s">
        <v>80</v>
      </c>
      <c r="C42" s="39" t="s">
        <v>34</v>
      </c>
      <c r="D42" s="39" t="s">
        <v>56</v>
      </c>
      <c r="E42" s="108">
        <v>36739</v>
      </c>
      <c r="F42" s="108">
        <v>37103</v>
      </c>
      <c r="G42" s="55" t="s">
        <v>82</v>
      </c>
      <c r="H42" s="55" t="s">
        <v>202</v>
      </c>
      <c r="I42" s="39" t="s">
        <v>43</v>
      </c>
      <c r="J42" s="8">
        <f>6.431/$J$1</f>
        <v>0.20745161290322581</v>
      </c>
      <c r="K42" s="23"/>
      <c r="L42" s="23"/>
      <c r="M42" s="23"/>
      <c r="N42" s="23"/>
      <c r="O42" s="109"/>
      <c r="P42" s="23"/>
      <c r="Q42" s="47">
        <v>68928</v>
      </c>
      <c r="R42" s="39">
        <v>47</v>
      </c>
      <c r="S42" s="55" t="s">
        <v>3</v>
      </c>
      <c r="T42" s="9">
        <f t="shared" si="2"/>
        <v>302.25700000000001</v>
      </c>
      <c r="U42" s="50">
        <v>351966</v>
      </c>
      <c r="V42" s="55"/>
      <c r="W42" s="35"/>
      <c r="X42" s="35"/>
      <c r="Y42" s="110"/>
    </row>
    <row r="43" spans="2:25" s="58" customFormat="1" x14ac:dyDescent="0.25">
      <c r="B43" s="55" t="s">
        <v>80</v>
      </c>
      <c r="C43" s="39" t="s">
        <v>34</v>
      </c>
      <c r="D43" s="39" t="s">
        <v>36</v>
      </c>
      <c r="E43" s="108">
        <v>36770</v>
      </c>
      <c r="F43" s="108">
        <v>37134</v>
      </c>
      <c r="G43" s="55" t="s">
        <v>82</v>
      </c>
      <c r="H43" s="55" t="s">
        <v>134</v>
      </c>
      <c r="I43" s="39" t="s">
        <v>43</v>
      </c>
      <c r="J43" s="8">
        <f>6.431/$J$1</f>
        <v>0.20745161290322581</v>
      </c>
      <c r="K43" s="23"/>
      <c r="L43" s="23"/>
      <c r="M43" s="23"/>
      <c r="N43" s="23"/>
      <c r="O43" s="109"/>
      <c r="P43" s="23"/>
      <c r="Q43" s="47">
        <v>69144</v>
      </c>
      <c r="R43" s="39">
        <v>4</v>
      </c>
      <c r="S43" s="55" t="s">
        <v>127</v>
      </c>
      <c r="T43" s="9">
        <f t="shared" si="2"/>
        <v>25.724</v>
      </c>
      <c r="U43" s="50"/>
      <c r="V43" s="55"/>
      <c r="W43" s="35"/>
      <c r="X43" s="35"/>
      <c r="Y43" s="110"/>
    </row>
    <row r="44" spans="2:25" s="58" customFormat="1" x14ac:dyDescent="0.25">
      <c r="B44" s="55" t="s">
        <v>80</v>
      </c>
      <c r="C44" s="39" t="s">
        <v>34</v>
      </c>
      <c r="D44" s="39" t="s">
        <v>36</v>
      </c>
      <c r="E44" s="108">
        <v>36770</v>
      </c>
      <c r="F44" s="108">
        <v>37134</v>
      </c>
      <c r="G44" s="55" t="s">
        <v>82</v>
      </c>
      <c r="H44" s="55" t="s">
        <v>133</v>
      </c>
      <c r="I44" s="39" t="s">
        <v>43</v>
      </c>
      <c r="J44" s="8">
        <f>6.431/$J$1</f>
        <v>0.20745161290322581</v>
      </c>
      <c r="K44" s="23"/>
      <c r="L44" s="23"/>
      <c r="M44" s="23"/>
      <c r="N44" s="23"/>
      <c r="O44" s="109"/>
      <c r="P44" s="23"/>
      <c r="Q44" s="47">
        <v>69144</v>
      </c>
      <c r="R44" s="39">
        <v>23</v>
      </c>
      <c r="S44" s="55" t="s">
        <v>127</v>
      </c>
      <c r="T44" s="9">
        <f>J44*J$1*R44</f>
        <v>147.91300000000001</v>
      </c>
      <c r="U44" s="50"/>
      <c r="V44" s="55"/>
      <c r="W44" s="35"/>
      <c r="X44" s="35"/>
      <c r="Y44" s="110"/>
    </row>
    <row r="45" spans="2:25" s="58" customFormat="1" x14ac:dyDescent="0.25">
      <c r="B45" s="55" t="s">
        <v>80</v>
      </c>
      <c r="C45" s="39" t="s">
        <v>34</v>
      </c>
      <c r="D45" s="39" t="s">
        <v>36</v>
      </c>
      <c r="E45" s="108">
        <v>36770</v>
      </c>
      <c r="F45" s="108">
        <v>37134</v>
      </c>
      <c r="G45" s="55" t="s">
        <v>82</v>
      </c>
      <c r="H45" s="55" t="s">
        <v>203</v>
      </c>
      <c r="I45" s="39" t="s">
        <v>43</v>
      </c>
      <c r="J45" s="8">
        <f>6.431/$J$1</f>
        <v>0.20745161290322581</v>
      </c>
      <c r="K45" s="23"/>
      <c r="L45" s="23"/>
      <c r="M45" s="23"/>
      <c r="N45" s="23"/>
      <c r="O45" s="109"/>
      <c r="P45" s="23"/>
      <c r="Q45" s="47">
        <v>69144</v>
      </c>
      <c r="R45" s="39">
        <v>4</v>
      </c>
      <c r="S45" s="55" t="s">
        <v>127</v>
      </c>
      <c r="T45" s="9">
        <f>J45*J$1*R45</f>
        <v>25.724</v>
      </c>
      <c r="U45" s="50"/>
      <c r="V45" s="55"/>
      <c r="W45" s="35"/>
      <c r="X45" s="35"/>
      <c r="Y45" s="110"/>
    </row>
    <row r="46" spans="2:25" s="58" customFormat="1" x14ac:dyDescent="0.25">
      <c r="B46" s="55" t="s">
        <v>80</v>
      </c>
      <c r="C46" s="39" t="s">
        <v>34</v>
      </c>
      <c r="D46" s="39" t="s">
        <v>36</v>
      </c>
      <c r="E46" s="108">
        <v>36770</v>
      </c>
      <c r="F46" s="108">
        <v>37134</v>
      </c>
      <c r="G46" s="55" t="s">
        <v>82</v>
      </c>
      <c r="H46" s="55" t="s">
        <v>135</v>
      </c>
      <c r="I46" s="39" t="s">
        <v>43</v>
      </c>
      <c r="J46" s="8">
        <f>6.431/$J$1</f>
        <v>0.20745161290322581</v>
      </c>
      <c r="K46" s="23"/>
      <c r="L46" s="23"/>
      <c r="M46" s="23"/>
      <c r="N46" s="23"/>
      <c r="O46" s="109"/>
      <c r="P46" s="23"/>
      <c r="Q46" s="47">
        <v>69144</v>
      </c>
      <c r="R46" s="39">
        <v>31</v>
      </c>
      <c r="S46" s="55" t="s">
        <v>127</v>
      </c>
      <c r="T46" s="9">
        <f>J46*J$1*R46</f>
        <v>199.36099999999999</v>
      </c>
      <c r="U46" s="50"/>
      <c r="V46" s="55"/>
      <c r="W46" s="35"/>
      <c r="X46" s="35"/>
      <c r="Y46" s="110"/>
    </row>
    <row r="47" spans="2:25" s="110" customFormat="1" x14ac:dyDescent="0.25">
      <c r="B47" s="1" t="s">
        <v>80</v>
      </c>
      <c r="C47" s="3" t="s">
        <v>34</v>
      </c>
      <c r="D47" s="3" t="s">
        <v>77</v>
      </c>
      <c r="E47" s="4">
        <v>36831</v>
      </c>
      <c r="F47" s="4">
        <v>37195</v>
      </c>
      <c r="G47" s="1" t="s">
        <v>53</v>
      </c>
      <c r="H47" s="1" t="s">
        <v>153</v>
      </c>
      <c r="I47" s="3" t="s">
        <v>43</v>
      </c>
      <c r="J47" s="8">
        <f>5.171/J$1</f>
        <v>0.16680645161290322</v>
      </c>
      <c r="K47" s="5">
        <v>1.32E-2</v>
      </c>
      <c r="L47" s="5">
        <v>2.2000000000000001E-3</v>
      </c>
      <c r="M47" s="5">
        <v>7.1999999999999998E-3</v>
      </c>
      <c r="N47" s="5">
        <v>0</v>
      </c>
      <c r="O47" s="41">
        <v>2.1160000000000002E-2</v>
      </c>
      <c r="P47" s="5">
        <f>SUM(J47:N47)</f>
        <v>0.18940645161290323</v>
      </c>
      <c r="Q47" s="24">
        <v>69148</v>
      </c>
      <c r="R47" s="3">
        <v>500</v>
      </c>
      <c r="S47" s="1" t="s">
        <v>159</v>
      </c>
      <c r="T47" s="9">
        <f t="shared" si="2"/>
        <v>2585.5</v>
      </c>
      <c r="U47" s="111" t="s">
        <v>165</v>
      </c>
      <c r="V47" s="1"/>
      <c r="W47" s="36"/>
      <c r="X47" s="36"/>
      <c r="Y47" s="58"/>
    </row>
    <row r="48" spans="2:25" s="110" customFormat="1" x14ac:dyDescent="0.25">
      <c r="B48" s="1" t="s">
        <v>80</v>
      </c>
      <c r="C48" s="3" t="s">
        <v>34</v>
      </c>
      <c r="D48" s="3" t="s">
        <v>77</v>
      </c>
      <c r="E48" s="4">
        <v>36831</v>
      </c>
      <c r="F48" s="4">
        <v>37195</v>
      </c>
      <c r="G48" s="1" t="s">
        <v>52</v>
      </c>
      <c r="H48" s="1" t="s">
        <v>154</v>
      </c>
      <c r="I48" s="3" t="s">
        <v>43</v>
      </c>
      <c r="J48" s="8">
        <f>5.18/J$1</f>
        <v>0.16709677419354838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1">
        <v>2.1160000000000002E-2</v>
      </c>
      <c r="P48" s="5">
        <f>SUM(J48:N48)</f>
        <v>0.18969677419354838</v>
      </c>
      <c r="Q48" s="24">
        <v>69149</v>
      </c>
      <c r="R48" s="3">
        <v>1000</v>
      </c>
      <c r="S48" s="1" t="s">
        <v>160</v>
      </c>
      <c r="T48" s="9">
        <f t="shared" si="2"/>
        <v>5180</v>
      </c>
      <c r="U48" s="111"/>
      <c r="V48" s="1"/>
      <c r="W48" s="36"/>
      <c r="X48" s="36"/>
      <c r="Y48" s="58"/>
    </row>
    <row r="49" spans="2:24" s="110" customFormat="1" x14ac:dyDescent="0.25">
      <c r="B49" s="55" t="s">
        <v>80</v>
      </c>
      <c r="C49" s="39" t="s">
        <v>34</v>
      </c>
      <c r="D49" s="39" t="s">
        <v>36</v>
      </c>
      <c r="E49" s="108">
        <v>36800</v>
      </c>
      <c r="F49" s="108">
        <v>37164</v>
      </c>
      <c r="G49" s="55" t="s">
        <v>82</v>
      </c>
      <c r="H49" s="55" t="s">
        <v>134</v>
      </c>
      <c r="I49" s="39" t="s">
        <v>43</v>
      </c>
      <c r="J49" s="8">
        <f>6.431/$J$1</f>
        <v>0.20745161290322581</v>
      </c>
      <c r="K49" s="23"/>
      <c r="L49" s="23"/>
      <c r="M49" s="23"/>
      <c r="N49" s="23"/>
      <c r="O49" s="109"/>
      <c r="P49" s="23"/>
      <c r="Q49" s="47">
        <v>69424</v>
      </c>
      <c r="R49" s="39">
        <v>1</v>
      </c>
      <c r="S49" s="55" t="s">
        <v>131</v>
      </c>
      <c r="T49" s="9">
        <f t="shared" si="2"/>
        <v>6.431</v>
      </c>
      <c r="U49" s="50">
        <v>418221</v>
      </c>
      <c r="V49" s="55"/>
      <c r="W49" s="35"/>
      <c r="X49" s="35"/>
    </row>
    <row r="50" spans="2:24" s="110" customFormat="1" x14ac:dyDescent="0.25">
      <c r="B50" s="55" t="s">
        <v>80</v>
      </c>
      <c r="C50" s="39" t="s">
        <v>34</v>
      </c>
      <c r="D50" s="39" t="s">
        <v>36</v>
      </c>
      <c r="E50" s="108">
        <v>36800</v>
      </c>
      <c r="F50" s="108">
        <v>37164</v>
      </c>
      <c r="G50" s="55" t="s">
        <v>82</v>
      </c>
      <c r="H50" s="55" t="s">
        <v>133</v>
      </c>
      <c r="I50" s="39" t="s">
        <v>43</v>
      </c>
      <c r="J50" s="8">
        <f>6.431/$J$1</f>
        <v>0.20745161290322581</v>
      </c>
      <c r="K50" s="23"/>
      <c r="L50" s="23"/>
      <c r="M50" s="23"/>
      <c r="N50" s="23"/>
      <c r="O50" s="109"/>
      <c r="P50" s="23"/>
      <c r="Q50" s="47">
        <v>69424</v>
      </c>
      <c r="R50" s="39">
        <v>1</v>
      </c>
      <c r="S50" s="55" t="s">
        <v>131</v>
      </c>
      <c r="T50" s="9">
        <f>J50*J$1*R50</f>
        <v>6.431</v>
      </c>
      <c r="U50" s="50">
        <v>418221</v>
      </c>
      <c r="V50" s="55"/>
      <c r="W50" s="35"/>
      <c r="X50" s="35"/>
    </row>
    <row r="51" spans="2:24" s="110" customFormat="1" x14ac:dyDescent="0.25">
      <c r="B51" s="55" t="s">
        <v>80</v>
      </c>
      <c r="C51" s="39" t="s">
        <v>34</v>
      </c>
      <c r="D51" s="39" t="s">
        <v>36</v>
      </c>
      <c r="E51" s="108">
        <v>36800</v>
      </c>
      <c r="F51" s="108">
        <v>37164</v>
      </c>
      <c r="G51" s="55" t="s">
        <v>82</v>
      </c>
      <c r="H51" s="55" t="s">
        <v>135</v>
      </c>
      <c r="I51" s="39" t="s">
        <v>43</v>
      </c>
      <c r="J51" s="8">
        <f>6.431/$J$1</f>
        <v>0.20745161290322581</v>
      </c>
      <c r="K51" s="23"/>
      <c r="L51" s="23"/>
      <c r="M51" s="23"/>
      <c r="N51" s="23"/>
      <c r="O51" s="109"/>
      <c r="P51" s="23"/>
      <c r="Q51" s="47">
        <v>69424</v>
      </c>
      <c r="R51" s="39">
        <v>11</v>
      </c>
      <c r="S51" s="55" t="s">
        <v>131</v>
      </c>
      <c r="T51" s="9">
        <f>J51*J$1*R51</f>
        <v>70.741</v>
      </c>
      <c r="U51" s="50">
        <v>418221</v>
      </c>
      <c r="V51" s="55"/>
      <c r="W51" s="35"/>
      <c r="X51" s="35"/>
    </row>
    <row r="52" spans="2:24" s="58" customFormat="1" x14ac:dyDescent="0.25">
      <c r="B52" s="1" t="s">
        <v>80</v>
      </c>
      <c r="C52" s="3" t="s">
        <v>34</v>
      </c>
      <c r="D52" s="3" t="s">
        <v>77</v>
      </c>
      <c r="E52" s="4">
        <v>36831</v>
      </c>
      <c r="F52" s="4">
        <v>37195</v>
      </c>
      <c r="G52" s="1" t="s">
        <v>173</v>
      </c>
      <c r="H52" s="1" t="s">
        <v>153</v>
      </c>
      <c r="I52" s="3" t="s">
        <v>43</v>
      </c>
      <c r="J52" s="8">
        <f>5.171/J$1</f>
        <v>0.16680645161290322</v>
      </c>
      <c r="K52" s="5">
        <v>1.32E-2</v>
      </c>
      <c r="L52" s="5">
        <v>2.2000000000000001E-3</v>
      </c>
      <c r="M52" s="5">
        <v>7.4999999999999997E-3</v>
      </c>
      <c r="N52" s="5">
        <v>0</v>
      </c>
      <c r="O52" s="41">
        <v>2.1160000000000002E-2</v>
      </c>
      <c r="P52" s="5">
        <f t="shared" ref="P52:P61" si="6">SUM(J52:N52)</f>
        <v>0.18970645161290323</v>
      </c>
      <c r="Q52" s="24">
        <v>69693</v>
      </c>
      <c r="R52" s="3">
        <v>1600</v>
      </c>
      <c r="S52" s="29" t="s">
        <v>174</v>
      </c>
      <c r="T52" s="9">
        <f t="shared" si="2"/>
        <v>8273.6</v>
      </c>
      <c r="U52" s="111" t="s">
        <v>139</v>
      </c>
      <c r="V52" s="9"/>
      <c r="W52" s="36"/>
      <c r="X52" s="36"/>
    </row>
    <row r="53" spans="2:24" s="58" customFormat="1" x14ac:dyDescent="0.25">
      <c r="B53" s="1" t="s">
        <v>80</v>
      </c>
      <c r="C53" s="3" t="s">
        <v>34</v>
      </c>
      <c r="D53" s="3" t="s">
        <v>49</v>
      </c>
      <c r="E53" s="4">
        <v>36831</v>
      </c>
      <c r="F53" s="4">
        <v>37195</v>
      </c>
      <c r="G53" s="1" t="s">
        <v>144</v>
      </c>
      <c r="H53" s="1" t="s">
        <v>204</v>
      </c>
      <c r="I53" s="3" t="s">
        <v>43</v>
      </c>
      <c r="J53" s="8">
        <f t="shared" ref="J53:J65" si="7">6.431/J$1</f>
        <v>0.20745161290322581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1">
        <v>2.1160000000000002E-2</v>
      </c>
      <c r="P53" s="5">
        <f t="shared" si="6"/>
        <v>0.23005161290322582</v>
      </c>
      <c r="Q53" s="24">
        <v>69707</v>
      </c>
      <c r="R53" s="3">
        <v>4018</v>
      </c>
      <c r="S53" s="1" t="s">
        <v>145</v>
      </c>
      <c r="T53" s="9">
        <f t="shared" si="2"/>
        <v>25839.758000000002</v>
      </c>
      <c r="U53" s="111" t="s">
        <v>146</v>
      </c>
      <c r="V53" s="1"/>
      <c r="W53" s="36"/>
      <c r="X53" s="36"/>
    </row>
    <row r="54" spans="2:24" s="58" customFormat="1" x14ac:dyDescent="0.25">
      <c r="B54" s="1" t="s">
        <v>80</v>
      </c>
      <c r="C54" s="3" t="s">
        <v>34</v>
      </c>
      <c r="D54" s="3" t="s">
        <v>49</v>
      </c>
      <c r="E54" s="4">
        <v>36831</v>
      </c>
      <c r="F54" s="4">
        <v>37195</v>
      </c>
      <c r="G54" s="1" t="s">
        <v>42</v>
      </c>
      <c r="H54" s="1" t="s">
        <v>205</v>
      </c>
      <c r="I54" s="3" t="s">
        <v>43</v>
      </c>
      <c r="J54" s="8">
        <f t="shared" si="7"/>
        <v>0.20745161290322581</v>
      </c>
      <c r="K54" s="5">
        <v>1.32E-2</v>
      </c>
      <c r="L54" s="5">
        <v>2.2000000000000001E-3</v>
      </c>
      <c r="M54" s="5">
        <v>7.1999999999999998E-3</v>
      </c>
      <c r="N54" s="5">
        <v>0</v>
      </c>
      <c r="O54" s="41">
        <v>2.1160000000000002E-2</v>
      </c>
      <c r="P54" s="5">
        <f t="shared" si="6"/>
        <v>0.23005161290322582</v>
      </c>
      <c r="Q54" s="24">
        <v>69708</v>
      </c>
      <c r="R54" s="3">
        <v>2759</v>
      </c>
      <c r="S54" s="1" t="s">
        <v>147</v>
      </c>
      <c r="T54" s="9">
        <f t="shared" si="2"/>
        <v>17743.129000000001</v>
      </c>
      <c r="U54" s="111" t="s">
        <v>148</v>
      </c>
      <c r="V54" s="1"/>
      <c r="W54" s="36"/>
      <c r="X54" s="36"/>
    </row>
    <row r="55" spans="2:24" s="58" customFormat="1" x14ac:dyDescent="0.25">
      <c r="B55" s="1" t="s">
        <v>80</v>
      </c>
      <c r="C55" s="3" t="s">
        <v>34</v>
      </c>
      <c r="D55" s="3" t="s">
        <v>49</v>
      </c>
      <c r="E55" s="4">
        <v>36831</v>
      </c>
      <c r="F55" s="4">
        <v>37195</v>
      </c>
      <c r="G55" s="1" t="s">
        <v>137</v>
      </c>
      <c r="H55" s="1" t="s">
        <v>205</v>
      </c>
      <c r="I55" s="3" t="s">
        <v>43</v>
      </c>
      <c r="J55" s="8">
        <f t="shared" si="7"/>
        <v>0.20745161290322581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1">
        <v>2.1160000000000002E-2</v>
      </c>
      <c r="P55" s="5">
        <f t="shared" si="6"/>
        <v>0.23005161290322582</v>
      </c>
      <c r="Q55" s="24">
        <v>69708</v>
      </c>
      <c r="R55" s="3">
        <v>2795</v>
      </c>
      <c r="S55" s="1" t="s">
        <v>147</v>
      </c>
      <c r="T55" s="9">
        <f t="shared" si="2"/>
        <v>17974.645</v>
      </c>
      <c r="U55" s="111" t="s">
        <v>148</v>
      </c>
      <c r="V55" s="1"/>
      <c r="W55" s="36"/>
      <c r="X55" s="36"/>
    </row>
    <row r="56" spans="2:24" s="58" customFormat="1" x14ac:dyDescent="0.25">
      <c r="B56" s="1" t="s">
        <v>80</v>
      </c>
      <c r="C56" s="3" t="s">
        <v>34</v>
      </c>
      <c r="D56" s="3" t="s">
        <v>49</v>
      </c>
      <c r="E56" s="4">
        <v>36831</v>
      </c>
      <c r="F56" s="4">
        <v>37195</v>
      </c>
      <c r="G56" s="1" t="s">
        <v>136</v>
      </c>
      <c r="H56" s="1" t="s">
        <v>205</v>
      </c>
      <c r="I56" s="3" t="s">
        <v>43</v>
      </c>
      <c r="J56" s="8">
        <f t="shared" si="7"/>
        <v>0.20745161290322581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1">
        <v>2.1160000000000002E-2</v>
      </c>
      <c r="P56" s="5">
        <f t="shared" si="6"/>
        <v>0.23005161290322582</v>
      </c>
      <c r="Q56" s="24">
        <v>69708</v>
      </c>
      <c r="R56" s="3">
        <v>3630</v>
      </c>
      <c r="S56" s="1" t="s">
        <v>147</v>
      </c>
      <c r="T56" s="9">
        <f t="shared" si="2"/>
        <v>23344.53</v>
      </c>
      <c r="U56" s="111" t="s">
        <v>148</v>
      </c>
      <c r="V56" s="1"/>
      <c r="W56" s="36"/>
      <c r="X56" s="36"/>
    </row>
    <row r="57" spans="2:24" s="58" customFormat="1" x14ac:dyDescent="0.25">
      <c r="B57" s="1" t="s">
        <v>80</v>
      </c>
      <c r="C57" s="3" t="s">
        <v>34</v>
      </c>
      <c r="D57" s="3" t="s">
        <v>40</v>
      </c>
      <c r="E57" s="4">
        <v>36831</v>
      </c>
      <c r="F57" s="4">
        <v>37195</v>
      </c>
      <c r="G57" s="1" t="s">
        <v>42</v>
      </c>
      <c r="H57" s="1" t="s">
        <v>134</v>
      </c>
      <c r="I57" s="3" t="s">
        <v>43</v>
      </c>
      <c r="J57" s="8">
        <f t="shared" si="7"/>
        <v>0.20745161290322581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1">
        <v>2.1160000000000002E-2</v>
      </c>
      <c r="P57" s="5">
        <f t="shared" si="6"/>
        <v>0.23005161290322582</v>
      </c>
      <c r="Q57" s="24">
        <v>69709</v>
      </c>
      <c r="R57" s="3">
        <v>13</v>
      </c>
      <c r="S57" s="1" t="s">
        <v>149</v>
      </c>
      <c r="T57" s="9">
        <f t="shared" si="2"/>
        <v>83.602999999999994</v>
      </c>
      <c r="U57" s="111" t="s">
        <v>150</v>
      </c>
      <c r="V57" s="1"/>
      <c r="W57" s="36"/>
      <c r="X57" s="36"/>
    </row>
    <row r="58" spans="2:24" s="58" customFormat="1" x14ac:dyDescent="0.25">
      <c r="B58" s="1" t="s">
        <v>80</v>
      </c>
      <c r="C58" s="3" t="s">
        <v>34</v>
      </c>
      <c r="D58" s="3" t="s">
        <v>40</v>
      </c>
      <c r="E58" s="4">
        <v>36831</v>
      </c>
      <c r="F58" s="4">
        <v>37195</v>
      </c>
      <c r="G58" s="1" t="s">
        <v>42</v>
      </c>
      <c r="H58" s="1" t="s">
        <v>138</v>
      </c>
      <c r="I58" s="3" t="s">
        <v>43</v>
      </c>
      <c r="J58" s="8">
        <f t="shared" si="7"/>
        <v>0.20745161290322581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1">
        <v>2.1160000000000002E-2</v>
      </c>
      <c r="P58" s="5">
        <f t="shared" si="6"/>
        <v>0.23005161290322582</v>
      </c>
      <c r="Q58" s="24">
        <v>69709</v>
      </c>
      <c r="R58" s="3">
        <v>14</v>
      </c>
      <c r="S58" s="1" t="s">
        <v>149</v>
      </c>
      <c r="T58" s="9">
        <f t="shared" si="2"/>
        <v>90.034000000000006</v>
      </c>
      <c r="U58" s="111" t="s">
        <v>150</v>
      </c>
      <c r="V58" s="1"/>
      <c r="W58" s="36"/>
      <c r="X58" s="36"/>
    </row>
    <row r="59" spans="2:24" s="58" customFormat="1" x14ac:dyDescent="0.25">
      <c r="B59" s="1" t="s">
        <v>80</v>
      </c>
      <c r="C59" s="3" t="s">
        <v>34</v>
      </c>
      <c r="D59" s="3" t="s">
        <v>40</v>
      </c>
      <c r="E59" s="4">
        <v>36831</v>
      </c>
      <c r="F59" s="4">
        <v>37195</v>
      </c>
      <c r="G59" s="1" t="s">
        <v>42</v>
      </c>
      <c r="H59" s="1" t="s">
        <v>135</v>
      </c>
      <c r="I59" s="3" t="s">
        <v>43</v>
      </c>
      <c r="J59" s="8">
        <f t="shared" si="7"/>
        <v>0.20745161290322581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1">
        <v>2.1160000000000002E-2</v>
      </c>
      <c r="P59" s="5">
        <f>SUM(J59:N59)</f>
        <v>0.23005161290322582</v>
      </c>
      <c r="Q59" s="24">
        <v>69709</v>
      </c>
      <c r="R59" s="3">
        <v>36</v>
      </c>
      <c r="S59" s="1" t="s">
        <v>149</v>
      </c>
      <c r="T59" s="9">
        <f t="shared" si="2"/>
        <v>231.51599999999999</v>
      </c>
      <c r="U59" s="111" t="s">
        <v>150</v>
      </c>
      <c r="V59" s="1"/>
      <c r="W59" s="36"/>
      <c r="X59" s="36"/>
    </row>
    <row r="60" spans="2:24" s="58" customFormat="1" x14ac:dyDescent="0.25">
      <c r="B60" s="1" t="s">
        <v>80</v>
      </c>
      <c r="C60" s="3" t="s">
        <v>34</v>
      </c>
      <c r="D60" s="3" t="s">
        <v>40</v>
      </c>
      <c r="E60" s="4">
        <v>36831</v>
      </c>
      <c r="F60" s="4">
        <v>37195</v>
      </c>
      <c r="G60" s="1" t="s">
        <v>42</v>
      </c>
      <c r="H60" s="1" t="s">
        <v>133</v>
      </c>
      <c r="I60" s="3" t="s">
        <v>43</v>
      </c>
      <c r="J60" s="8">
        <f t="shared" si="7"/>
        <v>0.20745161290322581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1">
        <v>2.1160000000000002E-2</v>
      </c>
      <c r="P60" s="5">
        <f t="shared" si="6"/>
        <v>0.23005161290322582</v>
      </c>
      <c r="Q60" s="24">
        <v>69709</v>
      </c>
      <c r="R60" s="3">
        <v>63</v>
      </c>
      <c r="S60" s="1" t="s">
        <v>149</v>
      </c>
      <c r="T60" s="9">
        <f t="shared" si="2"/>
        <v>405.15300000000002</v>
      </c>
      <c r="U60" s="111" t="s">
        <v>150</v>
      </c>
      <c r="V60" s="1"/>
      <c r="W60" s="36"/>
      <c r="X60" s="36"/>
    </row>
    <row r="61" spans="2:24" s="58" customFormat="1" x14ac:dyDescent="0.25">
      <c r="B61" s="1" t="s">
        <v>80</v>
      </c>
      <c r="C61" s="3" t="s">
        <v>34</v>
      </c>
      <c r="D61" s="3" t="s">
        <v>44</v>
      </c>
      <c r="E61" s="4">
        <v>36831</v>
      </c>
      <c r="F61" s="4">
        <v>37195</v>
      </c>
      <c r="G61" s="1" t="s">
        <v>42</v>
      </c>
      <c r="H61" s="1" t="s">
        <v>169</v>
      </c>
      <c r="I61" s="3" t="s">
        <v>43</v>
      </c>
      <c r="J61" s="8">
        <f>6.354/J$1</f>
        <v>0.20496774193548387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1">
        <v>2.1160000000000002E-2</v>
      </c>
      <c r="P61" s="5">
        <f t="shared" si="6"/>
        <v>0.22756774193548387</v>
      </c>
      <c r="Q61" s="24">
        <v>69823</v>
      </c>
      <c r="R61" s="3">
        <v>1000</v>
      </c>
      <c r="S61" s="1" t="s">
        <v>170</v>
      </c>
      <c r="T61" s="9">
        <f t="shared" si="2"/>
        <v>6354</v>
      </c>
      <c r="U61" s="111" t="s">
        <v>171</v>
      </c>
      <c r="V61" s="1"/>
      <c r="W61" s="36"/>
      <c r="X61" s="36"/>
    </row>
    <row r="62" spans="2:24" s="58" customFormat="1" x14ac:dyDescent="0.25">
      <c r="B62" s="1" t="s">
        <v>80</v>
      </c>
      <c r="C62" s="3" t="s">
        <v>34</v>
      </c>
      <c r="D62" s="3" t="s">
        <v>181</v>
      </c>
      <c r="E62" s="4">
        <v>36861</v>
      </c>
      <c r="F62" s="4">
        <v>37225</v>
      </c>
      <c r="G62" s="1" t="s">
        <v>42</v>
      </c>
      <c r="H62" s="1" t="s">
        <v>134</v>
      </c>
      <c r="I62" s="3" t="s">
        <v>43</v>
      </c>
      <c r="J62" s="8">
        <f t="shared" si="7"/>
        <v>0.20745161290322581</v>
      </c>
      <c r="K62" s="5"/>
      <c r="L62" s="5"/>
      <c r="M62" s="5"/>
      <c r="N62" s="5"/>
      <c r="O62" s="41"/>
      <c r="P62" s="5"/>
      <c r="Q62" s="24">
        <v>69948</v>
      </c>
      <c r="R62" s="3">
        <v>1</v>
      </c>
      <c r="S62" s="1" t="s">
        <v>182</v>
      </c>
      <c r="T62" s="9">
        <f>J62*J$1*R62</f>
        <v>6.431</v>
      </c>
      <c r="U62" s="111">
        <v>490966</v>
      </c>
      <c r="V62" s="1"/>
      <c r="W62" s="36"/>
      <c r="X62" s="36"/>
    </row>
    <row r="63" spans="2:24" s="58" customFormat="1" x14ac:dyDescent="0.25">
      <c r="B63" s="1" t="s">
        <v>80</v>
      </c>
      <c r="C63" s="3" t="s">
        <v>34</v>
      </c>
      <c r="D63" s="3" t="s">
        <v>181</v>
      </c>
      <c r="E63" s="4">
        <v>36861</v>
      </c>
      <c r="F63" s="4">
        <v>37225</v>
      </c>
      <c r="G63" s="1" t="s">
        <v>42</v>
      </c>
      <c r="H63" s="1" t="s">
        <v>138</v>
      </c>
      <c r="I63" s="3" t="s">
        <v>43</v>
      </c>
      <c r="J63" s="8">
        <f t="shared" si="7"/>
        <v>0.20745161290322581</v>
      </c>
      <c r="K63" s="5"/>
      <c r="L63" s="5"/>
      <c r="M63" s="5"/>
      <c r="N63" s="5"/>
      <c r="O63" s="41"/>
      <c r="P63" s="5"/>
      <c r="Q63" s="24">
        <v>69948</v>
      </c>
      <c r="R63" s="3">
        <v>1</v>
      </c>
      <c r="S63" s="1" t="s">
        <v>182</v>
      </c>
      <c r="T63" s="9">
        <f>J63*J$1*R63</f>
        <v>6.431</v>
      </c>
      <c r="U63" s="111">
        <v>490966</v>
      </c>
      <c r="V63" s="1"/>
      <c r="W63" s="36"/>
      <c r="X63" s="36"/>
    </row>
    <row r="64" spans="2:24" s="58" customFormat="1" x14ac:dyDescent="0.25">
      <c r="B64" s="1" t="s">
        <v>80</v>
      </c>
      <c r="C64" s="3" t="s">
        <v>34</v>
      </c>
      <c r="D64" s="3" t="s">
        <v>217</v>
      </c>
      <c r="E64" s="4">
        <v>36894</v>
      </c>
      <c r="F64" s="4">
        <v>37287</v>
      </c>
      <c r="G64" s="1" t="s">
        <v>42</v>
      </c>
      <c r="H64" s="1" t="s">
        <v>138</v>
      </c>
      <c r="I64" s="3" t="s">
        <v>43</v>
      </c>
      <c r="J64" s="8">
        <f t="shared" si="7"/>
        <v>0.20745161290322581</v>
      </c>
      <c r="K64" s="5"/>
      <c r="L64" s="5"/>
      <c r="M64" s="5"/>
      <c r="N64" s="5"/>
      <c r="O64" s="41"/>
      <c r="P64" s="5"/>
      <c r="Q64" s="24">
        <v>70285</v>
      </c>
      <c r="R64" s="3">
        <v>1</v>
      </c>
      <c r="S64" s="1" t="s">
        <v>218</v>
      </c>
      <c r="T64" s="9">
        <f>J64*J$1*R64</f>
        <v>6.431</v>
      </c>
      <c r="U64" s="111">
        <v>553660</v>
      </c>
      <c r="V64" s="1"/>
      <c r="W64" s="36"/>
      <c r="X64" s="36"/>
    </row>
    <row r="65" spans="2:24" s="58" customFormat="1" x14ac:dyDescent="0.25">
      <c r="B65" s="1" t="s">
        <v>80</v>
      </c>
      <c r="C65" s="3" t="s">
        <v>34</v>
      </c>
      <c r="D65" s="3" t="s">
        <v>181</v>
      </c>
      <c r="E65" s="4">
        <v>36861</v>
      </c>
      <c r="F65" s="4">
        <v>37225</v>
      </c>
      <c r="G65" s="1" t="s">
        <v>42</v>
      </c>
      <c r="H65" s="1" t="s">
        <v>135</v>
      </c>
      <c r="I65" s="3" t="s">
        <v>43</v>
      </c>
      <c r="J65" s="8">
        <f t="shared" si="7"/>
        <v>0.20745161290322581</v>
      </c>
      <c r="K65" s="5"/>
      <c r="L65" s="5"/>
      <c r="M65" s="5"/>
      <c r="N65" s="5"/>
      <c r="O65" s="41"/>
      <c r="P65" s="5"/>
      <c r="Q65" s="24">
        <v>69948</v>
      </c>
      <c r="R65" s="3">
        <v>1</v>
      </c>
      <c r="S65" s="1" t="s">
        <v>182</v>
      </c>
      <c r="T65" s="9">
        <f t="shared" si="2"/>
        <v>6.431</v>
      </c>
      <c r="U65" s="111">
        <v>490966</v>
      </c>
      <c r="V65" s="1"/>
      <c r="W65" s="36"/>
      <c r="X65" s="36"/>
    </row>
    <row r="66" spans="2:24" x14ac:dyDescent="0.25">
      <c r="T66" s="9"/>
    </row>
    <row r="67" spans="2:24" x14ac:dyDescent="0.25">
      <c r="B67" s="10" t="s">
        <v>6</v>
      </c>
      <c r="C67" s="11" t="s">
        <v>6</v>
      </c>
      <c r="D67" s="11" t="s">
        <v>6</v>
      </c>
      <c r="E67" s="13" t="s">
        <v>6</v>
      </c>
      <c r="F67" s="13" t="s">
        <v>6</v>
      </c>
      <c r="G67" s="10" t="s">
        <v>6</v>
      </c>
      <c r="H67" s="30" t="s">
        <v>6</v>
      </c>
      <c r="I67" s="11" t="s">
        <v>6</v>
      </c>
      <c r="J67" s="14"/>
      <c r="K67" s="15"/>
      <c r="L67" s="15"/>
      <c r="M67" s="15"/>
      <c r="N67" s="15"/>
      <c r="O67" s="43"/>
      <c r="P67" s="15"/>
      <c r="Q67" s="26" t="s">
        <v>6</v>
      </c>
      <c r="R67" s="11"/>
      <c r="S67" s="10" t="s">
        <v>6</v>
      </c>
      <c r="T67" s="22">
        <f>SUM(T8:T65)</f>
        <v>1183822.5706</v>
      </c>
      <c r="U67" s="53"/>
      <c r="V67" s="30"/>
      <c r="W67" s="36"/>
      <c r="X67" s="36"/>
    </row>
    <row r="68" spans="2:24" x14ac:dyDescent="0.25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28"/>
      <c r="U68" s="50"/>
      <c r="V68" s="55"/>
      <c r="W68" s="35"/>
      <c r="X68" s="35"/>
    </row>
    <row r="69" spans="2:24" x14ac:dyDescent="0.25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0"/>
      <c r="V69" s="55"/>
      <c r="W69" s="35"/>
      <c r="X69" s="35"/>
    </row>
    <row r="70" spans="2:24" ht="13.8" thickBot="1" x14ac:dyDescent="0.3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66">
        <f>SUM(T67)</f>
        <v>1183822.5706</v>
      </c>
      <c r="U70" s="50" t="s">
        <v>206</v>
      </c>
      <c r="V70" s="55"/>
      <c r="W70" s="35"/>
      <c r="X70" s="35"/>
    </row>
    <row r="71" spans="2:24" ht="13.8" thickTop="1" x14ac:dyDescent="0.25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V71" s="55"/>
      <c r="W71" s="39"/>
      <c r="X71" s="35"/>
    </row>
    <row r="72" spans="2:24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>
        <v>10000</v>
      </c>
      <c r="U72" s="97" t="s">
        <v>224</v>
      </c>
      <c r="V72" s="55"/>
      <c r="W72" s="35"/>
      <c r="X72" s="35"/>
    </row>
    <row r="73" spans="2:24" x14ac:dyDescent="0.25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/>
      <c r="U73" s="50"/>
      <c r="V73" s="55"/>
      <c r="W73" s="35"/>
      <c r="X73" s="35"/>
    </row>
    <row r="74" spans="2:24" x14ac:dyDescent="0.25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47"/>
      <c r="R74" s="48"/>
      <c r="S74" s="39"/>
      <c r="T74" s="28"/>
      <c r="U74" s="50"/>
      <c r="V74" s="55"/>
      <c r="W74" s="35"/>
      <c r="X74" s="35"/>
    </row>
    <row r="75" spans="2:24" x14ac:dyDescent="0.25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50"/>
      <c r="V75" s="55"/>
      <c r="W75" s="35"/>
      <c r="X75" s="35"/>
    </row>
    <row r="76" spans="2:24" x14ac:dyDescent="0.25">
      <c r="Q76" s="34"/>
      <c r="R76" s="34"/>
      <c r="S76" s="34"/>
      <c r="T76" s="34"/>
      <c r="U76" s="49"/>
      <c r="V76" s="57"/>
      <c r="W76" s="49"/>
    </row>
    <row r="77" spans="2:24" x14ac:dyDescent="0.25">
      <c r="Q77" s="34"/>
      <c r="R77" s="34"/>
      <c r="S77" s="34"/>
      <c r="T77" s="34"/>
      <c r="U77" s="49"/>
      <c r="V77" s="57"/>
      <c r="W77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3rd Party Deals</vt:lpstr>
      <vt:lpstr>Spot wENA</vt:lpstr>
      <vt:lpstr>CGAS</vt:lpstr>
      <vt:lpstr>Pricing</vt:lpstr>
      <vt:lpstr>NEW Retail East</vt:lpstr>
      <vt:lpstr>New Retail Mrkt</vt:lpstr>
      <vt:lpstr>'NEW Retail East'!Print_Area</vt:lpstr>
      <vt:lpstr>'New Retail Mrkt'!Print_Area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2000-12-07T17:26:11Z</cp:lastPrinted>
  <dcterms:created xsi:type="dcterms:W3CDTF">1998-07-21T12:15:25Z</dcterms:created>
  <dcterms:modified xsi:type="dcterms:W3CDTF">2023-09-10T12:07:24Z</dcterms:modified>
</cp:coreProperties>
</file>