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412" yWindow="156" windowWidth="8676" windowHeight="7932" tabRatio="602" activeTab="3"/>
  </bookViews>
  <sheets>
    <sheet name="Pricing Notes" sheetId="24" r:id="rId1"/>
    <sheet name="CGAS" sheetId="22" r:id="rId2"/>
    <sheet name="Pricing" sheetId="21" r:id="rId3"/>
    <sheet name="CES Retail East" sheetId="25" r:id="rId4"/>
    <sheet name="CES Retail Mrkt" sheetId="19" r:id="rId5"/>
    <sheet name="Sheet1" sheetId="28" r:id="rId6"/>
    <sheet name="Sheet2" sheetId="29" r:id="rId7"/>
  </sheets>
  <definedNames>
    <definedName name="_xlnm.Print_Area" localSheetId="3">'CES Retail East'!$A$1:$AC$93</definedName>
    <definedName name="_xlnm.Print_Area" localSheetId="4">'CES Retail Mrkt'!$A$18:$W$67</definedName>
    <definedName name="_xlnm.Print_Area" localSheetId="0">'Pricing Notes'!$A$1:$N$72</definedName>
    <definedName name="_xlnm.Print_Titles" localSheetId="5">Sheet1!$1:$1</definedName>
    <definedName name="TABLE" localSheetId="5">Sheet1!$B$2:$Q$78</definedName>
    <definedName name="TABLE_2" localSheetId="5">Sheet1!$B$2:$Q$78</definedName>
  </definedNames>
  <calcPr calcId="0" fullCalcOnLoad="1" iterate="1" iterateCount="20" iterateDelta="0.01"/>
</workbook>
</file>

<file path=xl/calcChain.xml><?xml version="1.0" encoding="utf-8"?>
<calcChain xmlns="http://schemas.openxmlformats.org/spreadsheetml/2006/main">
  <c r="W11" i="25" l="1"/>
  <c r="J12" i="25"/>
  <c r="P12" i="25"/>
  <c r="T12" i="25"/>
  <c r="J13" i="25"/>
  <c r="P13" i="25"/>
  <c r="T13" i="25"/>
  <c r="J14" i="25"/>
  <c r="P14" i="25"/>
  <c r="T14" i="25"/>
  <c r="J15" i="25"/>
  <c r="P15" i="25"/>
  <c r="T15" i="25"/>
  <c r="J16" i="25"/>
  <c r="P16" i="25"/>
  <c r="T16" i="25"/>
  <c r="J17" i="25"/>
  <c r="P17" i="25"/>
  <c r="T17" i="25"/>
  <c r="J18" i="25"/>
  <c r="P18" i="25"/>
  <c r="T18" i="25"/>
  <c r="J19" i="25"/>
  <c r="T19" i="25"/>
  <c r="J20" i="25"/>
  <c r="T20" i="25"/>
  <c r="J21" i="25"/>
  <c r="T21" i="25"/>
  <c r="J22" i="25"/>
  <c r="T22" i="25"/>
  <c r="J23" i="25"/>
  <c r="T23" i="25"/>
  <c r="J24" i="25"/>
  <c r="T24" i="25"/>
  <c r="J25" i="25"/>
  <c r="T25" i="25"/>
  <c r="J26" i="25"/>
  <c r="T26" i="25"/>
  <c r="J27" i="25"/>
  <c r="T27" i="25"/>
  <c r="R30" i="25"/>
  <c r="T30" i="25"/>
  <c r="W31" i="25"/>
  <c r="P32" i="25"/>
  <c r="T32" i="25"/>
  <c r="J33" i="25"/>
  <c r="P33" i="25"/>
  <c r="T33" i="25"/>
  <c r="P34" i="25"/>
  <c r="T34" i="25"/>
  <c r="J35" i="25"/>
  <c r="P35" i="25"/>
  <c r="T35" i="25"/>
  <c r="J36" i="25"/>
  <c r="T36" i="25"/>
  <c r="J38" i="25"/>
  <c r="J39" i="25"/>
  <c r="T39" i="25"/>
  <c r="J40" i="25"/>
  <c r="J41" i="25"/>
  <c r="T41" i="25"/>
  <c r="J42" i="25"/>
  <c r="R42" i="25"/>
  <c r="T42" i="25"/>
  <c r="T44" i="25"/>
  <c r="W45" i="25"/>
  <c r="J46" i="25"/>
  <c r="P46" i="25"/>
  <c r="T46" i="25"/>
  <c r="J47" i="25"/>
  <c r="P47" i="25"/>
  <c r="T47" i="25"/>
  <c r="J48" i="25"/>
  <c r="P48" i="25"/>
  <c r="T48" i="25"/>
  <c r="J49" i="25"/>
  <c r="P49" i="25"/>
  <c r="T49" i="25"/>
  <c r="T50" i="25"/>
  <c r="J51" i="25"/>
  <c r="T51" i="25"/>
  <c r="T52" i="25"/>
  <c r="J53" i="25"/>
  <c r="T53" i="25"/>
  <c r="T54" i="25"/>
  <c r="T55" i="25"/>
  <c r="T56" i="25"/>
  <c r="T57" i="25"/>
  <c r="T59" i="25"/>
  <c r="W62" i="25"/>
  <c r="P63" i="25"/>
  <c r="T63" i="25"/>
  <c r="P64" i="25"/>
  <c r="T64" i="25"/>
  <c r="R65" i="25"/>
  <c r="T65" i="25"/>
  <c r="W66" i="25"/>
  <c r="J67" i="25"/>
  <c r="P67" i="25"/>
  <c r="T67" i="25"/>
  <c r="J68" i="25"/>
  <c r="P68" i="25"/>
  <c r="Q68" i="25"/>
  <c r="S68" i="25"/>
  <c r="T68" i="25"/>
  <c r="V68" i="25"/>
  <c r="J69" i="25"/>
  <c r="P69" i="25"/>
  <c r="Q69" i="25"/>
  <c r="R69" i="25"/>
  <c r="S69" i="25"/>
  <c r="T69" i="25"/>
  <c r="V69" i="25"/>
  <c r="J70" i="25"/>
  <c r="P70" i="25"/>
  <c r="T70" i="25"/>
  <c r="J71" i="25"/>
  <c r="P71" i="25"/>
  <c r="Q71" i="25"/>
  <c r="S71" i="25"/>
  <c r="T71" i="25"/>
  <c r="J72" i="25"/>
  <c r="P72" i="25"/>
  <c r="Q72" i="25"/>
  <c r="R72" i="25"/>
  <c r="S72" i="25"/>
  <c r="T72" i="25"/>
  <c r="J73" i="25"/>
  <c r="P73" i="25"/>
  <c r="T73" i="25"/>
  <c r="J74" i="25"/>
  <c r="P74" i="25"/>
  <c r="Q74" i="25"/>
  <c r="S74" i="25"/>
  <c r="T74" i="25"/>
  <c r="J75" i="25"/>
  <c r="P75" i="25"/>
  <c r="Q75" i="25"/>
  <c r="R75" i="25"/>
  <c r="S75" i="25"/>
  <c r="T75" i="25"/>
  <c r="J76" i="25"/>
  <c r="P76" i="25"/>
  <c r="T76" i="25"/>
  <c r="J77" i="25"/>
  <c r="P77" i="25"/>
  <c r="T77" i="25"/>
  <c r="J78" i="25"/>
  <c r="P78" i="25"/>
  <c r="T78" i="25"/>
  <c r="J79" i="25"/>
  <c r="P79" i="25"/>
  <c r="Q79" i="25"/>
  <c r="S79" i="25"/>
  <c r="T79" i="25"/>
  <c r="V79" i="25"/>
  <c r="J80" i="25"/>
  <c r="P80" i="25"/>
  <c r="Q80" i="25"/>
  <c r="R80" i="25"/>
  <c r="S80" i="25"/>
  <c r="T80" i="25"/>
  <c r="V80" i="25"/>
  <c r="P81" i="25"/>
  <c r="T81" i="25"/>
  <c r="P82" i="25"/>
  <c r="T82" i="25"/>
  <c r="P83" i="25"/>
  <c r="T83" i="25"/>
  <c r="P84" i="25"/>
  <c r="T84" i="25"/>
  <c r="P85" i="25"/>
  <c r="T85" i="25"/>
  <c r="P86" i="25"/>
  <c r="T86" i="25"/>
  <c r="P87" i="25"/>
  <c r="T87" i="25"/>
  <c r="P88" i="25"/>
  <c r="T88" i="25"/>
  <c r="T89" i="25"/>
  <c r="T92" i="25"/>
  <c r="T13" i="19"/>
  <c r="T14" i="19"/>
  <c r="T15" i="19"/>
  <c r="T16" i="19"/>
  <c r="R17" i="19"/>
  <c r="T17" i="19"/>
  <c r="W18" i="19"/>
  <c r="J19" i="19"/>
  <c r="P19" i="19"/>
  <c r="J20" i="19"/>
  <c r="P20" i="19"/>
  <c r="J21" i="19"/>
  <c r="P21" i="19"/>
  <c r="T21" i="19"/>
  <c r="J22" i="19"/>
  <c r="P22" i="19"/>
  <c r="T22" i="19"/>
  <c r="J23" i="19"/>
  <c r="P23" i="19"/>
  <c r="T23" i="19"/>
  <c r="J24" i="19"/>
  <c r="P24" i="19"/>
  <c r="T24" i="19"/>
  <c r="J25" i="19"/>
  <c r="P25" i="19"/>
  <c r="T25" i="19"/>
  <c r="J26" i="19"/>
  <c r="P26" i="19"/>
  <c r="T26" i="19"/>
  <c r="J27" i="19"/>
  <c r="P27" i="19"/>
  <c r="T27" i="19"/>
  <c r="J28" i="19"/>
  <c r="P28" i="19"/>
  <c r="T28" i="19"/>
  <c r="P29" i="19"/>
  <c r="T29" i="19"/>
  <c r="P30" i="19"/>
  <c r="T30" i="19"/>
  <c r="P31" i="19"/>
  <c r="T31" i="19"/>
  <c r="P32" i="19"/>
  <c r="T32" i="19"/>
  <c r="J33" i="19"/>
  <c r="P33" i="19"/>
  <c r="T33" i="19"/>
  <c r="J34" i="19"/>
  <c r="P34" i="19"/>
  <c r="T34" i="19"/>
  <c r="J35" i="19"/>
  <c r="P35" i="19"/>
  <c r="T35" i="19"/>
  <c r="J36" i="19"/>
  <c r="P36" i="19"/>
  <c r="T36" i="19"/>
  <c r="J37" i="19"/>
  <c r="P37" i="19"/>
  <c r="T37" i="19"/>
  <c r="J38" i="19"/>
  <c r="P38" i="19"/>
  <c r="T38" i="19"/>
  <c r="J39" i="19"/>
  <c r="P39" i="19"/>
  <c r="T39" i="19"/>
  <c r="J40" i="19"/>
  <c r="P40" i="19"/>
  <c r="T40" i="19"/>
  <c r="J41" i="19"/>
  <c r="P41" i="19"/>
  <c r="T41" i="19"/>
  <c r="J42" i="19"/>
  <c r="P42" i="19"/>
  <c r="T42" i="19"/>
  <c r="J43" i="19"/>
  <c r="P43" i="19"/>
  <c r="T43" i="19"/>
  <c r="J44" i="19"/>
  <c r="P44" i="19"/>
  <c r="T44" i="19"/>
  <c r="J45" i="19"/>
  <c r="P45" i="19"/>
  <c r="T45" i="19"/>
  <c r="J46" i="19"/>
  <c r="P46" i="19"/>
  <c r="T46" i="19"/>
  <c r="J47" i="19"/>
  <c r="T47" i="19"/>
  <c r="J48" i="19"/>
  <c r="P48" i="19"/>
  <c r="T48" i="19"/>
  <c r="J49" i="19"/>
  <c r="P49" i="19"/>
  <c r="T49" i="19"/>
  <c r="J50" i="19"/>
  <c r="T50" i="19"/>
  <c r="J51" i="19"/>
  <c r="T51" i="19"/>
  <c r="T52" i="19"/>
  <c r="T53" i="19"/>
  <c r="J54" i="19"/>
  <c r="P54" i="19"/>
  <c r="T54" i="19"/>
  <c r="T56" i="19"/>
  <c r="T57" i="19"/>
  <c r="T58" i="19"/>
  <c r="T59" i="19"/>
  <c r="T60" i="19"/>
  <c r="T61" i="19"/>
  <c r="J62" i="19"/>
  <c r="T62" i="19"/>
  <c r="T64" i="19"/>
  <c r="T65" i="19"/>
  <c r="T66" i="19"/>
  <c r="T67" i="19"/>
  <c r="R68" i="19"/>
  <c r="T68" i="19"/>
  <c r="U68" i="19"/>
  <c r="W69" i="19"/>
  <c r="J70" i="19"/>
  <c r="P70" i="19"/>
  <c r="T70" i="19"/>
  <c r="T71" i="19"/>
  <c r="T74" i="19"/>
  <c r="F6" i="22"/>
  <c r="I6" i="22"/>
  <c r="K6" i="22"/>
  <c r="O6" i="22"/>
  <c r="Q6" i="22"/>
  <c r="S6" i="22"/>
  <c r="V6" i="22"/>
  <c r="A7" i="22"/>
  <c r="D7" i="22"/>
  <c r="F7" i="22"/>
  <c r="I7" i="22"/>
  <c r="K7" i="22"/>
  <c r="O7" i="22"/>
  <c r="P7" i="22"/>
  <c r="Q7" i="22"/>
  <c r="S7" i="22"/>
  <c r="V7" i="22"/>
  <c r="A8" i="22"/>
  <c r="D8" i="22"/>
  <c r="F8" i="22"/>
  <c r="I8" i="22"/>
  <c r="K8" i="22"/>
  <c r="O8" i="22"/>
  <c r="P8" i="22"/>
  <c r="Q8" i="22"/>
  <c r="S8" i="22"/>
  <c r="V8" i="22"/>
  <c r="A9" i="22"/>
  <c r="D9" i="22"/>
  <c r="F9" i="22"/>
  <c r="I9" i="22"/>
  <c r="K9" i="22"/>
  <c r="O9" i="22"/>
  <c r="P9" i="22"/>
  <c r="Q9" i="22"/>
  <c r="S9" i="22"/>
  <c r="V9" i="22"/>
  <c r="A10" i="22"/>
  <c r="D10" i="22"/>
  <c r="F10" i="22"/>
  <c r="I10" i="22"/>
  <c r="K10" i="22"/>
  <c r="O10" i="22"/>
  <c r="P10" i="22"/>
  <c r="Q10" i="22"/>
  <c r="S10" i="22"/>
  <c r="V10" i="22"/>
  <c r="A11" i="22"/>
  <c r="F11" i="22"/>
  <c r="I11" i="22"/>
  <c r="K11" i="22"/>
  <c r="O11" i="22"/>
  <c r="P11" i="22"/>
  <c r="Q11" i="22"/>
  <c r="S11" i="22"/>
  <c r="V11" i="22"/>
  <c r="A12" i="22"/>
  <c r="B12" i="22"/>
  <c r="C12" i="22"/>
  <c r="D12" i="22"/>
  <c r="F12" i="22"/>
  <c r="H12" i="22"/>
  <c r="I12" i="22"/>
  <c r="K12" i="22"/>
  <c r="O12" i="22"/>
  <c r="P12" i="22"/>
  <c r="Q12" i="22"/>
  <c r="S12" i="22"/>
  <c r="V12" i="22"/>
  <c r="A13" i="22"/>
  <c r="B13" i="22"/>
  <c r="C13" i="22"/>
  <c r="D13" i="22"/>
  <c r="F13" i="22"/>
  <c r="H13" i="22"/>
  <c r="I13" i="22"/>
  <c r="K13" i="22"/>
  <c r="O13" i="22"/>
  <c r="P13" i="22"/>
  <c r="Q13" i="22"/>
  <c r="S13" i="22"/>
  <c r="V13" i="22"/>
  <c r="A14" i="22"/>
  <c r="B14" i="22"/>
  <c r="C14" i="22"/>
  <c r="D14" i="22"/>
  <c r="F14" i="22"/>
  <c r="H14" i="22"/>
  <c r="I14" i="22"/>
  <c r="K14" i="22"/>
  <c r="O14" i="22"/>
  <c r="P14" i="22"/>
  <c r="Q14" i="22"/>
  <c r="S14" i="22"/>
  <c r="V14" i="22"/>
  <c r="A15" i="22"/>
  <c r="B15" i="22"/>
  <c r="C15" i="22"/>
  <c r="D15" i="22"/>
  <c r="F15" i="22"/>
  <c r="H15" i="22"/>
  <c r="I15" i="22"/>
  <c r="K15" i="22"/>
  <c r="O15" i="22"/>
  <c r="P15" i="22"/>
  <c r="Q15" i="22"/>
  <c r="S15" i="22"/>
  <c r="V15" i="22"/>
  <c r="A16" i="22"/>
  <c r="B16" i="22"/>
  <c r="C16" i="22"/>
  <c r="D16" i="22"/>
  <c r="F16" i="22"/>
  <c r="H16" i="22"/>
  <c r="I16" i="22"/>
  <c r="K16" i="22"/>
  <c r="O16" i="22"/>
  <c r="P16" i="22"/>
  <c r="Q16" i="22"/>
  <c r="S16" i="22"/>
  <c r="V16" i="22"/>
  <c r="A17" i="22"/>
  <c r="B17" i="22"/>
  <c r="C17" i="22"/>
  <c r="D17" i="22"/>
  <c r="F17" i="22"/>
  <c r="H17" i="22"/>
  <c r="I17" i="22"/>
  <c r="K17" i="22"/>
  <c r="O17" i="22"/>
  <c r="P17" i="22"/>
  <c r="Q17" i="22"/>
  <c r="S17" i="22"/>
  <c r="V17" i="22"/>
  <c r="A18" i="22"/>
  <c r="B18" i="22"/>
  <c r="C18" i="22"/>
  <c r="D18" i="22"/>
  <c r="F18" i="22"/>
  <c r="H18" i="22"/>
  <c r="I18" i="22"/>
  <c r="K18" i="22"/>
  <c r="O18" i="22"/>
  <c r="P18" i="22"/>
  <c r="Q18" i="22"/>
  <c r="S18" i="22"/>
  <c r="V18" i="22"/>
  <c r="A19" i="22"/>
  <c r="B19" i="22"/>
  <c r="C19" i="22"/>
  <c r="D19" i="22"/>
  <c r="F19" i="22"/>
  <c r="H19" i="22"/>
  <c r="I19" i="22"/>
  <c r="K19" i="22"/>
  <c r="O19" i="22"/>
  <c r="P19" i="22"/>
  <c r="Q19" i="22"/>
  <c r="S19" i="22"/>
  <c r="V19" i="22"/>
  <c r="A20" i="22"/>
  <c r="B20" i="22"/>
  <c r="C20" i="22"/>
  <c r="D20" i="22"/>
  <c r="F20" i="22"/>
  <c r="H20" i="22"/>
  <c r="I20" i="22"/>
  <c r="K20" i="22"/>
  <c r="O20" i="22"/>
  <c r="P20" i="22"/>
  <c r="Q20" i="22"/>
  <c r="S20" i="22"/>
  <c r="V20" i="22"/>
  <c r="A21" i="22"/>
  <c r="B21" i="22"/>
  <c r="C21" i="22"/>
  <c r="D21" i="22"/>
  <c r="F21" i="22"/>
  <c r="H21" i="22"/>
  <c r="I21" i="22"/>
  <c r="K21" i="22"/>
  <c r="O21" i="22"/>
  <c r="P21" i="22"/>
  <c r="Q21" i="22"/>
  <c r="S21" i="22"/>
  <c r="V21" i="22"/>
  <c r="A22" i="22"/>
  <c r="B22" i="22"/>
  <c r="C22" i="22"/>
  <c r="D22" i="22"/>
  <c r="F22" i="22"/>
  <c r="H22" i="22"/>
  <c r="I22" i="22"/>
  <c r="K22" i="22"/>
  <c r="O22" i="22"/>
  <c r="P22" i="22"/>
  <c r="Q22" i="22"/>
  <c r="S22" i="22"/>
  <c r="V22" i="22"/>
  <c r="A23" i="22"/>
  <c r="B23" i="22"/>
  <c r="C23" i="22"/>
  <c r="D23" i="22"/>
  <c r="F23" i="22"/>
  <c r="H23" i="22"/>
  <c r="I23" i="22"/>
  <c r="K23" i="22"/>
  <c r="O23" i="22"/>
  <c r="P23" i="22"/>
  <c r="Q23" i="22"/>
  <c r="S23" i="22"/>
  <c r="V23" i="22"/>
  <c r="A24" i="22"/>
  <c r="B24" i="22"/>
  <c r="C24" i="22"/>
  <c r="D24" i="22"/>
  <c r="F24" i="22"/>
  <c r="H24" i="22"/>
  <c r="I24" i="22"/>
  <c r="K24" i="22"/>
  <c r="O24" i="22"/>
  <c r="P24" i="22"/>
  <c r="Q24" i="22"/>
  <c r="S24" i="22"/>
  <c r="V24" i="22"/>
  <c r="A25" i="22"/>
  <c r="B25" i="22"/>
  <c r="C25" i="22"/>
  <c r="D25" i="22"/>
  <c r="F25" i="22"/>
  <c r="H25" i="22"/>
  <c r="I25" i="22"/>
  <c r="K25" i="22"/>
  <c r="O25" i="22"/>
  <c r="P25" i="22"/>
  <c r="Q25" i="22"/>
  <c r="S25" i="22"/>
  <c r="V25" i="22"/>
  <c r="A26" i="22"/>
  <c r="B26" i="22"/>
  <c r="C26" i="22"/>
  <c r="D26" i="22"/>
  <c r="F26" i="22"/>
  <c r="H26" i="22"/>
  <c r="I26" i="22"/>
  <c r="K26" i="22"/>
  <c r="O26" i="22"/>
  <c r="P26" i="22"/>
  <c r="Q26" i="22"/>
  <c r="S26" i="22"/>
  <c r="V26" i="22"/>
  <c r="A27" i="22"/>
  <c r="B27" i="22"/>
  <c r="C27" i="22"/>
  <c r="D27" i="22"/>
  <c r="F27" i="22"/>
  <c r="H27" i="22"/>
  <c r="I27" i="22"/>
  <c r="K27" i="22"/>
  <c r="O27" i="22"/>
  <c r="P27" i="22"/>
  <c r="Q27" i="22"/>
  <c r="S27" i="22"/>
  <c r="V27" i="22"/>
  <c r="A28" i="22"/>
  <c r="B28" i="22"/>
  <c r="C28" i="22"/>
  <c r="D28" i="22"/>
  <c r="F28" i="22"/>
  <c r="H28" i="22"/>
  <c r="I28" i="22"/>
  <c r="K28" i="22"/>
  <c r="O28" i="22"/>
  <c r="P28" i="22"/>
  <c r="Q28" i="22"/>
  <c r="S28" i="22"/>
  <c r="V28" i="22"/>
  <c r="A29" i="22"/>
  <c r="B29" i="22"/>
  <c r="C29" i="22"/>
  <c r="D29" i="22"/>
  <c r="F29" i="22"/>
  <c r="H29" i="22"/>
  <c r="I29" i="22"/>
  <c r="K29" i="22"/>
  <c r="O29" i="22"/>
  <c r="P29" i="22"/>
  <c r="Q29" i="22"/>
  <c r="S29" i="22"/>
  <c r="V29" i="22"/>
  <c r="A30" i="22"/>
  <c r="B30" i="22"/>
  <c r="C30" i="22"/>
  <c r="D30" i="22"/>
  <c r="F30" i="22"/>
  <c r="H30" i="22"/>
  <c r="I30" i="22"/>
  <c r="K30" i="22"/>
  <c r="O30" i="22"/>
  <c r="P30" i="22"/>
  <c r="Q30" i="22"/>
  <c r="S30" i="22"/>
  <c r="V30" i="22"/>
  <c r="Z30" i="22"/>
  <c r="A31" i="22"/>
  <c r="B31" i="22"/>
  <c r="C31" i="22"/>
  <c r="D31" i="22"/>
  <c r="F31" i="22"/>
  <c r="H31" i="22"/>
  <c r="I31" i="22"/>
  <c r="K31" i="22"/>
  <c r="O31" i="22"/>
  <c r="P31" i="22"/>
  <c r="Q31" i="22"/>
  <c r="S31" i="22"/>
  <c r="V31" i="22"/>
  <c r="Z31" i="22"/>
  <c r="A32" i="22"/>
  <c r="B32" i="22"/>
  <c r="C32" i="22"/>
  <c r="D32" i="22"/>
  <c r="F32" i="22"/>
  <c r="H32" i="22"/>
  <c r="I32" i="22"/>
  <c r="K32" i="22"/>
  <c r="O32" i="22"/>
  <c r="P32" i="22"/>
  <c r="Q32" i="22"/>
  <c r="S32" i="22"/>
  <c r="V32" i="22"/>
  <c r="Z32" i="22"/>
  <c r="A33" i="22"/>
  <c r="B33" i="22"/>
  <c r="C33" i="22"/>
  <c r="D33" i="22"/>
  <c r="F33" i="22"/>
  <c r="H33" i="22"/>
  <c r="I33" i="22"/>
  <c r="K33" i="22"/>
  <c r="O33" i="22"/>
  <c r="P33" i="22"/>
  <c r="Q33" i="22"/>
  <c r="S33" i="22"/>
  <c r="V33" i="22"/>
  <c r="Z33" i="22"/>
  <c r="A34" i="22"/>
  <c r="B34" i="22"/>
  <c r="C34" i="22"/>
  <c r="D34" i="22"/>
  <c r="F34" i="22"/>
  <c r="H34" i="22"/>
  <c r="I34" i="22"/>
  <c r="K34" i="22"/>
  <c r="O34" i="22"/>
  <c r="P34" i="22"/>
  <c r="Q34" i="22"/>
  <c r="S34" i="22"/>
  <c r="V34" i="22"/>
  <c r="Z34" i="22"/>
  <c r="A35" i="22"/>
  <c r="B35" i="22"/>
  <c r="C35" i="22"/>
  <c r="D35" i="22"/>
  <c r="F35" i="22"/>
  <c r="H35" i="22"/>
  <c r="I35" i="22"/>
  <c r="K35" i="22"/>
  <c r="O35" i="22"/>
  <c r="P35" i="22"/>
  <c r="Q35" i="22"/>
  <c r="S35" i="22"/>
  <c r="V35" i="22"/>
  <c r="Z35" i="22"/>
  <c r="A36" i="22"/>
  <c r="B36" i="22"/>
  <c r="C36" i="22"/>
  <c r="D36" i="22"/>
  <c r="F36" i="22"/>
  <c r="H36" i="22"/>
  <c r="I36" i="22"/>
  <c r="K36" i="22"/>
  <c r="O36" i="22"/>
  <c r="P36" i="22"/>
  <c r="Q36" i="22"/>
  <c r="S36" i="22"/>
  <c r="V36" i="22"/>
  <c r="Z36" i="22"/>
  <c r="B38" i="22"/>
  <c r="C38" i="22"/>
  <c r="D38" i="22"/>
  <c r="F38" i="22"/>
  <c r="H38" i="22"/>
  <c r="I38" i="22"/>
  <c r="K38" i="22"/>
  <c r="M38" i="22"/>
  <c r="O38" i="22"/>
  <c r="P38" i="22"/>
  <c r="Q38" i="22"/>
  <c r="S38" i="22"/>
  <c r="V38" i="22"/>
  <c r="X38" i="22"/>
  <c r="Z38" i="22"/>
  <c r="X41" i="22"/>
  <c r="C8" i="21"/>
  <c r="E8" i="21"/>
  <c r="C9" i="21"/>
  <c r="E9" i="21"/>
  <c r="I18" i="21"/>
  <c r="I22" i="21"/>
  <c r="C23" i="21"/>
  <c r="E23" i="21"/>
  <c r="I23" i="21"/>
  <c r="C24" i="21"/>
  <c r="E25" i="21"/>
  <c r="D35" i="21"/>
  <c r="C36" i="21"/>
  <c r="C37" i="21"/>
  <c r="C54" i="21"/>
  <c r="E54" i="21"/>
  <c r="G54" i="21"/>
  <c r="C56" i="21"/>
  <c r="E56" i="21"/>
  <c r="G56" i="21"/>
  <c r="E71" i="21"/>
  <c r="C76" i="21"/>
  <c r="E76" i="21"/>
  <c r="C77" i="21"/>
  <c r="E77" i="21"/>
  <c r="C88" i="21"/>
  <c r="E88" i="21"/>
  <c r="C89" i="21"/>
  <c r="E89" i="21"/>
  <c r="C100" i="21"/>
  <c r="C101" i="21"/>
  <c r="C110" i="21"/>
  <c r="C111" i="21"/>
  <c r="C129" i="21"/>
  <c r="C130" i="21"/>
  <c r="C140" i="21"/>
  <c r="C141" i="21"/>
  <c r="C151" i="21"/>
  <c r="K151" i="21"/>
  <c r="C152" i="21"/>
  <c r="K152" i="21"/>
  <c r="C174" i="21"/>
  <c r="C175" i="21"/>
  <c r="C188" i="21"/>
  <c r="C189" i="21"/>
  <c r="C196" i="21"/>
  <c r="C198" i="21"/>
  <c r="C199" i="21"/>
  <c r="I18" i="24"/>
  <c r="H40" i="24"/>
  <c r="E44" i="24"/>
  <c r="F44" i="24"/>
  <c r="H44" i="24"/>
  <c r="I44" i="24"/>
  <c r="E48" i="24"/>
  <c r="F48" i="24"/>
  <c r="H48" i="24"/>
  <c r="I48" i="24"/>
  <c r="E56" i="24"/>
  <c r="F56" i="24"/>
  <c r="H56" i="24"/>
  <c r="I56" i="24"/>
</calcChain>
</file>

<file path=xl/sharedStrings.xml><?xml version="1.0" encoding="utf-8"?>
<sst xmlns="http://schemas.openxmlformats.org/spreadsheetml/2006/main" count="1824" uniqueCount="409">
  <si>
    <t>#020933</t>
  </si>
  <si>
    <t>#20933</t>
  </si>
  <si>
    <t>#29635</t>
  </si>
  <si>
    <t>#29637</t>
  </si>
  <si>
    <t>#29638</t>
  </si>
  <si>
    <t>#29636</t>
  </si>
  <si>
    <t> TCO</t>
  </si>
  <si>
    <t>IPP</t>
  </si>
  <si>
    <t> </t>
  </si>
  <si>
    <t>SIT</t>
  </si>
  <si>
    <t>IGS</t>
  </si>
  <si>
    <t>ITS</t>
  </si>
  <si>
    <t>KOT</t>
  </si>
  <si>
    <t>PAL</t>
  </si>
  <si>
    <t>LEND</t>
  </si>
  <si>
    <t> COLUMBIA GULF</t>
  </si>
  <si>
    <t>FTS2</t>
  </si>
  <si>
    <t>ITS2</t>
  </si>
  <si>
    <t>FTS1</t>
  </si>
  <si>
    <t>ITS1</t>
  </si>
  <si>
    <t>TSP</t>
  </si>
  <si>
    <t>Svc Contract</t>
  </si>
  <si>
    <t>Rate</t>
  </si>
  <si>
    <t>Park/Lend</t>
  </si>
  <si>
    <t>OPT</t>
  </si>
  <si>
    <t>Term Start</t>
  </si>
  <si>
    <t>Term end</t>
  </si>
  <si>
    <t>Offer</t>
  </si>
  <si>
    <t>MDQ</t>
  </si>
  <si>
    <t>SCQ</t>
  </si>
  <si>
    <t>Available MDQ</t>
  </si>
  <si>
    <t>Released</t>
  </si>
  <si>
    <t>Recall</t>
  </si>
  <si>
    <t>#28332</t>
  </si>
  <si>
    <t>Demand</t>
  </si>
  <si>
    <t>Transco</t>
  </si>
  <si>
    <t>Tenn</t>
  </si>
  <si>
    <t xml:space="preserve"> </t>
  </si>
  <si>
    <t>buy/sell</t>
  </si>
  <si>
    <t>pipe</t>
  </si>
  <si>
    <t>customer</t>
  </si>
  <si>
    <t>dates</t>
  </si>
  <si>
    <t>rec</t>
  </si>
  <si>
    <t>del</t>
  </si>
  <si>
    <t>dem</t>
  </si>
  <si>
    <t>com</t>
  </si>
  <si>
    <t>aca</t>
  </si>
  <si>
    <t>gri</t>
  </si>
  <si>
    <t>s/c</t>
  </si>
  <si>
    <t>fuel %</t>
  </si>
  <si>
    <t>total</t>
  </si>
  <si>
    <t>vol</t>
  </si>
  <si>
    <t>comment</t>
  </si>
  <si>
    <t>Days</t>
  </si>
  <si>
    <t>FT-1</t>
  </si>
  <si>
    <t>M3</t>
  </si>
  <si>
    <t>CNG</t>
  </si>
  <si>
    <t>max demand</t>
  </si>
  <si>
    <t>Leach</t>
  </si>
  <si>
    <t>Algonquin</t>
  </si>
  <si>
    <t>St 30</t>
  </si>
  <si>
    <t>Items have been checked</t>
  </si>
  <si>
    <t>Need to verify</t>
  </si>
  <si>
    <t>CES</t>
  </si>
  <si>
    <t>Col Gulf</t>
  </si>
  <si>
    <t>Rayne</t>
  </si>
  <si>
    <t>CES Contact:  John Hodge 713-693-2801</t>
  </si>
  <si>
    <t>ENA Structuring Contact:  Mark Breese 3-6751</t>
  </si>
  <si>
    <t>Comments:</t>
  </si>
  <si>
    <t>Questions</t>
  </si>
  <si>
    <t>Commodity and fuel  on sheet looks like CGAS .  CGLF rate and fuel is $.017 and 2.988%</t>
  </si>
  <si>
    <t>Bought to serve retail requirements, feeds K#65026</t>
  </si>
  <si>
    <t>Col Gas</t>
  </si>
  <si>
    <t>CPA</t>
  </si>
  <si>
    <t>CMD</t>
  </si>
  <si>
    <t>Act Demand</t>
  </si>
  <si>
    <t>Est Demand</t>
  </si>
  <si>
    <t>Type</t>
  </si>
  <si>
    <t>CES / CMD</t>
  </si>
  <si>
    <t>CES / CVA</t>
  </si>
  <si>
    <t>801 - Leach</t>
  </si>
  <si>
    <t>FTS</t>
  </si>
  <si>
    <t>CMD-08</t>
  </si>
  <si>
    <t>CGV-30</t>
  </si>
  <si>
    <t>CMD-08, CMD-04</t>
  </si>
  <si>
    <t>CES / COH</t>
  </si>
  <si>
    <t>STOW</t>
  </si>
  <si>
    <t>FSS</t>
  </si>
  <si>
    <t>MSQ</t>
  </si>
  <si>
    <t>MDWQ</t>
  </si>
  <si>
    <t>#26150</t>
  </si>
  <si>
    <t>#26503</t>
  </si>
  <si>
    <t>COH-08</t>
  </si>
  <si>
    <t>#26577</t>
  </si>
  <si>
    <t>#26726</t>
  </si>
  <si>
    <t>CES / CPA</t>
  </si>
  <si>
    <t>CPA-08</t>
  </si>
  <si>
    <t>#26754</t>
  </si>
  <si>
    <t>#26753</t>
  </si>
  <si>
    <t>CPA-04</t>
  </si>
  <si>
    <t>CES / BG&amp;E</t>
  </si>
  <si>
    <t>BG&amp;E-10</t>
  </si>
  <si>
    <t>#27127</t>
  </si>
  <si>
    <t>SST</t>
  </si>
  <si>
    <t>COH-03, COH-07, COH-05, COH-08</t>
  </si>
  <si>
    <t>Cust / LDC</t>
  </si>
  <si>
    <t>GSSTE</t>
  </si>
  <si>
    <t>734462 Cygnet</t>
  </si>
  <si>
    <t>23N-7 Sandusky</t>
  </si>
  <si>
    <t>#22429</t>
  </si>
  <si>
    <t>A3 Maumee</t>
  </si>
  <si>
    <t>23-4 COH-07 Alliance</t>
  </si>
  <si>
    <t>#22422</t>
  </si>
  <si>
    <t>F4 Monclova</t>
  </si>
  <si>
    <t>#26722</t>
  </si>
  <si>
    <t>FT-A</t>
  </si>
  <si>
    <t>Atlanta</t>
  </si>
  <si>
    <t>Various</t>
  </si>
  <si>
    <t>020042 East Lobelville</t>
  </si>
  <si>
    <t>Released month to month</t>
  </si>
  <si>
    <t>FTS-1</t>
  </si>
  <si>
    <t>CVA</t>
  </si>
  <si>
    <t>Boston</t>
  </si>
  <si>
    <t>Texas Gas</t>
  </si>
  <si>
    <t>1247 Lebanon CNG</t>
  </si>
  <si>
    <t>FT</t>
  </si>
  <si>
    <t>Zone SL</t>
  </si>
  <si>
    <t>Zone 1</t>
  </si>
  <si>
    <t>FT -R</t>
  </si>
  <si>
    <t>St 45</t>
  </si>
  <si>
    <t>Z3</t>
  </si>
  <si>
    <t>6484 Atlanta</t>
  </si>
  <si>
    <t>6971 St 85</t>
  </si>
  <si>
    <t>FTCHR</t>
  </si>
  <si>
    <t>St 65</t>
  </si>
  <si>
    <t>WSR Demand</t>
  </si>
  <si>
    <t>WSR</t>
  </si>
  <si>
    <t>WSR Capacity</t>
  </si>
  <si>
    <t>ESR Capacity</t>
  </si>
  <si>
    <t>ESR Demand</t>
  </si>
  <si>
    <t>ESR</t>
  </si>
  <si>
    <t>East Tenn</t>
  </si>
  <si>
    <t>Lobelville</t>
  </si>
  <si>
    <t>Z1</t>
  </si>
  <si>
    <t>#22428; Primary to Op 5, ROFR</t>
  </si>
  <si>
    <t>734462 Crossroads</t>
  </si>
  <si>
    <t>23N-2 COH 5</t>
  </si>
  <si>
    <t>#22747; Primary to contrained Op 7, ROFR</t>
  </si>
  <si>
    <t>23-4 COH-07-4</t>
  </si>
  <si>
    <t>FT Z3-Z6</t>
  </si>
  <si>
    <t>Index</t>
  </si>
  <si>
    <t>Comm</t>
  </si>
  <si>
    <t>Surcharges</t>
  </si>
  <si>
    <t>Fuel</t>
  </si>
  <si>
    <t>Transport</t>
  </si>
  <si>
    <t>Delivered Price</t>
  </si>
  <si>
    <t>Algo Comm</t>
  </si>
  <si>
    <t>Algo Transport</t>
  </si>
  <si>
    <t>Index Prem</t>
  </si>
  <si>
    <t>CGAS</t>
  </si>
  <si>
    <t>New K#</t>
  </si>
  <si>
    <t>New Sitara</t>
  </si>
  <si>
    <t>ENA</t>
  </si>
  <si>
    <t>Pending Release</t>
  </si>
  <si>
    <t>801-Leach</t>
  </si>
  <si>
    <t>19-26</t>
  </si>
  <si>
    <t>19-27</t>
  </si>
  <si>
    <t>#27772</t>
  </si>
  <si>
    <t>ACTIVE #200001000039</t>
  </si>
  <si>
    <t>Dayton</t>
  </si>
  <si>
    <t>T015955</t>
  </si>
  <si>
    <t>SNAT</t>
  </si>
  <si>
    <t>AGL</t>
  </si>
  <si>
    <t>CSS</t>
  </si>
  <si>
    <t>n/a</t>
  </si>
  <si>
    <t>Deal 211642</t>
  </si>
  <si>
    <t>Bear Creek</t>
  </si>
  <si>
    <t>Stor</t>
  </si>
  <si>
    <t>From CES #66615</t>
  </si>
  <si>
    <t>SGA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</si>
  <si>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</si>
  <si>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</si>
  <si>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</si>
  <si>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</si>
  <si>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</si>
  <si>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</si>
  <si>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</si>
  <si>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</si>
  <si>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</si>
  <si>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</si>
  <si>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</si>
  <si>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</si>
  <si>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</si>
  <si>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</si>
  <si>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</si>
  <si>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</si>
  <si>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</si>
  <si>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</si>
  <si>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</si>
  <si>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</si>
  <si>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</si>
  <si>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</si>
  <si>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</si>
  <si>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</si>
  <si>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A+B+C</t>
  </si>
  <si>
    <t>Storage</t>
  </si>
  <si>
    <t>CES Retail</t>
  </si>
  <si>
    <t>Calp</t>
  </si>
  <si>
    <t>Total</t>
  </si>
  <si>
    <t>Exhibit 1</t>
  </si>
  <si>
    <t>1st of Month</t>
  </si>
  <si>
    <t>Strg Vol</t>
  </si>
  <si>
    <t>Total Req</t>
  </si>
  <si>
    <t>Gas Daily</t>
  </si>
  <si>
    <t xml:space="preserve"> &lt;== Total Undertakes</t>
  </si>
  <si>
    <t>Gross</t>
  </si>
  <si>
    <t>Net</t>
  </si>
  <si>
    <t>F-I</t>
  </si>
  <si>
    <t>O-K</t>
  </si>
  <si>
    <t>Portland Storage</t>
  </si>
  <si>
    <t>FS-MA</t>
  </si>
  <si>
    <t>Equit</t>
  </si>
  <si>
    <t>11089</t>
  </si>
  <si>
    <t>TEPE 0144</t>
  </si>
  <si>
    <t>No offer</t>
  </si>
  <si>
    <t>100% Reimbursed from CES</t>
  </si>
  <si>
    <t>CES S-N Transport</t>
  </si>
  <si>
    <t>North Citygate</t>
  </si>
  <si>
    <t>South Citygate</t>
  </si>
  <si>
    <t>Deal 204778 - Supplied with local production behind East Ohio Citygate - bill as South Citygate</t>
  </si>
  <si>
    <t>Deal 204773 - Supplied with local production behind Peoples - bill as South Citygate</t>
  </si>
  <si>
    <t>East Tennessee</t>
  </si>
  <si>
    <t>Tenn 1-1</t>
  </si>
  <si>
    <t xml:space="preserve">E Tenn </t>
  </si>
  <si>
    <t>LA</t>
  </si>
  <si>
    <t>Note:  Tenn 1-1 surcharge of $.0225 does not apply</t>
  </si>
  <si>
    <t>Equitrans</t>
  </si>
  <si>
    <t>IT</t>
  </si>
  <si>
    <t>Tenn Z1 - Z5</t>
  </si>
  <si>
    <t>Texas Eastern M3</t>
  </si>
  <si>
    <t>Ela</t>
  </si>
  <si>
    <t>FT Z3-Z4</t>
  </si>
  <si>
    <t>FT Z4-Z4 Rate Schedule FTSR No. 37F</t>
  </si>
  <si>
    <t>FT Z4-Z4 Rate Schedule FTCHR No. 37M</t>
  </si>
  <si>
    <t>St 85</t>
  </si>
  <si>
    <t>(excluded Great Plains)</t>
  </si>
  <si>
    <t>FT Z4-Z5 PSNC Volumetric Release</t>
  </si>
  <si>
    <t>Deal 158693.  PSNC sends ENA an invoice for this gas.  ENA will forward this to PSNC each month.</t>
  </si>
  <si>
    <t>Volumetric Demand</t>
  </si>
  <si>
    <t>Deal 157591.  Because this is a volumetric contract, the demand charge</t>
  </si>
  <si>
    <t>for the capacity is included in the sales price.  There should not be a demand</t>
  </si>
  <si>
    <t>charge for this contract on the capacity worksheet.</t>
  </si>
  <si>
    <t>#23652</t>
  </si>
  <si>
    <t>Just added to march</t>
  </si>
  <si>
    <t>Deal 206266</t>
  </si>
  <si>
    <t>TCO</t>
  </si>
  <si>
    <t>evergreen</t>
  </si>
  <si>
    <t>AS Pooling Agreement</t>
  </si>
  <si>
    <t>AS</t>
  </si>
  <si>
    <t>#28331</t>
  </si>
  <si>
    <t>FSNG101</t>
  </si>
  <si>
    <t>Pricing Notes</t>
  </si>
  <si>
    <t>Pipeline</t>
  </si>
  <si>
    <t>Undertakes</t>
  </si>
  <si>
    <t>Overtakes</t>
  </si>
  <si>
    <t>CNG North Citygate</t>
  </si>
  <si>
    <t>CNG South Citygate</t>
  </si>
  <si>
    <t>GD CNG South Point - .01 plus variable</t>
  </si>
  <si>
    <t>GD CNG South Point + .01 plus variable</t>
  </si>
  <si>
    <t>Texas Gas Z4</t>
  </si>
  <si>
    <t>GD Algo Citygate + .02</t>
  </si>
  <si>
    <t>GD M3 - .01</t>
  </si>
  <si>
    <t>GD M3 + .01</t>
  </si>
  <si>
    <t>Texas Eastern Ela (UGI)</t>
  </si>
  <si>
    <t>GD Tetco Ela - .01</t>
  </si>
  <si>
    <t>GD Tetco Ela + .01</t>
  </si>
  <si>
    <t>Must negotiate daily pricing</t>
  </si>
  <si>
    <t>Tenn Z6</t>
  </si>
  <si>
    <t>Transco Z6 New York</t>
  </si>
  <si>
    <t>This includes deliveries to Bug, Con Ed, Lilco, and PSE&amp;G</t>
  </si>
  <si>
    <t>Transco Z6 Non-New York</t>
  </si>
  <si>
    <t>GD Transco NNY - .02</t>
  </si>
  <si>
    <t>GD Transco NNY + .02</t>
  </si>
  <si>
    <t xml:space="preserve">Transco Z5 </t>
  </si>
  <si>
    <t>GD CGAS App - .01 plus variable</t>
  </si>
  <si>
    <t>Atlanta Gas Light Program</t>
  </si>
  <si>
    <t>Sonat</t>
  </si>
  <si>
    <t>E Tenn</t>
  </si>
  <si>
    <t>GD Posting</t>
  </si>
  <si>
    <t>Price</t>
  </si>
  <si>
    <t>GD Algon Others</t>
  </si>
  <si>
    <t>Example:</t>
  </si>
  <si>
    <t>If the FOM Tetco M3 volume is 4,000 dt/day</t>
  </si>
  <si>
    <t>CES will be able to swing from 3,000 dt/day to 5,000 dt/day.</t>
  </si>
  <si>
    <t>Volumes less than the FOM volumes will be defined as Undertakes.</t>
  </si>
  <si>
    <t>Volumes greater than the FOM volumes will be defined as Overtakes.</t>
  </si>
  <si>
    <t>For the 30th, ENA will pay CES $3.1700  for undertakes and $3.1900 for overtakes.</t>
  </si>
  <si>
    <t>Variable cost will be based on the apllicable FOM index price</t>
  </si>
  <si>
    <t>If CES's volume for Tetco M3 on the 30th is 3176, then ENA bill CES for 4,000 dt at the Exhibit 1 price</t>
  </si>
  <si>
    <t>and ENA will buy from CES 824 dt at $3.1700</t>
  </si>
  <si>
    <t xml:space="preserve">If CES's volume for Tetco M3 on the 30th is 4300, then ENA will bill CES for 4,000 dt at the Exhibit 1 price </t>
  </si>
  <si>
    <t>and ENA will bill CES for 300 dt at $3.1900</t>
  </si>
  <si>
    <t>19-32</t>
  </si>
  <si>
    <t>19E</t>
  </si>
  <si>
    <t>25-36</t>
  </si>
  <si>
    <t>25-39</t>
  </si>
  <si>
    <t>SSNG45</t>
  </si>
  <si>
    <t>CES has 895 dt of Access to M3 space.</t>
  </si>
  <si>
    <t>Deal 228296 ENA will bill CES 895 dth/day at Ela + $.01 + transport</t>
  </si>
  <si>
    <t>The balance of the volumes on this deal will be billed Tetco M3 IF + $.01</t>
  </si>
  <si>
    <t>Comment:  CES has 1,239 dt/day of South to North Space.</t>
  </si>
  <si>
    <t>Deal # 228246 for North and tiered rate.  Deal # 228234 for South all at one rate.</t>
  </si>
  <si>
    <t>Deal 229988  CES has 1,000 dth of FTS, price 1,000 day at the FTS rate, balance at the IT rate.</t>
  </si>
  <si>
    <t>Deal 231742</t>
  </si>
  <si>
    <t>Deal 231741</t>
  </si>
  <si>
    <t>Deal 232619</t>
  </si>
  <si>
    <t>FOM Volumes</t>
  </si>
  <si>
    <t>Deal Ticket #</t>
  </si>
  <si>
    <t xml:space="preserve">      Buy Back</t>
  </si>
  <si>
    <t>a05-Delmont</t>
  </si>
  <si>
    <t>25-26</t>
  </si>
  <si>
    <t>#28742</t>
  </si>
  <si>
    <t>#23890</t>
  </si>
  <si>
    <t>#28389, Sheet No 29</t>
  </si>
  <si>
    <t xml:space="preserve">      Overtakes</t>
  </si>
  <si>
    <t>#28632</t>
  </si>
  <si>
    <t>46-30 OPT 10-30</t>
  </si>
  <si>
    <t>#28631</t>
  </si>
  <si>
    <t>GD CNG South Point + .025 plus variable</t>
  </si>
  <si>
    <t>FSGA25</t>
  </si>
  <si>
    <t>#24855</t>
  </si>
  <si>
    <t>Envirogas</t>
  </si>
  <si>
    <t>#27991</t>
  </si>
  <si>
    <t>GD CGAS App + .02 plus variable</t>
  </si>
  <si>
    <t>GD TGT Zone Gas SL - $.01 plus variable</t>
  </si>
  <si>
    <t>GD CNG South Point for all volumes greater than CES's max available transport</t>
  </si>
  <si>
    <t>GD TGT Zone Gas SL + $.01 plus variable, up to CES's max available transport on TGT</t>
  </si>
  <si>
    <t>CGAS Onshore</t>
  </si>
  <si>
    <t>GD Columbia - .01</t>
  </si>
  <si>
    <t>GD Columbia + .01</t>
  </si>
  <si>
    <t>CGAS Mainline</t>
  </si>
  <si>
    <t>GD Columbia, Mainline - .01</t>
  </si>
  <si>
    <t>GD Columbia, Mainline + .01</t>
  </si>
  <si>
    <t>ENA will give CES the right to swing +/- 25% from their FOM volumes for the month of May, 2000.</t>
  </si>
  <si>
    <t>Some of the pricing for the swing volumes is shown below.</t>
  </si>
  <si>
    <t>GD Tenn Z6(delivered) - .015</t>
  </si>
  <si>
    <t>GD Tenn Z6 (delivered) + .015</t>
  </si>
  <si>
    <t>4 BG&amp;E</t>
  </si>
  <si>
    <t>Deal 228293</t>
  </si>
  <si>
    <t>ENA Trsp</t>
  </si>
  <si>
    <t>Storage Injection:</t>
  </si>
  <si>
    <t>Inj Comm</t>
  </si>
  <si>
    <t>Deal 227081, 227113</t>
  </si>
  <si>
    <t>Deal 235398</t>
  </si>
  <si>
    <t>Deal 231743</t>
  </si>
  <si>
    <t>Deal 229573, 234424</t>
  </si>
  <si>
    <t>FT Z3-Z5</t>
  </si>
  <si>
    <t>Deal 232614</t>
  </si>
  <si>
    <t>SL</t>
  </si>
  <si>
    <t>La</t>
  </si>
  <si>
    <t>Deal 231744</t>
  </si>
  <si>
    <t>#28962</t>
  </si>
  <si>
    <t>#28933</t>
  </si>
  <si>
    <t>Coh 7-9</t>
  </si>
  <si>
    <t>Use to schedule inj and with, billed commodity only.</t>
  </si>
  <si>
    <t>#29281</t>
  </si>
  <si>
    <t>Original Parcel #68613</t>
  </si>
  <si>
    <t>#29291</t>
  </si>
  <si>
    <t>#29290</t>
  </si>
  <si>
    <t>CGLF</t>
  </si>
  <si>
    <t>Note:  CES purchased gas from ENA at CGLF Mainline (deal 202939).  ENA will buy this gas back at the CGLF Onshore Index plus $.06,</t>
  </si>
  <si>
    <t>and sell the gas back to CES at CGAS pool at CGLFOnshore Index +$.06 + variable cost from Mainline to Leach.</t>
  </si>
  <si>
    <t>ENA will buy the CGAS Pool gas back at the FOM price for CGAS.</t>
  </si>
  <si>
    <t>Deal 318748 (bookout with deal 202939)</t>
  </si>
  <si>
    <t>Volume</t>
  </si>
  <si>
    <t>Deals 318750 and 318749</t>
  </si>
  <si>
    <t>#29259</t>
  </si>
  <si>
    <t>Release to IGS For TIMET Contract</t>
  </si>
  <si>
    <t>Release ended 6/30/2000</t>
  </si>
  <si>
    <t>Texas Eastern</t>
  </si>
  <si>
    <t>NO CONTACTS FOR RETAIL</t>
  </si>
  <si>
    <t>ENA Bought 19,293 @.18 see annuity deal 327906</t>
  </si>
  <si>
    <t>#26714 ENA purchased from CES</t>
  </si>
  <si>
    <t>A05-Delmont</t>
  </si>
  <si>
    <t>E9-Young Woman Crk</t>
  </si>
  <si>
    <t>#29578</t>
  </si>
  <si>
    <t>CGV-10-30</t>
  </si>
  <si>
    <t>6/31/01</t>
  </si>
  <si>
    <t>CES East Desk Transportation Capacity for September, 2000</t>
  </si>
  <si>
    <t>#14203</t>
  </si>
  <si>
    <t>#14174</t>
  </si>
  <si>
    <t>#021484</t>
  </si>
  <si>
    <t>2000001719</t>
  </si>
  <si>
    <t>2000001764</t>
  </si>
  <si>
    <t>2000001777</t>
  </si>
  <si>
    <t>2000001730</t>
  </si>
  <si>
    <t>2000001743</t>
  </si>
  <si>
    <t>19e, 19-32, 19-27, 19-26</t>
  </si>
  <si>
    <t>#29880</t>
  </si>
  <si>
    <t>#29879</t>
  </si>
  <si>
    <t>#021378</t>
  </si>
  <si>
    <t>#021349</t>
  </si>
  <si>
    <t>#021350</t>
  </si>
  <si>
    <t>#021351</t>
  </si>
  <si>
    <t>9/31/2003</t>
  </si>
  <si>
    <t>#021377</t>
  </si>
  <si>
    <t>#021463</t>
  </si>
  <si>
    <t>#021462</t>
  </si>
  <si>
    <t>#021461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</si>
</sst>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&quot;$&quot;#,##0.0000_);\(&quot;$&quot;#,##0.0000\)"/>
    <numFmt numFmtId="167" formatCode="_(&quot;$&quot;* #,##0.0000_);_(&quot;$&quot;* \(#,##0.0000\);_(&quot;$&quot;* &quot;-&quot;??_);_(@_)"/>
    <numFmt numFmtId="168" formatCode="&quot;$&quot;#,##0.0000_);[Red]\(&quot;$&quot;#,##0.0000\)"/>
    <numFmt numFmtId="169" formatCode="#,##0.00000"/>
    <numFmt numFmtId="170" formatCode="0.000%"/>
    <numFmt numFmtId="177" formatCode="_(* #,##0_);_(* \(#,##0\);_(* &quot;-&quot;??_);_(@_)"/>
    <numFmt numFmtId="191" formatCode="0.0000%"/>
  </numFmts>
  <fonts count="12" x14ac:knownFonts="1">
    <font>
      <sz val="10"/>
      <name val="Arial"/>
    </font>
    <font>
      <sz val="10"/>
      <name val="Arial"/>
    </font>
    <font>
      <sz val="8"/>
      <name val="Arial"/>
      <family val="2"/>
    </font>
    <font>
      <b/>
      <sz val="8"/>
      <name val="Arial"/>
    </font>
    <font>
      <b/>
      <u/>
      <sz val="8"/>
      <name val="Arial"/>
    </font>
    <font>
      <b/>
      <sz val="8"/>
      <name val="Arial"/>
      <family val="2"/>
    </font>
    <font>
      <sz val="10"/>
      <name val="Arial"/>
      <family val="2"/>
    </font>
    <font>
      <sz val="9"/>
      <name val="Arial"/>
    </font>
    <font>
      <b/>
      <sz val="9"/>
      <name val="Arial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10"/>
        <bgColor indexed="64"/>
      </patternFill>
    </fill>
    <fill>
      <patternFill patternType="solid">
        <fgColor indexed="4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9">
    <xf numFmtId="0" fontId="0" fillId="0" borderId="0" xfId="0"/>
    <xf numFmtId="38" fontId="2" fillId="0" borderId="0" xfId="0" applyNumberFormat="1" applyFont="1" applyFill="1" applyAlignment="1">
      <alignment horizontal="left"/>
    </xf>
    <xf numFmtId="38" fontId="3" fillId="0" borderId="0" xfId="0" applyNumberFormat="1" applyFont="1" applyFill="1" applyAlignment="1">
      <alignment horizontal="center"/>
    </xf>
    <xf numFmtId="38" fontId="2" fillId="0" borderId="0" xfId="0" applyNumberFormat="1" applyFont="1" applyFill="1" applyAlignment="1">
      <alignment horizontal="center"/>
    </xf>
    <xf numFmtId="14" fontId="2" fillId="0" borderId="0" xfId="0" applyNumberFormat="1" applyFont="1" applyFill="1" applyAlignment="1">
      <alignment horizontal="center"/>
    </xf>
    <xf numFmtId="168" fontId="2" fillId="0" borderId="0" xfId="0" applyNumberFormat="1" applyFont="1" applyFill="1" applyAlignment="1">
      <alignment horizontal="center"/>
    </xf>
    <xf numFmtId="38" fontId="3" fillId="0" borderId="0" xfId="0" applyNumberFormat="1" applyFont="1" applyFill="1" applyAlignment="1">
      <alignment horizontal="left"/>
    </xf>
    <xf numFmtId="3" fontId="2" fillId="0" borderId="0" xfId="0" applyNumberFormat="1" applyFont="1" applyFill="1" applyAlignment="1">
      <alignment horizontal="center"/>
    </xf>
    <xf numFmtId="169" fontId="2" fillId="0" borderId="0" xfId="0" applyNumberFormat="1" applyFont="1" applyFill="1" applyAlignment="1">
      <alignment horizontal="center"/>
    </xf>
    <xf numFmtId="38" fontId="2" fillId="0" borderId="0" xfId="0" applyNumberFormat="1" applyFont="1" applyFill="1" applyAlignment="1">
      <alignment horizontal="right"/>
    </xf>
    <xf numFmtId="38" fontId="2" fillId="0" borderId="1" xfId="0" applyNumberFormat="1" applyFont="1" applyFill="1" applyBorder="1" applyAlignment="1">
      <alignment horizontal="left"/>
    </xf>
    <xf numFmtId="38" fontId="3" fillId="0" borderId="1" xfId="0" applyNumberFormat="1" applyFont="1" applyFill="1" applyBorder="1" applyAlignment="1">
      <alignment horizontal="center"/>
    </xf>
    <xf numFmtId="38" fontId="2" fillId="0" borderId="1" xfId="0" applyNumberFormat="1" applyFont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169" fontId="2" fillId="0" borderId="1" xfId="0" applyNumberFormat="1" applyFont="1" applyFill="1" applyBorder="1" applyAlignment="1">
      <alignment horizontal="center"/>
    </xf>
    <xf numFmtId="168" fontId="2" fillId="0" borderId="1" xfId="0" applyNumberFormat="1" applyFont="1" applyFill="1" applyBorder="1" applyAlignment="1">
      <alignment horizontal="center"/>
    </xf>
    <xf numFmtId="16" fontId="4" fillId="0" borderId="0" xfId="0" applyNumberFormat="1" applyFont="1" applyFill="1" applyAlignment="1">
      <alignment horizontal="left"/>
    </xf>
    <xf numFmtId="16" fontId="4" fillId="0" borderId="0" xfId="0" applyNumberFormat="1" applyFont="1" applyFill="1" applyAlignment="1">
      <alignment horizontal="center"/>
    </xf>
    <xf numFmtId="14" fontId="4" fillId="0" borderId="0" xfId="0" applyNumberFormat="1" applyFont="1" applyFill="1" applyAlignment="1">
      <alignment horizontal="center"/>
    </xf>
    <xf numFmtId="169" fontId="4" fillId="0" borderId="0" xfId="0" applyNumberFormat="1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  <xf numFmtId="38" fontId="4" fillId="0" borderId="0" xfId="0" applyNumberFormat="1" applyFont="1" applyFill="1" applyAlignment="1">
      <alignment horizontal="right"/>
    </xf>
    <xf numFmtId="38" fontId="3" fillId="0" borderId="1" xfId="0" applyNumberFormat="1" applyFont="1" applyFill="1" applyBorder="1" applyAlignment="1">
      <alignment horizontal="right"/>
    </xf>
    <xf numFmtId="168" fontId="2" fillId="0" borderId="0" xfId="0" applyNumberFormat="1" applyFont="1" applyFill="1" applyBorder="1" applyAlignment="1">
      <alignment horizontal="center"/>
    </xf>
    <xf numFmtId="1" fontId="2" fillId="0" borderId="0" xfId="0" applyNumberFormat="1" applyFont="1" applyFill="1" applyAlignment="1">
      <alignment horizontal="center"/>
    </xf>
    <xf numFmtId="0" fontId="0" fillId="0" borderId="0" xfId="0" applyFill="1"/>
    <xf numFmtId="1" fontId="3" fillId="0" borderId="1" xfId="0" applyNumberFormat="1" applyFont="1" applyFill="1" applyBorder="1" applyAlignment="1">
      <alignment horizontal="center"/>
    </xf>
    <xf numFmtId="0" fontId="0" fillId="0" borderId="0" xfId="0" applyFill="1" applyAlignment="1">
      <alignment horizontal="left"/>
    </xf>
    <xf numFmtId="38" fontId="2" fillId="0" borderId="0" xfId="0" applyNumberFormat="1" applyFont="1" applyFill="1" applyBorder="1" applyAlignment="1">
      <alignment horizontal="right"/>
    </xf>
    <xf numFmtId="38" fontId="2" fillId="0" borderId="0" xfId="0" quotePrefix="1" applyNumberFormat="1" applyFont="1" applyFill="1" applyAlignment="1">
      <alignment horizontal="left"/>
    </xf>
    <xf numFmtId="38" fontId="3" fillId="0" borderId="1" xfId="0" applyNumberFormat="1" applyFont="1" applyFill="1" applyBorder="1" applyAlignment="1">
      <alignment horizontal="left"/>
    </xf>
    <xf numFmtId="168" fontId="3" fillId="0" borderId="0" xfId="0" applyNumberFormat="1" applyFont="1" applyFill="1" applyAlignment="1">
      <alignment horizontal="center"/>
    </xf>
    <xf numFmtId="49" fontId="3" fillId="0" borderId="0" xfId="0" applyNumberFormat="1" applyFont="1" applyFill="1" applyAlignment="1">
      <alignment horizontal="left"/>
    </xf>
    <xf numFmtId="38" fontId="3" fillId="0" borderId="0" xfId="0" applyNumberFormat="1" applyFont="1" applyFill="1" applyBorder="1" applyAlignment="1">
      <alignment horizontal="right"/>
    </xf>
    <xf numFmtId="0" fontId="0" fillId="0" borderId="0" xfId="0" applyFill="1" applyBorder="1"/>
    <xf numFmtId="0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0" fontId="0" fillId="0" borderId="0" xfId="0" applyNumberFormat="1" applyFill="1"/>
    <xf numFmtId="38" fontId="2" fillId="0" borderId="0" xfId="0" quotePrefix="1" applyNumberFormat="1" applyFont="1" applyFill="1" applyBorder="1" applyAlignment="1">
      <alignment horizontal="right"/>
    </xf>
    <xf numFmtId="38" fontId="2" fillId="0" borderId="0" xfId="0" applyNumberFormat="1" applyFont="1" applyFill="1" applyBorder="1" applyAlignment="1">
      <alignment horizontal="center"/>
    </xf>
    <xf numFmtId="38" fontId="5" fillId="0" borderId="0" xfId="0" applyNumberFormat="1" applyFont="1" applyFill="1" applyAlignment="1">
      <alignment horizontal="left"/>
    </xf>
    <xf numFmtId="170" fontId="2" fillId="0" borderId="0" xfId="0" applyNumberFormat="1" applyFont="1" applyFill="1" applyAlignment="1">
      <alignment horizontal="center"/>
    </xf>
    <xf numFmtId="170" fontId="4" fillId="0" borderId="0" xfId="0" applyNumberFormat="1" applyFont="1" applyFill="1" applyAlignment="1">
      <alignment horizontal="center"/>
    </xf>
    <xf numFmtId="170" fontId="2" fillId="0" borderId="1" xfId="0" applyNumberFormat="1" applyFont="1" applyFill="1" applyBorder="1" applyAlignment="1">
      <alignment horizontal="center"/>
    </xf>
    <xf numFmtId="170" fontId="2" fillId="0" borderId="0" xfId="0" quotePrefix="1" applyNumberFormat="1" applyFont="1" applyFill="1" applyAlignment="1">
      <alignment horizontal="left"/>
    </xf>
    <xf numFmtId="170" fontId="0" fillId="0" borderId="0" xfId="0" applyNumberFormat="1" applyFill="1"/>
    <xf numFmtId="168" fontId="5" fillId="0" borderId="0" xfId="0" applyNumberFormat="1" applyFont="1" applyFill="1" applyAlignment="1">
      <alignment horizontal="left"/>
    </xf>
    <xf numFmtId="1" fontId="2" fillId="0" borderId="0" xfId="0" applyNumberFormat="1" applyFont="1" applyFill="1" applyBorder="1" applyAlignment="1">
      <alignment horizontal="center"/>
    </xf>
    <xf numFmtId="38" fontId="3" fillId="0" borderId="0" xfId="0" applyNumberFormat="1" applyFont="1" applyFill="1" applyBorder="1" applyAlignment="1">
      <alignment horizontal="center"/>
    </xf>
    <xf numFmtId="0" fontId="0" fillId="0" borderId="0" xfId="0" applyNumberFormat="1" applyFill="1" applyBorder="1"/>
    <xf numFmtId="0" fontId="2" fillId="0" borderId="0" xfId="0" applyNumberFormat="1" applyFont="1" applyFill="1" applyBorder="1" applyAlignment="1">
      <alignment horizontal="right"/>
    </xf>
    <xf numFmtId="0" fontId="3" fillId="0" borderId="0" xfId="0" applyNumberFormat="1" applyFont="1" applyFill="1" applyBorder="1" applyAlignment="1">
      <alignment horizontal="right"/>
    </xf>
    <xf numFmtId="0" fontId="4" fillId="0" borderId="0" xfId="0" applyNumberFormat="1" applyFont="1" applyFill="1" applyAlignment="1">
      <alignment horizontal="right"/>
    </xf>
    <xf numFmtId="0" fontId="3" fillId="0" borderId="1" xfId="0" applyNumberFormat="1" applyFont="1" applyFill="1" applyBorder="1" applyAlignment="1">
      <alignment horizontal="right"/>
    </xf>
    <xf numFmtId="0" fontId="2" fillId="0" borderId="0" xfId="0" applyNumberFormat="1" applyFont="1" applyFill="1" applyAlignment="1">
      <alignment horizontal="right"/>
    </xf>
    <xf numFmtId="0" fontId="2" fillId="0" borderId="0" xfId="0" quotePrefix="1" applyNumberFormat="1" applyFont="1" applyFill="1" applyBorder="1" applyAlignment="1">
      <alignment horizontal="right"/>
    </xf>
    <xf numFmtId="38" fontId="2" fillId="0" borderId="0" xfId="0" applyNumberFormat="1" applyFont="1" applyFill="1" applyBorder="1" applyAlignment="1">
      <alignment horizontal="left"/>
    </xf>
    <xf numFmtId="38" fontId="4" fillId="0" borderId="0" xfId="0" applyNumberFormat="1" applyFont="1" applyFill="1" applyAlignment="1">
      <alignment horizontal="left"/>
    </xf>
    <xf numFmtId="38" fontId="2" fillId="0" borderId="0" xfId="0" quotePrefix="1" applyNumberFormat="1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6" fillId="0" borderId="0" xfId="0" applyFont="1" applyFill="1"/>
    <xf numFmtId="0" fontId="7" fillId="0" borderId="0" xfId="0" applyFont="1" applyFill="1"/>
    <xf numFmtId="177" fontId="7" fillId="0" borderId="0" xfId="1" applyNumberFormat="1" applyFont="1" applyFill="1"/>
    <xf numFmtId="165" fontId="7" fillId="0" borderId="0" xfId="0" applyNumberFormat="1" applyFont="1" applyFill="1"/>
    <xf numFmtId="0" fontId="8" fillId="0" borderId="0" xfId="0" applyFont="1" applyFill="1"/>
    <xf numFmtId="0" fontId="9" fillId="0" borderId="0" xfId="0" applyFont="1" applyFill="1"/>
    <xf numFmtId="0" fontId="7" fillId="0" borderId="0" xfId="0" applyFont="1" applyFill="1" applyBorder="1"/>
    <xf numFmtId="165" fontId="7" fillId="0" borderId="0" xfId="0" applyNumberFormat="1" applyFont="1" applyFill="1" applyBorder="1"/>
    <xf numFmtId="10" fontId="7" fillId="0" borderId="0" xfId="3" applyNumberFormat="1" applyFont="1" applyFill="1" applyBorder="1"/>
    <xf numFmtId="38" fontId="0" fillId="0" borderId="0" xfId="0" applyNumberFormat="1" applyFill="1"/>
    <xf numFmtId="177" fontId="0" fillId="0" borderId="0" xfId="1" applyNumberFormat="1" applyFont="1" applyAlignment="1">
      <alignment horizontal="center"/>
    </xf>
    <xf numFmtId="177" fontId="0" fillId="0" borderId="0" xfId="1" applyNumberFormat="1" applyFont="1"/>
    <xf numFmtId="177" fontId="0" fillId="0" borderId="2" xfId="1" applyNumberFormat="1" applyFont="1" applyBorder="1" applyAlignment="1">
      <alignment horizontal="center"/>
    </xf>
    <xf numFmtId="177" fontId="0" fillId="0" borderId="3" xfId="1" applyNumberFormat="1" applyFont="1" applyBorder="1" applyAlignment="1">
      <alignment horizontal="center"/>
    </xf>
    <xf numFmtId="177" fontId="0" fillId="0" borderId="0" xfId="1" applyNumberFormat="1" applyFont="1" applyBorder="1" applyAlignment="1">
      <alignment horizontal="center"/>
    </xf>
    <xf numFmtId="177" fontId="0" fillId="0" borderId="4" xfId="1" applyNumberFormat="1" applyFont="1" applyBorder="1" applyAlignment="1">
      <alignment horizontal="center"/>
    </xf>
    <xf numFmtId="177" fontId="0" fillId="0" borderId="5" xfId="1" applyNumberFormat="1" applyFont="1" applyBorder="1" applyAlignment="1">
      <alignment horizontal="center"/>
    </xf>
    <xf numFmtId="177" fontId="0" fillId="0" borderId="6" xfId="1" applyNumberFormat="1" applyFont="1" applyBorder="1" applyAlignment="1">
      <alignment horizontal="center"/>
    </xf>
    <xf numFmtId="177" fontId="0" fillId="0" borderId="7" xfId="1" applyNumberFormat="1" applyFont="1" applyBorder="1" applyAlignment="1">
      <alignment horizontal="center"/>
    </xf>
    <xf numFmtId="167" fontId="0" fillId="0" borderId="0" xfId="2" applyNumberFormat="1" applyFont="1" applyAlignment="1">
      <alignment horizontal="center"/>
    </xf>
    <xf numFmtId="44" fontId="0" fillId="0" borderId="0" xfId="2" applyFont="1" applyAlignment="1">
      <alignment horizontal="center"/>
    </xf>
    <xf numFmtId="177" fontId="0" fillId="0" borderId="8" xfId="1" applyNumberFormat="1" applyFont="1" applyBorder="1" applyAlignment="1">
      <alignment horizontal="center"/>
    </xf>
    <xf numFmtId="38" fontId="2" fillId="0" borderId="9" xfId="0" applyNumberFormat="1" applyFont="1" applyFill="1" applyBorder="1" applyAlignment="1">
      <alignment horizontal="right"/>
    </xf>
    <xf numFmtId="7" fontId="7" fillId="0" borderId="0" xfId="0" applyNumberFormat="1" applyFont="1" applyFill="1"/>
    <xf numFmtId="170" fontId="7" fillId="0" borderId="0" xfId="3" applyNumberFormat="1" applyFont="1" applyFill="1" applyBorder="1"/>
    <xf numFmtId="177" fontId="7" fillId="0" borderId="0" xfId="0" applyNumberFormat="1" applyFont="1" applyFill="1"/>
    <xf numFmtId="170" fontId="7" fillId="0" borderId="0" xfId="3" applyNumberFormat="1" applyFont="1" applyFill="1"/>
    <xf numFmtId="167" fontId="0" fillId="0" borderId="0" xfId="2" applyNumberFormat="1" applyFont="1"/>
    <xf numFmtId="0" fontId="11" fillId="0" borderId="0" xfId="0" applyFont="1"/>
    <xf numFmtId="167" fontId="11" fillId="0" borderId="0" xfId="2" applyNumberFormat="1" applyFont="1"/>
    <xf numFmtId="0" fontId="0" fillId="0" borderId="0" xfId="0" applyFill="1" applyAlignment="1" applyProtection="1">
      <alignment vertical="top"/>
      <protection locked="0"/>
    </xf>
    <xf numFmtId="9" fontId="7" fillId="0" borderId="0" xfId="3" applyFont="1" applyFill="1"/>
    <xf numFmtId="177" fontId="7" fillId="0" borderId="0" xfId="1" applyNumberFormat="1" applyFont="1" applyFill="1" applyBorder="1"/>
    <xf numFmtId="0" fontId="10" fillId="0" borderId="0" xfId="0" applyFont="1" applyFill="1" applyAlignment="1">
      <alignment horizontal="right"/>
    </xf>
    <xf numFmtId="43" fontId="0" fillId="0" borderId="0" xfId="1" applyFont="1" applyFill="1" applyAlignment="1" applyProtection="1">
      <alignment vertical="top"/>
      <protection locked="0"/>
    </xf>
    <xf numFmtId="0" fontId="0" fillId="2" borderId="0" xfId="0" applyFill="1" applyAlignment="1">
      <alignment wrapText="1"/>
    </xf>
    <xf numFmtId="14" fontId="0" fillId="2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14" fontId="0" fillId="3" borderId="0" xfId="0" applyNumberFormat="1" applyFill="1" applyAlignment="1">
      <alignment wrapText="1"/>
    </xf>
    <xf numFmtId="3" fontId="0" fillId="3" borderId="0" xfId="0" applyNumberFormat="1" applyFill="1" applyAlignment="1">
      <alignment wrapText="1"/>
    </xf>
    <xf numFmtId="3" fontId="0" fillId="2" borderId="0" xfId="0" applyNumberFormat="1" applyFill="1" applyAlignment="1">
      <alignment wrapText="1"/>
    </xf>
    <xf numFmtId="165" fontId="7" fillId="0" borderId="9" xfId="0" applyNumberFormat="1" applyFont="1" applyFill="1" applyBorder="1"/>
    <xf numFmtId="0" fontId="7" fillId="0" borderId="0" xfId="0" applyFont="1" applyFill="1" applyAlignment="1">
      <alignment horizontal="center"/>
    </xf>
    <xf numFmtId="0" fontId="0" fillId="0" borderId="0" xfId="0" applyFill="1" applyBorder="1" applyAlignment="1" applyProtection="1">
      <alignment vertical="top"/>
      <protection locked="0"/>
    </xf>
    <xf numFmtId="191" fontId="7" fillId="0" borderId="0" xfId="3" applyNumberFormat="1" applyFont="1" applyFill="1" applyBorder="1"/>
    <xf numFmtId="38" fontId="2" fillId="4" borderId="9" xfId="0" applyNumberFormat="1" applyFont="1" applyFill="1" applyBorder="1" applyAlignment="1">
      <alignment horizontal="right"/>
    </xf>
    <xf numFmtId="40" fontId="2" fillId="0" borderId="0" xfId="0" applyNumberFormat="1" applyFont="1" applyFill="1" applyAlignment="1">
      <alignment horizontal="right"/>
    </xf>
    <xf numFmtId="38" fontId="2" fillId="0" borderId="0" xfId="0" quotePrefix="1" applyNumberFormat="1" applyFont="1" applyFill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169" fontId="2" fillId="0" borderId="0" xfId="0" applyNumberFormat="1" applyFont="1" applyFill="1" applyBorder="1" applyAlignment="1">
      <alignment horizontal="center"/>
    </xf>
    <xf numFmtId="170" fontId="2" fillId="0" borderId="0" xfId="0" applyNumberFormat="1" applyFont="1" applyFill="1" applyBorder="1" applyAlignment="1">
      <alignment horizontal="center"/>
    </xf>
    <xf numFmtId="0" fontId="6" fillId="0" borderId="0" xfId="0" applyFont="1" applyFill="1" applyBorder="1"/>
    <xf numFmtId="10" fontId="7" fillId="0" borderId="0" xfId="3" applyNumberFormat="1" applyFont="1" applyFill="1"/>
    <xf numFmtId="165" fontId="7" fillId="0" borderId="10" xfId="0" applyNumberFormat="1" applyFont="1" applyFill="1" applyBorder="1"/>
    <xf numFmtId="191" fontId="7" fillId="0" borderId="0" xfId="3" applyNumberFormat="1" applyFont="1" applyFill="1"/>
    <xf numFmtId="165" fontId="7" fillId="0" borderId="11" xfId="0" applyNumberFormat="1" applyFont="1" applyFill="1" applyBorder="1"/>
    <xf numFmtId="165" fontId="7" fillId="0" borderId="5" xfId="0" applyNumberFormat="1" applyFont="1" applyFill="1" applyBorder="1"/>
    <xf numFmtId="38" fontId="2" fillId="5" borderId="0" xfId="0" applyNumberFormat="1" applyFont="1" applyFill="1" applyAlignment="1">
      <alignment horizontal="left"/>
    </xf>
    <xf numFmtId="38" fontId="2" fillId="5" borderId="0" xfId="0" applyNumberFormat="1" applyFont="1" applyFill="1" applyAlignment="1">
      <alignment horizontal="center"/>
    </xf>
    <xf numFmtId="14" fontId="2" fillId="5" borderId="0" xfId="0" applyNumberFormat="1" applyFont="1" applyFill="1" applyAlignment="1">
      <alignment horizontal="center"/>
    </xf>
    <xf numFmtId="38" fontId="2" fillId="5" borderId="0" xfId="0" quotePrefix="1" applyNumberFormat="1" applyFont="1" applyFill="1" applyAlignment="1">
      <alignment horizontal="left"/>
    </xf>
    <xf numFmtId="169" fontId="2" fillId="5" borderId="0" xfId="0" applyNumberFormat="1" applyFont="1" applyFill="1" applyAlignment="1">
      <alignment horizontal="center"/>
    </xf>
    <xf numFmtId="168" fontId="2" fillId="5" borderId="0" xfId="0" applyNumberFormat="1" applyFont="1" applyFill="1" applyAlignment="1">
      <alignment horizontal="center"/>
    </xf>
    <xf numFmtId="170" fontId="2" fillId="5" borderId="0" xfId="0" applyNumberFormat="1" applyFont="1" applyFill="1" applyAlignment="1">
      <alignment horizontal="center"/>
    </xf>
    <xf numFmtId="1" fontId="2" fillId="5" borderId="0" xfId="0" applyNumberFormat="1" applyFont="1" applyFill="1" applyAlignment="1">
      <alignment horizontal="center"/>
    </xf>
    <xf numFmtId="38" fontId="2" fillId="5" borderId="0" xfId="0" applyNumberFormat="1" applyFont="1" applyFill="1" applyAlignment="1">
      <alignment horizontal="right"/>
    </xf>
    <xf numFmtId="0" fontId="2" fillId="5" borderId="0" xfId="0" applyNumberFormat="1" applyFont="1" applyFill="1" applyAlignment="1">
      <alignment horizontal="right"/>
    </xf>
    <xf numFmtId="0" fontId="2" fillId="5" borderId="0" xfId="0" applyNumberFormat="1" applyFont="1" applyFill="1" applyAlignment="1">
      <alignment horizontal="center"/>
    </xf>
    <xf numFmtId="0" fontId="6" fillId="5" borderId="0" xfId="0" applyFont="1" applyFill="1"/>
    <xf numFmtId="0" fontId="2" fillId="5" borderId="0" xfId="0" quotePrefix="1" applyNumberFormat="1" applyFont="1" applyFill="1" applyAlignment="1">
      <alignment horizontal="left"/>
    </xf>
    <xf numFmtId="40" fontId="2" fillId="5" borderId="0" xfId="0" applyNumberFormat="1" applyFont="1" applyFill="1" applyAlignment="1">
      <alignment horizontal="right"/>
    </xf>
    <xf numFmtId="43" fontId="2" fillId="5" borderId="0" xfId="1" quotePrefix="1" applyFont="1" applyFill="1" applyAlignment="1">
      <alignment horizontal="left"/>
    </xf>
    <xf numFmtId="164" fontId="2" fillId="5" borderId="0" xfId="0" applyNumberFormat="1" applyFont="1" applyFill="1" applyAlignment="1">
      <alignment horizontal="center"/>
    </xf>
    <xf numFmtId="38" fontId="2" fillId="5" borderId="0" xfId="0" applyNumberFormat="1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38" fontId="2" fillId="5" borderId="0" xfId="0" quotePrefix="1" applyNumberFormat="1" applyFont="1" applyFill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0"/>
  <sheetViews>
    <sheetView workbookViewId="0">
      <selection activeCell="A2" sqref="A2"/>
    </sheetView>
  </sheetViews>
  <sheetFormatPr defaultRowHeight="13.2" x14ac:dyDescent="0.25"/>
  <cols>
    <col min="1" max="1" width="22.109375" customWidth="1"/>
    <col min="2" max="3" width="17.5546875" customWidth="1"/>
    <col min="4" max="4" width="14.109375" customWidth="1"/>
    <col min="5" max="5" width="11.6640625" style="88" customWidth="1"/>
    <col min="6" max="6" width="10.44140625" style="88" customWidth="1"/>
    <col min="7" max="7" width="38.5546875" customWidth="1"/>
    <col min="8" max="9" width="11.44140625" style="88" customWidth="1"/>
  </cols>
  <sheetData>
    <row r="1" spans="1:10" x14ac:dyDescent="0.25">
      <c r="A1" s="89" t="s">
        <v>261</v>
      </c>
      <c r="B1" s="89"/>
      <c r="C1" s="89"/>
      <c r="E1" s="88" t="s">
        <v>343</v>
      </c>
    </row>
    <row r="2" spans="1:10" x14ac:dyDescent="0.25">
      <c r="E2" s="88" t="s">
        <v>344</v>
      </c>
    </row>
    <row r="3" spans="1:10" x14ac:dyDescent="0.25">
      <c r="E3" s="88" t="s">
        <v>297</v>
      </c>
    </row>
    <row r="4" spans="1:10" x14ac:dyDescent="0.25">
      <c r="E4" s="88" t="s">
        <v>294</v>
      </c>
    </row>
    <row r="5" spans="1:10" x14ac:dyDescent="0.25">
      <c r="E5" s="88" t="s">
        <v>295</v>
      </c>
    </row>
    <row r="7" spans="1:10" x14ac:dyDescent="0.25">
      <c r="D7" t="s">
        <v>291</v>
      </c>
      <c r="E7" s="88" t="s">
        <v>292</v>
      </c>
    </row>
    <row r="8" spans="1:10" x14ac:dyDescent="0.25">
      <c r="E8" s="88" t="s">
        <v>293</v>
      </c>
    </row>
    <row r="9" spans="1:10" x14ac:dyDescent="0.25">
      <c r="E9" s="88" t="s">
        <v>296</v>
      </c>
    </row>
    <row r="10" spans="1:10" x14ac:dyDescent="0.25">
      <c r="E10" s="88" t="s">
        <v>298</v>
      </c>
    </row>
    <row r="11" spans="1:10" x14ac:dyDescent="0.25">
      <c r="F11" s="88" t="s">
        <v>299</v>
      </c>
    </row>
    <row r="12" spans="1:10" x14ac:dyDescent="0.25">
      <c r="E12" s="88" t="s">
        <v>300</v>
      </c>
    </row>
    <row r="13" spans="1:10" x14ac:dyDescent="0.25">
      <c r="F13" s="88" t="s">
        <v>301</v>
      </c>
    </row>
    <row r="16" spans="1:10" x14ac:dyDescent="0.25">
      <c r="A16" s="89" t="s">
        <v>262</v>
      </c>
      <c r="B16" s="89" t="s">
        <v>316</v>
      </c>
      <c r="C16" s="89" t="s">
        <v>317</v>
      </c>
      <c r="E16" s="90" t="s">
        <v>288</v>
      </c>
      <c r="F16" s="90" t="s">
        <v>289</v>
      </c>
      <c r="G16" s="89" t="s">
        <v>263</v>
      </c>
      <c r="H16" s="90" t="s">
        <v>288</v>
      </c>
      <c r="I16" s="90" t="s">
        <v>289</v>
      </c>
      <c r="J16" s="89" t="s">
        <v>264</v>
      </c>
    </row>
    <row r="18" spans="1:10" x14ac:dyDescent="0.25">
      <c r="A18" t="s">
        <v>59</v>
      </c>
      <c r="B18" s="72">
        <v>2159</v>
      </c>
      <c r="C18">
        <v>228293</v>
      </c>
      <c r="E18" s="88">
        <v>3.1</v>
      </c>
      <c r="F18" s="88">
        <v>3.1</v>
      </c>
      <c r="G18" t="s">
        <v>290</v>
      </c>
      <c r="H18" s="88">
        <v>3.1549999999999998</v>
      </c>
      <c r="I18" s="88">
        <f>3.155+0.02</f>
        <v>3.1749999999999998</v>
      </c>
      <c r="J18" t="s">
        <v>270</v>
      </c>
    </row>
    <row r="19" spans="1:10" x14ac:dyDescent="0.25">
      <c r="A19" t="s">
        <v>318</v>
      </c>
      <c r="B19" s="72"/>
      <c r="C19">
        <v>248838</v>
      </c>
    </row>
    <row r="20" spans="1:10" x14ac:dyDescent="0.25">
      <c r="A20" t="s">
        <v>324</v>
      </c>
      <c r="B20" s="72"/>
      <c r="C20">
        <v>251539</v>
      </c>
    </row>
    <row r="21" spans="1:10" ht="14.25" customHeight="1" x14ac:dyDescent="0.25">
      <c r="B21" s="72"/>
    </row>
    <row r="22" spans="1:10" x14ac:dyDescent="0.25">
      <c r="A22" t="s">
        <v>337</v>
      </c>
      <c r="B22" s="72"/>
      <c r="G22" t="s">
        <v>338</v>
      </c>
      <c r="J22" t="s">
        <v>339</v>
      </c>
    </row>
    <row r="23" spans="1:10" x14ac:dyDescent="0.25">
      <c r="A23" t="s">
        <v>318</v>
      </c>
      <c r="B23" s="72"/>
    </row>
    <row r="24" spans="1:10" x14ac:dyDescent="0.25">
      <c r="A24" t="s">
        <v>324</v>
      </c>
      <c r="B24" s="72"/>
    </row>
    <row r="25" spans="1:10" x14ac:dyDescent="0.25">
      <c r="B25" s="72"/>
    </row>
    <row r="26" spans="1:10" x14ac:dyDescent="0.25">
      <c r="A26" t="s">
        <v>340</v>
      </c>
      <c r="B26" s="72"/>
      <c r="G26" t="s">
        <v>341</v>
      </c>
      <c r="J26" t="s">
        <v>342</v>
      </c>
    </row>
    <row r="27" spans="1:10" x14ac:dyDescent="0.25">
      <c r="A27" t="s">
        <v>318</v>
      </c>
      <c r="B27" s="72"/>
    </row>
    <row r="28" spans="1:10" x14ac:dyDescent="0.25">
      <c r="A28" t="s">
        <v>324</v>
      </c>
      <c r="B28" s="72"/>
    </row>
    <row r="29" spans="1:10" ht="14.25" customHeight="1" x14ac:dyDescent="0.25">
      <c r="B29" s="72"/>
    </row>
    <row r="30" spans="1:10" x14ac:dyDescent="0.25">
      <c r="A30" t="s">
        <v>265</v>
      </c>
      <c r="B30" s="72">
        <v>3054</v>
      </c>
      <c r="C30">
        <v>228246</v>
      </c>
      <c r="E30" s="88">
        <v>3.14</v>
      </c>
      <c r="G30" t="s">
        <v>267</v>
      </c>
      <c r="H30" s="88">
        <v>3.14</v>
      </c>
      <c r="J30" t="s">
        <v>328</v>
      </c>
    </row>
    <row r="31" spans="1:10" x14ac:dyDescent="0.25">
      <c r="A31" t="s">
        <v>318</v>
      </c>
      <c r="B31" s="72"/>
      <c r="C31">
        <v>251635</v>
      </c>
    </row>
    <row r="32" spans="1:10" x14ac:dyDescent="0.25">
      <c r="A32" t="s">
        <v>324</v>
      </c>
      <c r="B32" s="72"/>
      <c r="C32">
        <v>251633</v>
      </c>
    </row>
    <row r="33" spans="1:10" x14ac:dyDescent="0.25">
      <c r="B33" s="72"/>
    </row>
    <row r="34" spans="1:10" x14ac:dyDescent="0.25">
      <c r="A34" t="s">
        <v>266</v>
      </c>
      <c r="B34" s="72">
        <v>3960</v>
      </c>
      <c r="C34">
        <v>228234</v>
      </c>
      <c r="E34" s="88">
        <v>3.14</v>
      </c>
      <c r="G34" t="s">
        <v>267</v>
      </c>
      <c r="H34" s="88">
        <v>3.14</v>
      </c>
      <c r="J34" t="s">
        <v>268</v>
      </c>
    </row>
    <row r="35" spans="1:10" x14ac:dyDescent="0.25">
      <c r="A35" t="s">
        <v>318</v>
      </c>
      <c r="B35" s="72"/>
      <c r="C35">
        <v>251630</v>
      </c>
    </row>
    <row r="36" spans="1:10" x14ac:dyDescent="0.25">
      <c r="A36" t="s">
        <v>324</v>
      </c>
      <c r="B36" s="72"/>
      <c r="C36">
        <v>251620</v>
      </c>
    </row>
    <row r="37" spans="1:10" x14ac:dyDescent="0.25">
      <c r="B37" s="72"/>
    </row>
    <row r="38" spans="1:10" x14ac:dyDescent="0.25">
      <c r="A38" t="s">
        <v>159</v>
      </c>
      <c r="B38" s="72">
        <v>111210</v>
      </c>
      <c r="E38" s="88">
        <v>3.0350000000000001</v>
      </c>
      <c r="G38" t="s">
        <v>284</v>
      </c>
      <c r="H38" s="88">
        <v>3.0350000000000001</v>
      </c>
      <c r="J38" t="s">
        <v>333</v>
      </c>
    </row>
    <row r="39" spans="1:10" x14ac:dyDescent="0.25">
      <c r="B39" s="72"/>
    </row>
    <row r="40" spans="1:10" x14ac:dyDescent="0.25">
      <c r="A40" t="s">
        <v>269</v>
      </c>
      <c r="B40" s="72">
        <v>1665</v>
      </c>
      <c r="C40">
        <v>251753</v>
      </c>
      <c r="G40" t="s">
        <v>334</v>
      </c>
      <c r="H40" s="88">
        <f>3.035+0.02</f>
        <v>3.0550000000000002</v>
      </c>
      <c r="J40" t="s">
        <v>336</v>
      </c>
    </row>
    <row r="41" spans="1:10" x14ac:dyDescent="0.25">
      <c r="A41" t="s">
        <v>318</v>
      </c>
      <c r="B41" s="72"/>
      <c r="C41">
        <v>251755</v>
      </c>
      <c r="J41" t="s">
        <v>335</v>
      </c>
    </row>
    <row r="42" spans="1:10" x14ac:dyDescent="0.25">
      <c r="A42" t="s">
        <v>324</v>
      </c>
      <c r="B42" s="72"/>
      <c r="C42">
        <v>251757</v>
      </c>
    </row>
    <row r="43" spans="1:10" x14ac:dyDescent="0.25">
      <c r="B43" s="72"/>
    </row>
    <row r="44" spans="1:10" x14ac:dyDescent="0.25">
      <c r="A44" t="s">
        <v>239</v>
      </c>
      <c r="B44" s="72">
        <v>4717</v>
      </c>
      <c r="C44">
        <v>250260</v>
      </c>
      <c r="E44" s="88">
        <f>3.18</f>
        <v>3.18</v>
      </c>
      <c r="F44" s="88">
        <f>3.18-0.01</f>
        <v>3.1700000000000004</v>
      </c>
      <c r="G44" t="s">
        <v>271</v>
      </c>
      <c r="H44" s="88">
        <f>3.18</f>
        <v>3.18</v>
      </c>
      <c r="I44" s="88">
        <f>3.18+0.01</f>
        <v>3.19</v>
      </c>
      <c r="J44" t="s">
        <v>272</v>
      </c>
    </row>
    <row r="45" spans="1:10" x14ac:dyDescent="0.25">
      <c r="A45" t="s">
        <v>318</v>
      </c>
      <c r="B45" s="72"/>
      <c r="C45">
        <v>251295</v>
      </c>
    </row>
    <row r="46" spans="1:10" x14ac:dyDescent="0.25">
      <c r="A46" t="s">
        <v>324</v>
      </c>
      <c r="B46" s="72"/>
      <c r="C46">
        <v>251268</v>
      </c>
    </row>
    <row r="47" spans="1:10" x14ac:dyDescent="0.25">
      <c r="B47" s="72"/>
    </row>
    <row r="48" spans="1:10" x14ac:dyDescent="0.25">
      <c r="A48" t="s">
        <v>273</v>
      </c>
      <c r="B48" s="72"/>
      <c r="C48">
        <v>250257</v>
      </c>
      <c r="E48" s="88">
        <f>2.83</f>
        <v>2.83</v>
      </c>
      <c r="F48" s="88">
        <f>2.83-0.01</f>
        <v>2.8200000000000003</v>
      </c>
      <c r="G48" t="s">
        <v>274</v>
      </c>
      <c r="H48" s="88">
        <f>2.83</f>
        <v>2.83</v>
      </c>
      <c r="I48" s="88">
        <f>2.83+0.01</f>
        <v>2.84</v>
      </c>
      <c r="J48" t="s">
        <v>275</v>
      </c>
    </row>
    <row r="49" spans="1:10" x14ac:dyDescent="0.25">
      <c r="A49" t="s">
        <v>318</v>
      </c>
      <c r="B49" s="72"/>
      <c r="C49">
        <v>251732</v>
      </c>
    </row>
    <row r="50" spans="1:10" x14ac:dyDescent="0.25">
      <c r="A50" t="s">
        <v>324</v>
      </c>
      <c r="B50" s="72"/>
      <c r="C50">
        <v>251736</v>
      </c>
    </row>
    <row r="51" spans="1:10" x14ac:dyDescent="0.25">
      <c r="B51" s="72"/>
    </row>
    <row r="52" spans="1:10" x14ac:dyDescent="0.25">
      <c r="A52" t="s">
        <v>277</v>
      </c>
      <c r="B52" s="72">
        <v>2330</v>
      </c>
      <c r="C52">
        <v>229573</v>
      </c>
      <c r="G52" t="s">
        <v>345</v>
      </c>
      <c r="J52" t="s">
        <v>346</v>
      </c>
    </row>
    <row r="53" spans="1:10" x14ac:dyDescent="0.25">
      <c r="A53" t="s">
        <v>318</v>
      </c>
      <c r="B53" s="72"/>
      <c r="C53">
        <v>250281</v>
      </c>
    </row>
    <row r="54" spans="1:10" x14ac:dyDescent="0.25">
      <c r="A54" t="s">
        <v>324</v>
      </c>
      <c r="B54" s="72"/>
      <c r="C54">
        <v>250290</v>
      </c>
    </row>
    <row r="55" spans="1:10" x14ac:dyDescent="0.25">
      <c r="B55" s="72"/>
    </row>
    <row r="56" spans="1:10" x14ac:dyDescent="0.25">
      <c r="A56" t="s">
        <v>280</v>
      </c>
      <c r="B56" s="72">
        <v>145</v>
      </c>
      <c r="C56">
        <v>253490</v>
      </c>
      <c r="E56" s="88">
        <f>3.135</f>
        <v>3.1349999999999998</v>
      </c>
      <c r="F56" s="88">
        <f>3.135-0.02</f>
        <v>3.1149999999999998</v>
      </c>
      <c r="G56" t="s">
        <v>281</v>
      </c>
      <c r="H56" s="88">
        <f>3.135</f>
        <v>3.1349999999999998</v>
      </c>
      <c r="I56" s="88">
        <f>3.135+0.02</f>
        <v>3.1549999999999998</v>
      </c>
      <c r="J56" t="s">
        <v>282</v>
      </c>
    </row>
    <row r="57" spans="1:10" x14ac:dyDescent="0.25">
      <c r="B57" s="72"/>
    </row>
    <row r="58" spans="1:10" x14ac:dyDescent="0.25">
      <c r="B58" s="72"/>
    </row>
    <row r="59" spans="1:10" x14ac:dyDescent="0.25">
      <c r="B59" s="72"/>
    </row>
    <row r="60" spans="1:10" x14ac:dyDescent="0.25">
      <c r="A60" t="s">
        <v>283</v>
      </c>
      <c r="B60" s="72">
        <v>279</v>
      </c>
      <c r="C60">
        <v>253486</v>
      </c>
      <c r="G60" t="s">
        <v>276</v>
      </c>
      <c r="J60" t="s">
        <v>276</v>
      </c>
    </row>
    <row r="61" spans="1:10" x14ac:dyDescent="0.25">
      <c r="B61" s="72"/>
    </row>
    <row r="62" spans="1:10" x14ac:dyDescent="0.25">
      <c r="A62" t="s">
        <v>278</v>
      </c>
      <c r="B62" s="72">
        <v>311</v>
      </c>
      <c r="C62">
        <v>253493</v>
      </c>
      <c r="G62" t="s">
        <v>276</v>
      </c>
      <c r="J62" t="s">
        <v>276</v>
      </c>
    </row>
    <row r="63" spans="1:10" x14ac:dyDescent="0.25">
      <c r="B63" s="72"/>
      <c r="D63" t="s">
        <v>279</v>
      </c>
    </row>
    <row r="64" spans="1:10" x14ac:dyDescent="0.25">
      <c r="B64" s="72"/>
    </row>
    <row r="65" spans="1:10" x14ac:dyDescent="0.25">
      <c r="A65" t="s">
        <v>236</v>
      </c>
      <c r="B65" s="72">
        <v>2478</v>
      </c>
      <c r="C65">
        <v>250456</v>
      </c>
      <c r="G65" t="s">
        <v>276</v>
      </c>
      <c r="J65" t="s">
        <v>276</v>
      </c>
    </row>
    <row r="66" spans="1:10" x14ac:dyDescent="0.25">
      <c r="B66" s="72"/>
    </row>
    <row r="67" spans="1:10" x14ac:dyDescent="0.25">
      <c r="A67" s="89" t="s">
        <v>285</v>
      </c>
      <c r="B67" s="89"/>
      <c r="C67" s="89"/>
    </row>
    <row r="68" spans="1:10" x14ac:dyDescent="0.25">
      <c r="A68" t="s">
        <v>35</v>
      </c>
      <c r="B68" s="72">
        <v>10006</v>
      </c>
      <c r="G68" t="s">
        <v>276</v>
      </c>
      <c r="J68" t="s">
        <v>276</v>
      </c>
    </row>
    <row r="69" spans="1:10" x14ac:dyDescent="0.25">
      <c r="A69" t="s">
        <v>286</v>
      </c>
      <c r="B69" s="72">
        <v>10799</v>
      </c>
      <c r="G69" t="s">
        <v>276</v>
      </c>
      <c r="J69" t="s">
        <v>276</v>
      </c>
    </row>
    <row r="70" spans="1:10" x14ac:dyDescent="0.25">
      <c r="A70" t="s">
        <v>287</v>
      </c>
      <c r="B70" s="72"/>
      <c r="G70" t="s">
        <v>276</v>
      </c>
      <c r="J70" t="s">
        <v>276</v>
      </c>
    </row>
  </sheetData>
  <pageMargins left="0.75" right="0.75" top="1" bottom="1" header="0.5" footer="0.5"/>
  <pageSetup scale="45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41"/>
  <sheetViews>
    <sheetView workbookViewId="0">
      <selection activeCell="H19" sqref="H19"/>
    </sheetView>
  </sheetViews>
  <sheetFormatPr defaultColWidth="9.109375" defaultRowHeight="13.2" x14ac:dyDescent="0.25"/>
  <cols>
    <col min="1" max="1" width="5.6640625" style="72" customWidth="1"/>
    <col min="2" max="2" width="11" style="72" customWidth="1"/>
    <col min="3" max="4" width="11.33203125" style="72" customWidth="1"/>
    <col min="5" max="5" width="3.33203125" style="72" customWidth="1"/>
    <col min="6" max="6" width="12.88671875" style="72" customWidth="1"/>
    <col min="7" max="7" width="4.6640625" style="72" customWidth="1"/>
    <col min="8" max="8" width="12.88671875" style="72" customWidth="1"/>
    <col min="9" max="9" width="10.44140625" style="72" customWidth="1"/>
    <col min="10" max="10" width="3.33203125" style="72" customWidth="1"/>
    <col min="11" max="11" width="12.88671875" style="72" customWidth="1"/>
    <col min="12" max="12" width="9.109375" style="72"/>
    <col min="13" max="13" width="10.5546875" style="72" customWidth="1"/>
    <col min="14" max="14" width="9.109375" style="72"/>
    <col min="15" max="15" width="11.33203125" style="72" customWidth="1"/>
    <col min="16" max="16" width="10.33203125" style="72" customWidth="1"/>
    <col min="17" max="17" width="11.109375" style="72" customWidth="1"/>
    <col min="18" max="18" width="3.5546875" style="72" customWidth="1"/>
    <col min="19" max="19" width="13" style="72" customWidth="1"/>
    <col min="20" max="20" width="4.109375" style="72" customWidth="1"/>
    <col min="21" max="21" width="12.33203125" style="72" customWidth="1"/>
    <col min="22" max="22" width="13.88671875" style="72" customWidth="1"/>
    <col min="23" max="25" width="9.109375" style="72"/>
    <col min="26" max="26" width="13.88671875" style="72" customWidth="1"/>
    <col min="27" max="16384" width="9.109375" style="72"/>
  </cols>
  <sheetData>
    <row r="2" spans="1:25" s="71" customFormat="1" x14ac:dyDescent="0.25">
      <c r="B2" s="71" t="s">
        <v>180</v>
      </c>
      <c r="C2" s="71" t="s">
        <v>181</v>
      </c>
      <c r="D2" s="71" t="s">
        <v>182</v>
      </c>
      <c r="E2" s="71" t="s">
        <v>183</v>
      </c>
      <c r="F2" s="71" t="s">
        <v>184</v>
      </c>
      <c r="G2" s="71" t="s">
        <v>185</v>
      </c>
      <c r="H2" s="71" t="s">
        <v>186</v>
      </c>
      <c r="I2" s="71" t="s">
        <v>187</v>
      </c>
      <c r="J2" s="71" t="s">
        <v>188</v>
      </c>
      <c r="K2" s="71" t="s">
        <v>189</v>
      </c>
      <c r="L2" s="71" t="s">
        <v>190</v>
      </c>
      <c r="M2" s="71" t="s">
        <v>191</v>
      </c>
      <c r="N2" s="71" t="s">
        <v>192</v>
      </c>
      <c r="O2" s="71" t="s">
        <v>193</v>
      </c>
      <c r="P2" s="71" t="s">
        <v>194</v>
      </c>
      <c r="Q2" s="71" t="s">
        <v>195</v>
      </c>
      <c r="R2" s="71" t="s">
        <v>196</v>
      </c>
      <c r="S2" s="71" t="s">
        <v>197</v>
      </c>
      <c r="T2" s="71" t="s">
        <v>198</v>
      </c>
      <c r="U2" s="71" t="s">
        <v>199</v>
      </c>
      <c r="V2" s="71" t="s">
        <v>200</v>
      </c>
      <c r="W2" s="71" t="s">
        <v>201</v>
      </c>
      <c r="X2" s="71" t="s">
        <v>202</v>
      </c>
      <c r="Y2" s="71" t="s">
        <v>203</v>
      </c>
    </row>
    <row r="3" spans="1:25" x14ac:dyDescent="0.25">
      <c r="A3" s="71"/>
      <c r="B3" s="71"/>
      <c r="C3" s="71"/>
      <c r="D3" s="71"/>
      <c r="E3" s="71"/>
      <c r="F3" s="71"/>
      <c r="G3" s="71"/>
      <c r="H3" s="71"/>
      <c r="I3" s="71"/>
      <c r="J3" s="71"/>
      <c r="K3" s="71"/>
      <c r="L3" s="71"/>
      <c r="M3" s="71"/>
      <c r="N3" s="71"/>
      <c r="O3" s="71"/>
      <c r="P3" s="71"/>
      <c r="Q3" s="71"/>
      <c r="R3" s="71"/>
      <c r="S3" s="71"/>
      <c r="T3" s="71"/>
      <c r="U3" s="71"/>
      <c r="V3" s="71"/>
    </row>
    <row r="4" spans="1:25" x14ac:dyDescent="0.25">
      <c r="A4" s="71"/>
      <c r="B4" s="71"/>
      <c r="C4" s="71"/>
      <c r="D4" s="71"/>
      <c r="E4" s="71"/>
      <c r="F4" s="71" t="s">
        <v>204</v>
      </c>
      <c r="G4" s="71"/>
      <c r="H4" s="73" t="s">
        <v>205</v>
      </c>
      <c r="I4" s="74" t="s">
        <v>205</v>
      </c>
      <c r="J4" s="75"/>
      <c r="K4" s="71" t="s">
        <v>217</v>
      </c>
      <c r="L4" s="71"/>
      <c r="M4" s="71"/>
      <c r="N4" s="71"/>
      <c r="O4" s="71"/>
      <c r="P4" s="71"/>
      <c r="Q4" s="71"/>
      <c r="R4" s="71"/>
      <c r="S4" s="71"/>
      <c r="T4" s="71"/>
      <c r="U4" s="71"/>
      <c r="V4" s="71"/>
    </row>
    <row r="5" spans="1:25" x14ac:dyDescent="0.25">
      <c r="A5" s="71"/>
      <c r="B5" s="71" t="s">
        <v>206</v>
      </c>
      <c r="C5" s="71" t="s">
        <v>207</v>
      </c>
      <c r="D5" s="71" t="s">
        <v>169</v>
      </c>
      <c r="E5" s="71"/>
      <c r="F5" s="71" t="s">
        <v>208</v>
      </c>
      <c r="G5" s="71"/>
      <c r="H5" s="82" t="s">
        <v>215</v>
      </c>
      <c r="I5" s="76" t="s">
        <v>216</v>
      </c>
      <c r="J5" s="75"/>
      <c r="K5" s="71"/>
      <c r="L5" s="71"/>
      <c r="M5" s="71" t="s">
        <v>209</v>
      </c>
      <c r="N5" s="71"/>
      <c r="O5" s="73" t="s">
        <v>210</v>
      </c>
      <c r="P5" s="77" t="s">
        <v>211</v>
      </c>
      <c r="Q5" s="74" t="s">
        <v>212</v>
      </c>
      <c r="R5" s="71"/>
      <c r="S5" s="71" t="s">
        <v>218</v>
      </c>
      <c r="T5" s="71"/>
      <c r="U5" s="71" t="s">
        <v>213</v>
      </c>
      <c r="V5" s="71"/>
    </row>
    <row r="6" spans="1:25" x14ac:dyDescent="0.25">
      <c r="A6" s="71">
        <v>1</v>
      </c>
      <c r="B6" s="71">
        <v>135955</v>
      </c>
      <c r="C6" s="71">
        <v>11185</v>
      </c>
      <c r="D6" s="71">
        <v>13262</v>
      </c>
      <c r="E6" s="71"/>
      <c r="F6" s="71">
        <f>SUM(B6:D6)</f>
        <v>160402</v>
      </c>
      <c r="G6" s="71"/>
      <c r="H6" s="71">
        <v>33135</v>
      </c>
      <c r="I6" s="71">
        <f>ROUND(+H6*(1-0.02116),0)</f>
        <v>32434</v>
      </c>
      <c r="J6" s="71"/>
      <c r="K6" s="71">
        <f>+F6-I6</f>
        <v>127968</v>
      </c>
      <c r="L6" s="71"/>
      <c r="M6" s="71" t="s">
        <v>174</v>
      </c>
      <c r="N6" s="71"/>
      <c r="O6" s="78">
        <f>188693-36124</f>
        <v>152569</v>
      </c>
      <c r="P6" s="75">
        <v>36124</v>
      </c>
      <c r="Q6" s="79">
        <f>+P6+O6</f>
        <v>188693</v>
      </c>
      <c r="R6" s="71"/>
      <c r="S6" s="71">
        <f>+O6-K6</f>
        <v>24601</v>
      </c>
      <c r="T6" s="71"/>
      <c r="U6" s="80">
        <v>2.77</v>
      </c>
      <c r="V6" s="81">
        <f>+U6*S6</f>
        <v>68144.77</v>
      </c>
    </row>
    <row r="7" spans="1:25" x14ac:dyDescent="0.25">
      <c r="A7" s="71">
        <f>+A6+1</f>
        <v>2</v>
      </c>
      <c r="B7" s="71">
        <v>172800</v>
      </c>
      <c r="C7" s="71">
        <v>11168</v>
      </c>
      <c r="D7" s="71">
        <f>+D6</f>
        <v>13262</v>
      </c>
      <c r="E7" s="71"/>
      <c r="F7" s="71">
        <f t="shared" ref="F7:F34" si="0">SUM(B7:D7)</f>
        <v>197230</v>
      </c>
      <c r="G7" s="71"/>
      <c r="H7" s="71">
        <v>44907</v>
      </c>
      <c r="I7" s="71">
        <f t="shared" ref="I7:I36" si="1">ROUND(+H7*(1-0.02116),0)</f>
        <v>43957</v>
      </c>
      <c r="J7" s="71"/>
      <c r="K7" s="71">
        <f t="shared" ref="K7:K36" si="2">+F7-I7</f>
        <v>153273</v>
      </c>
      <c r="L7" s="71"/>
      <c r="M7" s="71" t="s">
        <v>174</v>
      </c>
      <c r="N7" s="71"/>
      <c r="O7" s="78">
        <f>+O6</f>
        <v>152569</v>
      </c>
      <c r="P7" s="75">
        <f>+P6</f>
        <v>36124</v>
      </c>
      <c r="Q7" s="79">
        <f t="shared" ref="Q7:Q32" si="3">+P7+O7</f>
        <v>188693</v>
      </c>
      <c r="R7" s="71"/>
      <c r="S7" s="71">
        <f t="shared" ref="S7:S34" si="4">+O7-K7</f>
        <v>-704</v>
      </c>
      <c r="T7" s="71"/>
      <c r="U7" s="80">
        <v>2.9</v>
      </c>
      <c r="V7" s="81">
        <f t="shared" ref="V7:V34" si="5">+U7*S7</f>
        <v>-2041.6</v>
      </c>
    </row>
    <row r="8" spans="1:25" x14ac:dyDescent="0.25">
      <c r="A8" s="71">
        <f t="shared" ref="A8:A34" si="6">+A7+1</f>
        <v>3</v>
      </c>
      <c r="B8" s="71">
        <v>158218</v>
      </c>
      <c r="C8" s="71">
        <v>10419</v>
      </c>
      <c r="D8" s="71">
        <f t="shared" ref="D8:D36" si="7">+D7</f>
        <v>13262</v>
      </c>
      <c r="E8" s="71"/>
      <c r="F8" s="71">
        <f t="shared" si="0"/>
        <v>181899</v>
      </c>
      <c r="G8" s="71"/>
      <c r="H8" s="71">
        <v>40994</v>
      </c>
      <c r="I8" s="71">
        <f t="shared" si="1"/>
        <v>40127</v>
      </c>
      <c r="J8" s="71"/>
      <c r="K8" s="71">
        <f t="shared" si="2"/>
        <v>141772</v>
      </c>
      <c r="L8" s="71"/>
      <c r="M8" s="71" t="s">
        <v>174</v>
      </c>
      <c r="N8" s="71"/>
      <c r="O8" s="78">
        <f t="shared" ref="O8:O32" si="8">+O7</f>
        <v>152569</v>
      </c>
      <c r="P8" s="75">
        <f t="shared" ref="P8:P32" si="9">+P7</f>
        <v>36124</v>
      </c>
      <c r="Q8" s="79">
        <f t="shared" si="3"/>
        <v>188693</v>
      </c>
      <c r="R8" s="71"/>
      <c r="S8" s="71">
        <f t="shared" si="4"/>
        <v>10797</v>
      </c>
      <c r="T8" s="71"/>
      <c r="U8" s="80">
        <v>2.9849999999999999</v>
      </c>
      <c r="V8" s="81">
        <f t="shared" si="5"/>
        <v>32229.044999999998</v>
      </c>
    </row>
    <row r="9" spans="1:25" x14ac:dyDescent="0.25">
      <c r="A9" s="71">
        <f t="shared" si="6"/>
        <v>4</v>
      </c>
      <c r="B9" s="71">
        <v>135473</v>
      </c>
      <c r="C9" s="71">
        <v>10363</v>
      </c>
      <c r="D9" s="71">
        <f t="shared" si="7"/>
        <v>13262</v>
      </c>
      <c r="E9" s="71"/>
      <c r="F9" s="71">
        <f t="shared" si="0"/>
        <v>159098</v>
      </c>
      <c r="G9" s="71"/>
      <c r="H9" s="71">
        <v>30645</v>
      </c>
      <c r="I9" s="71">
        <f t="shared" si="1"/>
        <v>29997</v>
      </c>
      <c r="J9" s="71"/>
      <c r="K9" s="71">
        <f t="shared" si="2"/>
        <v>129101</v>
      </c>
      <c r="L9" s="71"/>
      <c r="M9" s="71" t="s">
        <v>174</v>
      </c>
      <c r="N9" s="71"/>
      <c r="O9" s="78">
        <f t="shared" si="8"/>
        <v>152569</v>
      </c>
      <c r="P9" s="75">
        <f t="shared" si="9"/>
        <v>36124</v>
      </c>
      <c r="Q9" s="79">
        <f t="shared" si="3"/>
        <v>188693</v>
      </c>
      <c r="R9" s="71"/>
      <c r="S9" s="71">
        <f t="shared" si="4"/>
        <v>23468</v>
      </c>
      <c r="T9" s="71"/>
      <c r="U9" s="80">
        <v>2.92</v>
      </c>
      <c r="V9" s="81">
        <f t="shared" si="5"/>
        <v>68526.559999999998</v>
      </c>
    </row>
    <row r="10" spans="1:25" x14ac:dyDescent="0.25">
      <c r="A10" s="71">
        <f t="shared" si="6"/>
        <v>5</v>
      </c>
      <c r="B10" s="71">
        <v>130408</v>
      </c>
      <c r="C10" s="71">
        <v>10383</v>
      </c>
      <c r="D10" s="71">
        <f t="shared" si="7"/>
        <v>13262</v>
      </c>
      <c r="E10" s="71"/>
      <c r="F10" s="71">
        <f t="shared" si="0"/>
        <v>154053</v>
      </c>
      <c r="G10" s="71"/>
      <c r="H10" s="71">
        <v>36820</v>
      </c>
      <c r="I10" s="71">
        <f t="shared" si="1"/>
        <v>36041</v>
      </c>
      <c r="J10" s="71"/>
      <c r="K10" s="71">
        <f t="shared" si="2"/>
        <v>118012</v>
      </c>
      <c r="L10" s="71"/>
      <c r="M10" s="71" t="s">
        <v>174</v>
      </c>
      <c r="N10" s="71"/>
      <c r="O10" s="78">
        <f t="shared" si="8"/>
        <v>152569</v>
      </c>
      <c r="P10" s="75">
        <f t="shared" si="9"/>
        <v>36124</v>
      </c>
      <c r="Q10" s="79">
        <f t="shared" si="3"/>
        <v>188693</v>
      </c>
      <c r="R10" s="71"/>
      <c r="S10" s="71">
        <f t="shared" si="4"/>
        <v>34557</v>
      </c>
      <c r="T10" s="71"/>
      <c r="U10" s="80">
        <v>2.895</v>
      </c>
      <c r="V10" s="81">
        <f t="shared" si="5"/>
        <v>100042.515</v>
      </c>
    </row>
    <row r="11" spans="1:25" x14ac:dyDescent="0.25">
      <c r="A11" s="71">
        <f t="shared" si="6"/>
        <v>6</v>
      </c>
      <c r="B11" s="71">
        <v>0</v>
      </c>
      <c r="C11" s="71">
        <v>0</v>
      </c>
      <c r="D11" s="71">
        <v>0</v>
      </c>
      <c r="E11" s="71"/>
      <c r="F11" s="71">
        <f t="shared" si="0"/>
        <v>0</v>
      </c>
      <c r="G11" s="71"/>
      <c r="H11" s="71">
        <v>0</v>
      </c>
      <c r="I11" s="71">
        <f t="shared" si="1"/>
        <v>0</v>
      </c>
      <c r="J11" s="71"/>
      <c r="K11" s="71">
        <f t="shared" si="2"/>
        <v>0</v>
      </c>
      <c r="L11" s="71"/>
      <c r="M11" s="71" t="s">
        <v>174</v>
      </c>
      <c r="N11" s="71"/>
      <c r="O11" s="78">
        <f t="shared" si="8"/>
        <v>152569</v>
      </c>
      <c r="P11" s="75">
        <f t="shared" si="9"/>
        <v>36124</v>
      </c>
      <c r="Q11" s="79">
        <f t="shared" si="3"/>
        <v>188693</v>
      </c>
      <c r="R11" s="71"/>
      <c r="S11" s="71">
        <f t="shared" si="4"/>
        <v>152569</v>
      </c>
      <c r="T11" s="71"/>
      <c r="U11" s="80">
        <v>2.895</v>
      </c>
      <c r="V11" s="81">
        <f t="shared" si="5"/>
        <v>441687.255</v>
      </c>
    </row>
    <row r="12" spans="1:25" x14ac:dyDescent="0.25">
      <c r="A12" s="71">
        <f t="shared" si="6"/>
        <v>7</v>
      </c>
      <c r="B12" s="71">
        <f t="shared" ref="B12:B36" si="10">+B11</f>
        <v>0</v>
      </c>
      <c r="C12" s="71">
        <f t="shared" ref="C12:C36" si="11">+C11</f>
        <v>0</v>
      </c>
      <c r="D12" s="71">
        <f t="shared" si="7"/>
        <v>0</v>
      </c>
      <c r="E12" s="71"/>
      <c r="F12" s="71">
        <f t="shared" si="0"/>
        <v>0</v>
      </c>
      <c r="G12" s="71"/>
      <c r="H12" s="71">
        <f t="shared" ref="H12:H36" si="12">+H11</f>
        <v>0</v>
      </c>
      <c r="I12" s="71">
        <f t="shared" si="1"/>
        <v>0</v>
      </c>
      <c r="J12" s="71"/>
      <c r="K12" s="71">
        <f t="shared" si="2"/>
        <v>0</v>
      </c>
      <c r="L12" s="71"/>
      <c r="M12" s="71" t="s">
        <v>174</v>
      </c>
      <c r="N12" s="71"/>
      <c r="O12" s="78">
        <f t="shared" si="8"/>
        <v>152569</v>
      </c>
      <c r="P12" s="75">
        <f t="shared" si="9"/>
        <v>36124</v>
      </c>
      <c r="Q12" s="79">
        <f t="shared" si="3"/>
        <v>188693</v>
      </c>
      <c r="R12" s="71"/>
      <c r="S12" s="71">
        <f t="shared" si="4"/>
        <v>152569</v>
      </c>
      <c r="T12" s="71"/>
      <c r="U12" s="80">
        <v>2.895</v>
      </c>
      <c r="V12" s="81">
        <f t="shared" si="5"/>
        <v>441687.255</v>
      </c>
    </row>
    <row r="13" spans="1:25" x14ac:dyDescent="0.25">
      <c r="A13" s="71">
        <f t="shared" si="6"/>
        <v>8</v>
      </c>
      <c r="B13" s="71">
        <f t="shared" si="10"/>
        <v>0</v>
      </c>
      <c r="C13" s="71">
        <f t="shared" si="11"/>
        <v>0</v>
      </c>
      <c r="D13" s="71">
        <f t="shared" si="7"/>
        <v>0</v>
      </c>
      <c r="E13" s="71"/>
      <c r="F13" s="71">
        <f t="shared" si="0"/>
        <v>0</v>
      </c>
      <c r="G13" s="71"/>
      <c r="H13" s="71">
        <f t="shared" si="12"/>
        <v>0</v>
      </c>
      <c r="I13" s="71">
        <f t="shared" si="1"/>
        <v>0</v>
      </c>
      <c r="J13" s="71"/>
      <c r="K13" s="71">
        <f t="shared" si="2"/>
        <v>0</v>
      </c>
      <c r="L13" s="71"/>
      <c r="M13" s="71" t="s">
        <v>174</v>
      </c>
      <c r="N13" s="71"/>
      <c r="O13" s="78">
        <f t="shared" si="8"/>
        <v>152569</v>
      </c>
      <c r="P13" s="75">
        <f t="shared" si="9"/>
        <v>36124</v>
      </c>
      <c r="Q13" s="79">
        <f t="shared" si="3"/>
        <v>188693</v>
      </c>
      <c r="R13" s="71"/>
      <c r="S13" s="71">
        <f t="shared" si="4"/>
        <v>152569</v>
      </c>
      <c r="T13" s="71"/>
      <c r="U13" s="80">
        <v>2.93</v>
      </c>
      <c r="V13" s="81">
        <f t="shared" si="5"/>
        <v>447027.17000000004</v>
      </c>
    </row>
    <row r="14" spans="1:25" x14ac:dyDescent="0.25">
      <c r="A14" s="71">
        <f t="shared" si="6"/>
        <v>9</v>
      </c>
      <c r="B14" s="71">
        <f t="shared" si="10"/>
        <v>0</v>
      </c>
      <c r="C14" s="71">
        <f t="shared" si="11"/>
        <v>0</v>
      </c>
      <c r="D14" s="71">
        <f t="shared" si="7"/>
        <v>0</v>
      </c>
      <c r="E14" s="71"/>
      <c r="F14" s="71">
        <f t="shared" si="0"/>
        <v>0</v>
      </c>
      <c r="G14" s="71"/>
      <c r="H14" s="71">
        <f t="shared" si="12"/>
        <v>0</v>
      </c>
      <c r="I14" s="71">
        <f t="shared" si="1"/>
        <v>0</v>
      </c>
      <c r="J14" s="71"/>
      <c r="K14" s="71">
        <f t="shared" si="2"/>
        <v>0</v>
      </c>
      <c r="L14" s="71"/>
      <c r="M14" s="71" t="s">
        <v>174</v>
      </c>
      <c r="N14" s="71"/>
      <c r="O14" s="78">
        <f t="shared" si="8"/>
        <v>152569</v>
      </c>
      <c r="P14" s="75">
        <f t="shared" si="9"/>
        <v>36124</v>
      </c>
      <c r="Q14" s="79">
        <f t="shared" si="3"/>
        <v>188693</v>
      </c>
      <c r="R14" s="71"/>
      <c r="S14" s="71">
        <f t="shared" si="4"/>
        <v>152569</v>
      </c>
      <c r="T14" s="71"/>
      <c r="U14" s="80">
        <v>2.99</v>
      </c>
      <c r="V14" s="81">
        <f t="shared" si="5"/>
        <v>456181.31000000006</v>
      </c>
    </row>
    <row r="15" spans="1:25" x14ac:dyDescent="0.25">
      <c r="A15" s="71">
        <f t="shared" si="6"/>
        <v>10</v>
      </c>
      <c r="B15" s="71">
        <f t="shared" si="10"/>
        <v>0</v>
      </c>
      <c r="C15" s="71">
        <f t="shared" si="11"/>
        <v>0</v>
      </c>
      <c r="D15" s="71">
        <f t="shared" si="7"/>
        <v>0</v>
      </c>
      <c r="E15" s="71"/>
      <c r="F15" s="71">
        <f t="shared" si="0"/>
        <v>0</v>
      </c>
      <c r="G15" s="71"/>
      <c r="H15" s="71">
        <f t="shared" si="12"/>
        <v>0</v>
      </c>
      <c r="I15" s="71">
        <f t="shared" si="1"/>
        <v>0</v>
      </c>
      <c r="J15" s="71"/>
      <c r="K15" s="71">
        <f t="shared" si="2"/>
        <v>0</v>
      </c>
      <c r="L15" s="71"/>
      <c r="M15" s="71" t="s">
        <v>174</v>
      </c>
      <c r="N15" s="71"/>
      <c r="O15" s="78">
        <f t="shared" si="8"/>
        <v>152569</v>
      </c>
      <c r="P15" s="75">
        <f t="shared" si="9"/>
        <v>36124</v>
      </c>
      <c r="Q15" s="79">
        <f t="shared" si="3"/>
        <v>188693</v>
      </c>
      <c r="R15" s="71"/>
      <c r="S15" s="71">
        <f t="shared" si="4"/>
        <v>152569</v>
      </c>
      <c r="T15" s="71"/>
      <c r="U15" s="80">
        <v>2.76</v>
      </c>
      <c r="V15" s="81">
        <f t="shared" si="5"/>
        <v>421090.43999999994</v>
      </c>
    </row>
    <row r="16" spans="1:25" x14ac:dyDescent="0.25">
      <c r="A16" s="71">
        <f t="shared" si="6"/>
        <v>11</v>
      </c>
      <c r="B16" s="71">
        <f t="shared" si="10"/>
        <v>0</v>
      </c>
      <c r="C16" s="71">
        <f t="shared" si="11"/>
        <v>0</v>
      </c>
      <c r="D16" s="71">
        <f t="shared" si="7"/>
        <v>0</v>
      </c>
      <c r="E16" s="71"/>
      <c r="F16" s="71">
        <f t="shared" si="0"/>
        <v>0</v>
      </c>
      <c r="G16" s="71"/>
      <c r="H16" s="71">
        <f t="shared" si="12"/>
        <v>0</v>
      </c>
      <c r="I16" s="71">
        <f t="shared" si="1"/>
        <v>0</v>
      </c>
      <c r="J16" s="71"/>
      <c r="K16" s="71">
        <f t="shared" si="2"/>
        <v>0</v>
      </c>
      <c r="L16" s="71"/>
      <c r="M16" s="71" t="s">
        <v>174</v>
      </c>
      <c r="N16" s="71"/>
      <c r="O16" s="78">
        <f t="shared" si="8"/>
        <v>152569</v>
      </c>
      <c r="P16" s="75">
        <f t="shared" si="9"/>
        <v>36124</v>
      </c>
      <c r="Q16" s="79">
        <f t="shared" si="3"/>
        <v>188693</v>
      </c>
      <c r="R16" s="71"/>
      <c r="S16" s="71">
        <f t="shared" si="4"/>
        <v>152569</v>
      </c>
      <c r="T16" s="71"/>
      <c r="U16" s="80">
        <v>2.77</v>
      </c>
      <c r="V16" s="81">
        <f t="shared" si="5"/>
        <v>422616.13</v>
      </c>
    </row>
    <row r="17" spans="1:26" x14ac:dyDescent="0.25">
      <c r="A17" s="71">
        <f t="shared" si="6"/>
        <v>12</v>
      </c>
      <c r="B17" s="71">
        <f t="shared" si="10"/>
        <v>0</v>
      </c>
      <c r="C17" s="71">
        <f t="shared" si="11"/>
        <v>0</v>
      </c>
      <c r="D17" s="71">
        <f t="shared" si="7"/>
        <v>0</v>
      </c>
      <c r="E17" s="71"/>
      <c r="F17" s="71">
        <f t="shared" si="0"/>
        <v>0</v>
      </c>
      <c r="G17" s="71"/>
      <c r="H17" s="71">
        <f t="shared" si="12"/>
        <v>0</v>
      </c>
      <c r="I17" s="71">
        <f t="shared" si="1"/>
        <v>0</v>
      </c>
      <c r="J17" s="71"/>
      <c r="K17" s="71">
        <f t="shared" si="2"/>
        <v>0</v>
      </c>
      <c r="L17" s="71"/>
      <c r="M17" s="71" t="s">
        <v>174</v>
      </c>
      <c r="N17" s="71"/>
      <c r="O17" s="78">
        <f t="shared" si="8"/>
        <v>152569</v>
      </c>
      <c r="P17" s="75">
        <f t="shared" si="9"/>
        <v>36124</v>
      </c>
      <c r="Q17" s="79">
        <f t="shared" si="3"/>
        <v>188693</v>
      </c>
      <c r="R17" s="71"/>
      <c r="S17" s="71">
        <f t="shared" si="4"/>
        <v>152569</v>
      </c>
      <c r="T17" s="71"/>
      <c r="U17" s="80">
        <v>2.7749999999999999</v>
      </c>
      <c r="V17" s="81">
        <f t="shared" si="5"/>
        <v>423378.97499999998</v>
      </c>
    </row>
    <row r="18" spans="1:26" x14ac:dyDescent="0.25">
      <c r="A18" s="71">
        <f t="shared" si="6"/>
        <v>13</v>
      </c>
      <c r="B18" s="71">
        <f t="shared" si="10"/>
        <v>0</v>
      </c>
      <c r="C18" s="71">
        <f t="shared" si="11"/>
        <v>0</v>
      </c>
      <c r="D18" s="71">
        <f t="shared" si="7"/>
        <v>0</v>
      </c>
      <c r="E18" s="71"/>
      <c r="F18" s="71">
        <f t="shared" si="0"/>
        <v>0</v>
      </c>
      <c r="G18" s="71"/>
      <c r="H18" s="71">
        <f t="shared" si="12"/>
        <v>0</v>
      </c>
      <c r="I18" s="71">
        <f t="shared" si="1"/>
        <v>0</v>
      </c>
      <c r="J18" s="71"/>
      <c r="K18" s="71">
        <f t="shared" si="2"/>
        <v>0</v>
      </c>
      <c r="L18" s="71"/>
      <c r="M18" s="71" t="s">
        <v>174</v>
      </c>
      <c r="N18" s="71"/>
      <c r="O18" s="78">
        <f t="shared" si="8"/>
        <v>152569</v>
      </c>
      <c r="P18" s="75">
        <f t="shared" si="9"/>
        <v>36124</v>
      </c>
      <c r="Q18" s="79">
        <f t="shared" si="3"/>
        <v>188693</v>
      </c>
      <c r="R18" s="71"/>
      <c r="S18" s="71">
        <f t="shared" si="4"/>
        <v>152569</v>
      </c>
      <c r="T18" s="71"/>
      <c r="U18" s="80">
        <v>2.7749999999999999</v>
      </c>
      <c r="V18" s="81">
        <f t="shared" si="5"/>
        <v>423378.97499999998</v>
      </c>
    </row>
    <row r="19" spans="1:26" x14ac:dyDescent="0.25">
      <c r="A19" s="71">
        <f t="shared" si="6"/>
        <v>14</v>
      </c>
      <c r="B19" s="71">
        <f t="shared" si="10"/>
        <v>0</v>
      </c>
      <c r="C19" s="71">
        <f t="shared" si="11"/>
        <v>0</v>
      </c>
      <c r="D19" s="71">
        <f t="shared" si="7"/>
        <v>0</v>
      </c>
      <c r="E19" s="71"/>
      <c r="F19" s="71">
        <f t="shared" si="0"/>
        <v>0</v>
      </c>
      <c r="G19" s="71"/>
      <c r="H19" s="71">
        <f t="shared" si="12"/>
        <v>0</v>
      </c>
      <c r="I19" s="71">
        <f t="shared" si="1"/>
        <v>0</v>
      </c>
      <c r="J19" s="71"/>
      <c r="K19" s="71">
        <f t="shared" si="2"/>
        <v>0</v>
      </c>
      <c r="L19" s="71"/>
      <c r="M19" s="71" t="s">
        <v>174</v>
      </c>
      <c r="N19" s="71"/>
      <c r="O19" s="78">
        <f t="shared" si="8"/>
        <v>152569</v>
      </c>
      <c r="P19" s="75">
        <f t="shared" si="9"/>
        <v>36124</v>
      </c>
      <c r="Q19" s="79">
        <f t="shared" si="3"/>
        <v>188693</v>
      </c>
      <c r="R19" s="71"/>
      <c r="S19" s="71">
        <f t="shared" si="4"/>
        <v>152569</v>
      </c>
      <c r="T19" s="71"/>
      <c r="U19" s="80">
        <v>2.7749999999999999</v>
      </c>
      <c r="V19" s="81">
        <f t="shared" si="5"/>
        <v>423378.97499999998</v>
      </c>
    </row>
    <row r="20" spans="1:26" x14ac:dyDescent="0.25">
      <c r="A20" s="71">
        <f t="shared" si="6"/>
        <v>15</v>
      </c>
      <c r="B20" s="71">
        <f t="shared" si="10"/>
        <v>0</v>
      </c>
      <c r="C20" s="71">
        <f t="shared" si="11"/>
        <v>0</v>
      </c>
      <c r="D20" s="71">
        <f t="shared" si="7"/>
        <v>0</v>
      </c>
      <c r="E20" s="71"/>
      <c r="F20" s="71">
        <f t="shared" si="0"/>
        <v>0</v>
      </c>
      <c r="G20" s="71"/>
      <c r="H20" s="71">
        <f t="shared" si="12"/>
        <v>0</v>
      </c>
      <c r="I20" s="71">
        <f t="shared" si="1"/>
        <v>0</v>
      </c>
      <c r="J20" s="71"/>
      <c r="K20" s="71">
        <f t="shared" si="2"/>
        <v>0</v>
      </c>
      <c r="L20" s="71"/>
      <c r="M20" s="71" t="s">
        <v>174</v>
      </c>
      <c r="N20" s="71"/>
      <c r="O20" s="78">
        <f t="shared" si="8"/>
        <v>152569</v>
      </c>
      <c r="P20" s="75">
        <f t="shared" si="9"/>
        <v>36124</v>
      </c>
      <c r="Q20" s="79">
        <f t="shared" si="3"/>
        <v>188693</v>
      </c>
      <c r="R20" s="71"/>
      <c r="S20" s="71">
        <f t="shared" si="4"/>
        <v>152569</v>
      </c>
      <c r="T20" s="71"/>
      <c r="U20" s="80">
        <v>2.7450000000000001</v>
      </c>
      <c r="V20" s="81">
        <f t="shared" si="5"/>
        <v>418801.90500000003</v>
      </c>
    </row>
    <row r="21" spans="1:26" x14ac:dyDescent="0.25">
      <c r="A21" s="71">
        <f t="shared" si="6"/>
        <v>16</v>
      </c>
      <c r="B21" s="71">
        <f t="shared" si="10"/>
        <v>0</v>
      </c>
      <c r="C21" s="71">
        <f t="shared" si="11"/>
        <v>0</v>
      </c>
      <c r="D21" s="71">
        <f t="shared" si="7"/>
        <v>0</v>
      </c>
      <c r="E21" s="71"/>
      <c r="F21" s="71">
        <f t="shared" si="0"/>
        <v>0</v>
      </c>
      <c r="G21" s="71"/>
      <c r="H21" s="71">
        <f t="shared" si="12"/>
        <v>0</v>
      </c>
      <c r="I21" s="71">
        <f t="shared" si="1"/>
        <v>0</v>
      </c>
      <c r="J21" s="71"/>
      <c r="K21" s="71">
        <f t="shared" si="2"/>
        <v>0</v>
      </c>
      <c r="L21" s="71"/>
      <c r="M21" s="71" t="s">
        <v>174</v>
      </c>
      <c r="N21" s="71"/>
      <c r="O21" s="78">
        <f t="shared" si="8"/>
        <v>152569</v>
      </c>
      <c r="P21" s="75">
        <f t="shared" si="9"/>
        <v>36124</v>
      </c>
      <c r="Q21" s="79">
        <f t="shared" si="3"/>
        <v>188693</v>
      </c>
      <c r="R21" s="71"/>
      <c r="S21" s="71">
        <f t="shared" si="4"/>
        <v>152569</v>
      </c>
      <c r="T21" s="71"/>
      <c r="U21" s="80">
        <v>2.7549999999999999</v>
      </c>
      <c r="V21" s="81">
        <f t="shared" si="5"/>
        <v>420327.59499999997</v>
      </c>
    </row>
    <row r="22" spans="1:26" x14ac:dyDescent="0.25">
      <c r="A22" s="71">
        <f t="shared" si="6"/>
        <v>17</v>
      </c>
      <c r="B22" s="71">
        <f t="shared" si="10"/>
        <v>0</v>
      </c>
      <c r="C22" s="71">
        <f t="shared" si="11"/>
        <v>0</v>
      </c>
      <c r="D22" s="71">
        <f t="shared" si="7"/>
        <v>0</v>
      </c>
      <c r="E22" s="71"/>
      <c r="F22" s="71">
        <f t="shared" si="0"/>
        <v>0</v>
      </c>
      <c r="G22" s="71"/>
      <c r="H22" s="71">
        <f t="shared" si="12"/>
        <v>0</v>
      </c>
      <c r="I22" s="71">
        <f t="shared" si="1"/>
        <v>0</v>
      </c>
      <c r="J22" s="71"/>
      <c r="K22" s="71">
        <f t="shared" si="2"/>
        <v>0</v>
      </c>
      <c r="L22" s="71"/>
      <c r="M22" s="71" t="s">
        <v>174</v>
      </c>
      <c r="N22" s="71"/>
      <c r="O22" s="78">
        <f t="shared" si="8"/>
        <v>152569</v>
      </c>
      <c r="P22" s="75">
        <f t="shared" si="9"/>
        <v>36124</v>
      </c>
      <c r="Q22" s="79">
        <f t="shared" si="3"/>
        <v>188693</v>
      </c>
      <c r="R22" s="71"/>
      <c r="S22" s="71">
        <f t="shared" si="4"/>
        <v>152569</v>
      </c>
      <c r="T22" s="71"/>
      <c r="U22" s="80">
        <v>2.7850000000000001</v>
      </c>
      <c r="V22" s="81">
        <f t="shared" si="5"/>
        <v>424904.66500000004</v>
      </c>
    </row>
    <row r="23" spans="1:26" x14ac:dyDescent="0.25">
      <c r="A23" s="71">
        <f t="shared" si="6"/>
        <v>18</v>
      </c>
      <c r="B23" s="71">
        <f t="shared" si="10"/>
        <v>0</v>
      </c>
      <c r="C23" s="71">
        <f t="shared" si="11"/>
        <v>0</v>
      </c>
      <c r="D23" s="71">
        <f t="shared" si="7"/>
        <v>0</v>
      </c>
      <c r="E23" s="71"/>
      <c r="F23" s="71">
        <f t="shared" si="0"/>
        <v>0</v>
      </c>
      <c r="G23" s="71"/>
      <c r="H23" s="71">
        <f t="shared" si="12"/>
        <v>0</v>
      </c>
      <c r="I23" s="71">
        <f t="shared" si="1"/>
        <v>0</v>
      </c>
      <c r="J23" s="71"/>
      <c r="K23" s="71">
        <f t="shared" si="2"/>
        <v>0</v>
      </c>
      <c r="L23" s="71"/>
      <c r="M23" s="71" t="s">
        <v>174</v>
      </c>
      <c r="N23" s="71"/>
      <c r="O23" s="78">
        <f t="shared" si="8"/>
        <v>152569</v>
      </c>
      <c r="P23" s="75">
        <f t="shared" si="9"/>
        <v>36124</v>
      </c>
      <c r="Q23" s="79">
        <f t="shared" si="3"/>
        <v>188693</v>
      </c>
      <c r="R23" s="71"/>
      <c r="S23" s="71">
        <f t="shared" si="4"/>
        <v>152569</v>
      </c>
      <c r="T23" s="71"/>
      <c r="U23" s="80">
        <v>2.79</v>
      </c>
      <c r="V23" s="81">
        <f t="shared" si="5"/>
        <v>425667.51</v>
      </c>
    </row>
    <row r="24" spans="1:26" x14ac:dyDescent="0.25">
      <c r="A24" s="71">
        <f t="shared" si="6"/>
        <v>19</v>
      </c>
      <c r="B24" s="71">
        <f t="shared" si="10"/>
        <v>0</v>
      </c>
      <c r="C24" s="71">
        <f t="shared" si="11"/>
        <v>0</v>
      </c>
      <c r="D24" s="71">
        <f t="shared" si="7"/>
        <v>0</v>
      </c>
      <c r="E24" s="71"/>
      <c r="F24" s="71">
        <f t="shared" si="0"/>
        <v>0</v>
      </c>
      <c r="G24" s="71"/>
      <c r="H24" s="71">
        <f t="shared" si="12"/>
        <v>0</v>
      </c>
      <c r="I24" s="71">
        <f t="shared" si="1"/>
        <v>0</v>
      </c>
      <c r="J24" s="71"/>
      <c r="K24" s="71">
        <f t="shared" si="2"/>
        <v>0</v>
      </c>
      <c r="L24" s="71"/>
      <c r="M24" s="71" t="s">
        <v>174</v>
      </c>
      <c r="N24" s="71"/>
      <c r="O24" s="78">
        <f t="shared" si="8"/>
        <v>152569</v>
      </c>
      <c r="P24" s="75">
        <f t="shared" si="9"/>
        <v>36124</v>
      </c>
      <c r="Q24" s="79">
        <f t="shared" si="3"/>
        <v>188693</v>
      </c>
      <c r="R24" s="71"/>
      <c r="S24" s="71">
        <f t="shared" si="4"/>
        <v>152569</v>
      </c>
      <c r="T24" s="71"/>
      <c r="U24" s="80">
        <v>2.78</v>
      </c>
      <c r="V24" s="81">
        <f t="shared" si="5"/>
        <v>424141.81999999995</v>
      </c>
    </row>
    <row r="25" spans="1:26" x14ac:dyDescent="0.25">
      <c r="A25" s="71">
        <f t="shared" si="6"/>
        <v>20</v>
      </c>
      <c r="B25" s="71">
        <f t="shared" si="10"/>
        <v>0</v>
      </c>
      <c r="C25" s="71">
        <f t="shared" si="11"/>
        <v>0</v>
      </c>
      <c r="D25" s="71">
        <f t="shared" si="7"/>
        <v>0</v>
      </c>
      <c r="E25" s="71"/>
      <c r="F25" s="71">
        <f t="shared" si="0"/>
        <v>0</v>
      </c>
      <c r="G25" s="71"/>
      <c r="H25" s="71">
        <f t="shared" si="12"/>
        <v>0</v>
      </c>
      <c r="I25" s="71">
        <f t="shared" si="1"/>
        <v>0</v>
      </c>
      <c r="J25" s="71"/>
      <c r="K25" s="71">
        <f t="shared" si="2"/>
        <v>0</v>
      </c>
      <c r="L25" s="71"/>
      <c r="M25" s="71" t="s">
        <v>174</v>
      </c>
      <c r="N25" s="71"/>
      <c r="O25" s="78">
        <f t="shared" si="8"/>
        <v>152569</v>
      </c>
      <c r="P25" s="75">
        <f t="shared" si="9"/>
        <v>36124</v>
      </c>
      <c r="Q25" s="79">
        <f t="shared" si="3"/>
        <v>188693</v>
      </c>
      <c r="R25" s="71"/>
      <c r="S25" s="71">
        <f t="shared" si="4"/>
        <v>152569</v>
      </c>
      <c r="T25" s="71"/>
      <c r="U25" s="80">
        <v>2.78</v>
      </c>
      <c r="V25" s="81">
        <f t="shared" si="5"/>
        <v>424141.81999999995</v>
      </c>
    </row>
    <row r="26" spans="1:26" x14ac:dyDescent="0.25">
      <c r="A26" s="71">
        <f t="shared" si="6"/>
        <v>21</v>
      </c>
      <c r="B26" s="71">
        <f t="shared" si="10"/>
        <v>0</v>
      </c>
      <c r="C26" s="71">
        <f t="shared" si="11"/>
        <v>0</v>
      </c>
      <c r="D26" s="71">
        <f t="shared" si="7"/>
        <v>0</v>
      </c>
      <c r="E26" s="71"/>
      <c r="F26" s="71">
        <f t="shared" si="0"/>
        <v>0</v>
      </c>
      <c r="G26" s="71"/>
      <c r="H26" s="71">
        <f t="shared" si="12"/>
        <v>0</v>
      </c>
      <c r="I26" s="71">
        <f t="shared" si="1"/>
        <v>0</v>
      </c>
      <c r="J26" s="71"/>
      <c r="K26" s="71">
        <f t="shared" si="2"/>
        <v>0</v>
      </c>
      <c r="L26" s="71"/>
      <c r="M26" s="71" t="s">
        <v>174</v>
      </c>
      <c r="N26" s="71"/>
      <c r="O26" s="78">
        <f t="shared" si="8"/>
        <v>152569</v>
      </c>
      <c r="P26" s="75">
        <f t="shared" si="9"/>
        <v>36124</v>
      </c>
      <c r="Q26" s="79">
        <f t="shared" si="3"/>
        <v>188693</v>
      </c>
      <c r="R26" s="71"/>
      <c r="S26" s="71">
        <f t="shared" si="4"/>
        <v>152569</v>
      </c>
      <c r="T26" s="71"/>
      <c r="U26" s="80">
        <v>2.78</v>
      </c>
      <c r="V26" s="81">
        <f t="shared" si="5"/>
        <v>424141.81999999995</v>
      </c>
    </row>
    <row r="27" spans="1:26" x14ac:dyDescent="0.25">
      <c r="A27" s="71">
        <f t="shared" si="6"/>
        <v>22</v>
      </c>
      <c r="B27" s="71">
        <f t="shared" si="10"/>
        <v>0</v>
      </c>
      <c r="C27" s="71">
        <f t="shared" si="11"/>
        <v>0</v>
      </c>
      <c r="D27" s="71">
        <f t="shared" si="7"/>
        <v>0</v>
      </c>
      <c r="E27" s="71"/>
      <c r="F27" s="71">
        <f t="shared" si="0"/>
        <v>0</v>
      </c>
      <c r="G27" s="71"/>
      <c r="H27" s="71">
        <f t="shared" si="12"/>
        <v>0</v>
      </c>
      <c r="I27" s="71">
        <f t="shared" si="1"/>
        <v>0</v>
      </c>
      <c r="J27" s="71"/>
      <c r="K27" s="71">
        <f t="shared" si="2"/>
        <v>0</v>
      </c>
      <c r="L27" s="71"/>
      <c r="M27" s="71" t="s">
        <v>174</v>
      </c>
      <c r="N27" s="71"/>
      <c r="O27" s="78">
        <f t="shared" si="8"/>
        <v>152569</v>
      </c>
      <c r="P27" s="75">
        <f t="shared" si="9"/>
        <v>36124</v>
      </c>
      <c r="Q27" s="79">
        <f t="shared" si="3"/>
        <v>188693</v>
      </c>
      <c r="R27" s="71"/>
      <c r="S27" s="71">
        <f t="shared" si="4"/>
        <v>152569</v>
      </c>
      <c r="T27" s="71"/>
      <c r="U27" s="80">
        <v>2.78</v>
      </c>
      <c r="V27" s="81">
        <f t="shared" si="5"/>
        <v>424141.81999999995</v>
      </c>
    </row>
    <row r="28" spans="1:26" x14ac:dyDescent="0.25">
      <c r="A28" s="71">
        <f t="shared" si="6"/>
        <v>23</v>
      </c>
      <c r="B28" s="71">
        <f t="shared" si="10"/>
        <v>0</v>
      </c>
      <c r="C28" s="71">
        <f t="shared" si="11"/>
        <v>0</v>
      </c>
      <c r="D28" s="71">
        <f t="shared" si="7"/>
        <v>0</v>
      </c>
      <c r="E28" s="71"/>
      <c r="F28" s="71">
        <f t="shared" si="0"/>
        <v>0</v>
      </c>
      <c r="G28" s="71"/>
      <c r="H28" s="71">
        <f t="shared" si="12"/>
        <v>0</v>
      </c>
      <c r="I28" s="71">
        <f t="shared" si="1"/>
        <v>0</v>
      </c>
      <c r="J28" s="71"/>
      <c r="K28" s="71">
        <f t="shared" si="2"/>
        <v>0</v>
      </c>
      <c r="L28" s="71"/>
      <c r="M28" s="71" t="s">
        <v>174</v>
      </c>
      <c r="N28" s="71"/>
      <c r="O28" s="78">
        <f t="shared" si="8"/>
        <v>152569</v>
      </c>
      <c r="P28" s="75">
        <f t="shared" si="9"/>
        <v>36124</v>
      </c>
      <c r="Q28" s="79">
        <f t="shared" si="3"/>
        <v>188693</v>
      </c>
      <c r="R28" s="71"/>
      <c r="S28" s="71">
        <f t="shared" si="4"/>
        <v>152569</v>
      </c>
      <c r="T28" s="71"/>
      <c r="U28" s="80">
        <v>2.67</v>
      </c>
      <c r="V28" s="81">
        <f t="shared" si="5"/>
        <v>407359.23</v>
      </c>
    </row>
    <row r="29" spans="1:26" x14ac:dyDescent="0.25">
      <c r="A29" s="71">
        <f t="shared" si="6"/>
        <v>24</v>
      </c>
      <c r="B29" s="71">
        <f t="shared" si="10"/>
        <v>0</v>
      </c>
      <c r="C29" s="71">
        <f t="shared" si="11"/>
        <v>0</v>
      </c>
      <c r="D29" s="71">
        <f t="shared" si="7"/>
        <v>0</v>
      </c>
      <c r="E29" s="71"/>
      <c r="F29" s="71">
        <f t="shared" si="0"/>
        <v>0</v>
      </c>
      <c r="G29" s="71"/>
      <c r="H29" s="71">
        <f t="shared" si="12"/>
        <v>0</v>
      </c>
      <c r="I29" s="71">
        <f t="shared" si="1"/>
        <v>0</v>
      </c>
      <c r="J29" s="71"/>
      <c r="K29" s="71">
        <f t="shared" si="2"/>
        <v>0</v>
      </c>
      <c r="L29" s="71"/>
      <c r="M29" s="71" t="s">
        <v>174</v>
      </c>
      <c r="N29" s="71"/>
      <c r="O29" s="78">
        <f t="shared" si="8"/>
        <v>152569</v>
      </c>
      <c r="P29" s="75">
        <f t="shared" si="9"/>
        <v>36124</v>
      </c>
      <c r="Q29" s="79">
        <f t="shared" si="3"/>
        <v>188693</v>
      </c>
      <c r="R29" s="71"/>
      <c r="S29" s="71">
        <f t="shared" si="4"/>
        <v>152569</v>
      </c>
      <c r="T29" s="71"/>
      <c r="U29" s="80">
        <v>2.5950000000000002</v>
      </c>
      <c r="V29" s="81">
        <f t="shared" si="5"/>
        <v>395916.55500000005</v>
      </c>
    </row>
    <row r="30" spans="1:26" x14ac:dyDescent="0.25">
      <c r="A30" s="71">
        <f t="shared" si="6"/>
        <v>25</v>
      </c>
      <c r="B30" s="71">
        <f t="shared" si="10"/>
        <v>0</v>
      </c>
      <c r="C30" s="71">
        <f t="shared" si="11"/>
        <v>0</v>
      </c>
      <c r="D30" s="71">
        <f t="shared" si="7"/>
        <v>0</v>
      </c>
      <c r="E30" s="71"/>
      <c r="F30" s="71">
        <f t="shared" si="0"/>
        <v>0</v>
      </c>
      <c r="G30" s="71"/>
      <c r="H30" s="71">
        <f t="shared" si="12"/>
        <v>0</v>
      </c>
      <c r="I30" s="71">
        <f t="shared" si="1"/>
        <v>0</v>
      </c>
      <c r="J30" s="71"/>
      <c r="K30" s="71">
        <f t="shared" si="2"/>
        <v>0</v>
      </c>
      <c r="L30" s="71"/>
      <c r="M30" s="71" t="s">
        <v>174</v>
      </c>
      <c r="N30" s="71"/>
      <c r="O30" s="78">
        <f t="shared" si="8"/>
        <v>152569</v>
      </c>
      <c r="P30" s="75">
        <f t="shared" si="9"/>
        <v>36124</v>
      </c>
      <c r="Q30" s="79">
        <f t="shared" si="3"/>
        <v>188693</v>
      </c>
      <c r="R30" s="71"/>
      <c r="S30" s="71">
        <f t="shared" si="4"/>
        <v>152569</v>
      </c>
      <c r="T30" s="71"/>
      <c r="U30" s="80">
        <v>2.63</v>
      </c>
      <c r="V30" s="81">
        <f t="shared" si="5"/>
        <v>401256.47</v>
      </c>
      <c r="X30" s="72">
        <v>166288</v>
      </c>
      <c r="Y30" s="80">
        <v>2.63</v>
      </c>
      <c r="Z30" s="81">
        <f t="shared" ref="Z30:Z36" si="13">+Y30*X30</f>
        <v>437337.44</v>
      </c>
    </row>
    <row r="31" spans="1:26" x14ac:dyDescent="0.25">
      <c r="A31" s="71">
        <f t="shared" si="6"/>
        <v>26</v>
      </c>
      <c r="B31" s="71">
        <f t="shared" si="10"/>
        <v>0</v>
      </c>
      <c r="C31" s="71">
        <f t="shared" si="11"/>
        <v>0</v>
      </c>
      <c r="D31" s="71">
        <f t="shared" si="7"/>
        <v>0</v>
      </c>
      <c r="E31" s="71"/>
      <c r="F31" s="71">
        <f t="shared" si="0"/>
        <v>0</v>
      </c>
      <c r="G31" s="71"/>
      <c r="H31" s="71">
        <f t="shared" si="12"/>
        <v>0</v>
      </c>
      <c r="I31" s="71">
        <f t="shared" si="1"/>
        <v>0</v>
      </c>
      <c r="J31" s="71"/>
      <c r="K31" s="71">
        <f t="shared" si="2"/>
        <v>0</v>
      </c>
      <c r="L31" s="71"/>
      <c r="M31" s="71" t="s">
        <v>174</v>
      </c>
      <c r="N31" s="71"/>
      <c r="O31" s="78">
        <f t="shared" si="8"/>
        <v>152569</v>
      </c>
      <c r="P31" s="75">
        <f t="shared" si="9"/>
        <v>36124</v>
      </c>
      <c r="Q31" s="79">
        <f t="shared" si="3"/>
        <v>188693</v>
      </c>
      <c r="R31" s="71"/>
      <c r="S31" s="71">
        <f t="shared" si="4"/>
        <v>152569</v>
      </c>
      <c r="T31" s="71"/>
      <c r="U31" s="80">
        <v>2.63</v>
      </c>
      <c r="V31" s="81">
        <f t="shared" si="5"/>
        <v>401256.47</v>
      </c>
      <c r="X31" s="72">
        <v>166288</v>
      </c>
      <c r="Y31" s="80">
        <v>2.63</v>
      </c>
      <c r="Z31" s="81">
        <f t="shared" si="13"/>
        <v>437337.44</v>
      </c>
    </row>
    <row r="32" spans="1:26" x14ac:dyDescent="0.25">
      <c r="A32" s="71">
        <f t="shared" si="6"/>
        <v>27</v>
      </c>
      <c r="B32" s="71">
        <f t="shared" si="10"/>
        <v>0</v>
      </c>
      <c r="C32" s="71">
        <f t="shared" si="11"/>
        <v>0</v>
      </c>
      <c r="D32" s="71">
        <f t="shared" si="7"/>
        <v>0</v>
      </c>
      <c r="E32" s="71"/>
      <c r="F32" s="71">
        <f t="shared" si="0"/>
        <v>0</v>
      </c>
      <c r="G32" s="71"/>
      <c r="H32" s="71">
        <f t="shared" si="12"/>
        <v>0</v>
      </c>
      <c r="I32" s="71">
        <f t="shared" si="1"/>
        <v>0</v>
      </c>
      <c r="J32" s="71"/>
      <c r="K32" s="71">
        <f t="shared" si="2"/>
        <v>0</v>
      </c>
      <c r="L32" s="71"/>
      <c r="M32" s="71" t="s">
        <v>174</v>
      </c>
      <c r="N32" s="71"/>
      <c r="O32" s="78">
        <f t="shared" si="8"/>
        <v>152569</v>
      </c>
      <c r="P32" s="75">
        <f t="shared" si="9"/>
        <v>36124</v>
      </c>
      <c r="Q32" s="79">
        <f t="shared" si="3"/>
        <v>188693</v>
      </c>
      <c r="R32" s="71"/>
      <c r="S32" s="71">
        <f t="shared" si="4"/>
        <v>152569</v>
      </c>
      <c r="T32" s="71"/>
      <c r="U32" s="80">
        <v>2.63</v>
      </c>
      <c r="V32" s="81">
        <f t="shared" si="5"/>
        <v>401256.47</v>
      </c>
      <c r="X32" s="72">
        <v>166288</v>
      </c>
      <c r="Y32" s="80">
        <v>2.63</v>
      </c>
      <c r="Z32" s="81">
        <f t="shared" si="13"/>
        <v>437337.44</v>
      </c>
    </row>
    <row r="33" spans="1:26" x14ac:dyDescent="0.25">
      <c r="A33" s="71">
        <f t="shared" si="6"/>
        <v>28</v>
      </c>
      <c r="B33" s="71">
        <f t="shared" si="10"/>
        <v>0</v>
      </c>
      <c r="C33" s="71">
        <f t="shared" si="11"/>
        <v>0</v>
      </c>
      <c r="D33" s="71">
        <f t="shared" si="7"/>
        <v>0</v>
      </c>
      <c r="E33" s="71"/>
      <c r="F33" s="71">
        <f t="shared" si="0"/>
        <v>0</v>
      </c>
      <c r="G33" s="71"/>
      <c r="H33" s="71">
        <f t="shared" si="12"/>
        <v>0</v>
      </c>
      <c r="I33" s="71">
        <f t="shared" si="1"/>
        <v>0</v>
      </c>
      <c r="J33" s="71"/>
      <c r="K33" s="71">
        <f t="shared" si="2"/>
        <v>0</v>
      </c>
      <c r="L33" s="71"/>
      <c r="M33" s="71" t="s">
        <v>174</v>
      </c>
      <c r="N33" s="71"/>
      <c r="O33" s="78">
        <f t="shared" ref="O33:P36" si="14">+O32</f>
        <v>152569</v>
      </c>
      <c r="P33" s="75">
        <f t="shared" si="14"/>
        <v>36124</v>
      </c>
      <c r="Q33" s="79">
        <f>+P33+O33</f>
        <v>188693</v>
      </c>
      <c r="R33" s="71"/>
      <c r="S33" s="71">
        <f t="shared" si="4"/>
        <v>152569</v>
      </c>
      <c r="T33" s="71"/>
      <c r="U33" s="80">
        <v>2.63</v>
      </c>
      <c r="V33" s="81">
        <f t="shared" si="5"/>
        <v>401256.47</v>
      </c>
      <c r="X33" s="72">
        <v>166288</v>
      </c>
      <c r="Y33" s="80">
        <v>2.63</v>
      </c>
      <c r="Z33" s="81">
        <f t="shared" si="13"/>
        <v>437337.44</v>
      </c>
    </row>
    <row r="34" spans="1:26" x14ac:dyDescent="0.25">
      <c r="A34" s="71">
        <f t="shared" si="6"/>
        <v>29</v>
      </c>
      <c r="B34" s="71">
        <f t="shared" si="10"/>
        <v>0</v>
      </c>
      <c r="C34" s="71">
        <f t="shared" si="11"/>
        <v>0</v>
      </c>
      <c r="D34" s="71">
        <f t="shared" si="7"/>
        <v>0</v>
      </c>
      <c r="E34" s="71"/>
      <c r="F34" s="71">
        <f t="shared" si="0"/>
        <v>0</v>
      </c>
      <c r="G34" s="71"/>
      <c r="H34" s="71">
        <f t="shared" si="12"/>
        <v>0</v>
      </c>
      <c r="I34" s="71">
        <f t="shared" si="1"/>
        <v>0</v>
      </c>
      <c r="J34" s="71"/>
      <c r="K34" s="71">
        <f t="shared" si="2"/>
        <v>0</v>
      </c>
      <c r="L34" s="71"/>
      <c r="M34" s="71" t="s">
        <v>174</v>
      </c>
      <c r="N34" s="71"/>
      <c r="O34" s="78">
        <f t="shared" si="14"/>
        <v>152569</v>
      </c>
      <c r="P34" s="75">
        <f t="shared" si="14"/>
        <v>36124</v>
      </c>
      <c r="Q34" s="79">
        <f>+P34+O34</f>
        <v>188693</v>
      </c>
      <c r="R34" s="71"/>
      <c r="S34" s="71">
        <f t="shared" si="4"/>
        <v>152569</v>
      </c>
      <c r="T34" s="71"/>
      <c r="U34" s="80">
        <v>2.63</v>
      </c>
      <c r="V34" s="81">
        <f t="shared" si="5"/>
        <v>401256.47</v>
      </c>
      <c r="X34" s="72">
        <v>166288</v>
      </c>
      <c r="Y34" s="80">
        <v>2.63</v>
      </c>
      <c r="Z34" s="81">
        <f t="shared" si="13"/>
        <v>437337.44</v>
      </c>
    </row>
    <row r="35" spans="1:26" x14ac:dyDescent="0.25">
      <c r="A35" s="71">
        <f>+A34+1</f>
        <v>30</v>
      </c>
      <c r="B35" s="71">
        <f t="shared" si="10"/>
        <v>0</v>
      </c>
      <c r="C35" s="71">
        <f t="shared" si="11"/>
        <v>0</v>
      </c>
      <c r="D35" s="71">
        <f t="shared" si="7"/>
        <v>0</v>
      </c>
      <c r="E35" s="71"/>
      <c r="F35" s="71">
        <f>SUM(B35:D35)</f>
        <v>0</v>
      </c>
      <c r="G35" s="71"/>
      <c r="H35" s="71">
        <f t="shared" si="12"/>
        <v>0</v>
      </c>
      <c r="I35" s="71">
        <f t="shared" si="1"/>
        <v>0</v>
      </c>
      <c r="J35" s="71"/>
      <c r="K35" s="71">
        <f t="shared" si="2"/>
        <v>0</v>
      </c>
      <c r="L35" s="71"/>
      <c r="M35" s="71" t="s">
        <v>174</v>
      </c>
      <c r="N35" s="71"/>
      <c r="O35" s="78">
        <f t="shared" si="14"/>
        <v>152569</v>
      </c>
      <c r="P35" s="75">
        <f t="shared" si="14"/>
        <v>36124</v>
      </c>
      <c r="Q35" s="79">
        <f>+P35+O35</f>
        <v>188693</v>
      </c>
      <c r="R35" s="71"/>
      <c r="S35" s="71">
        <f>+O35-K35</f>
        <v>152569</v>
      </c>
      <c r="T35" s="71"/>
      <c r="U35" s="80">
        <v>2.63</v>
      </c>
      <c r="V35" s="81">
        <f>+U35*S35</f>
        <v>401256.47</v>
      </c>
      <c r="X35" s="72">
        <v>166288</v>
      </c>
      <c r="Y35" s="80">
        <v>2.63</v>
      </c>
      <c r="Z35" s="81">
        <f t="shared" si="13"/>
        <v>437337.44</v>
      </c>
    </row>
    <row r="36" spans="1:26" x14ac:dyDescent="0.25">
      <c r="A36" s="71">
        <f>+A35+1</f>
        <v>31</v>
      </c>
      <c r="B36" s="71">
        <f t="shared" si="10"/>
        <v>0</v>
      </c>
      <c r="C36" s="71">
        <f t="shared" si="11"/>
        <v>0</v>
      </c>
      <c r="D36" s="71">
        <f t="shared" si="7"/>
        <v>0</v>
      </c>
      <c r="E36" s="71"/>
      <c r="F36" s="71">
        <f>SUM(B36:D36)</f>
        <v>0</v>
      </c>
      <c r="G36" s="71"/>
      <c r="H36" s="71">
        <f t="shared" si="12"/>
        <v>0</v>
      </c>
      <c r="I36" s="71">
        <f t="shared" si="1"/>
        <v>0</v>
      </c>
      <c r="J36" s="71"/>
      <c r="K36" s="71">
        <f t="shared" si="2"/>
        <v>0</v>
      </c>
      <c r="L36" s="71"/>
      <c r="M36" s="71" t="s">
        <v>174</v>
      </c>
      <c r="N36" s="71"/>
      <c r="O36" s="78">
        <f t="shared" si="14"/>
        <v>152569</v>
      </c>
      <c r="P36" s="75">
        <f t="shared" si="14"/>
        <v>36124</v>
      </c>
      <c r="Q36" s="79">
        <f>+P36+O36</f>
        <v>188693</v>
      </c>
      <c r="R36" s="71"/>
      <c r="S36" s="71">
        <f>+O36-K36</f>
        <v>152569</v>
      </c>
      <c r="T36" s="71"/>
      <c r="U36" s="80">
        <v>2.63</v>
      </c>
      <c r="V36" s="81">
        <f>+U36*S36</f>
        <v>401256.47</v>
      </c>
      <c r="X36" s="72">
        <v>166288</v>
      </c>
      <c r="Y36" s="80">
        <v>2.63</v>
      </c>
      <c r="Z36" s="81">
        <f t="shared" si="13"/>
        <v>437337.44</v>
      </c>
    </row>
    <row r="37" spans="1:26" x14ac:dyDescent="0.25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</row>
    <row r="38" spans="1:26" x14ac:dyDescent="0.25">
      <c r="A38" s="71"/>
      <c r="B38" s="71">
        <f t="shared" ref="B38:H38" si="15">SUM(B6:B37)</f>
        <v>732854</v>
      </c>
      <c r="C38" s="71">
        <f t="shared" si="15"/>
        <v>53518</v>
      </c>
      <c r="D38" s="71">
        <f t="shared" si="15"/>
        <v>66310</v>
      </c>
      <c r="E38" s="71"/>
      <c r="F38" s="71">
        <f t="shared" si="15"/>
        <v>852682</v>
      </c>
      <c r="G38" s="71"/>
      <c r="H38" s="71">
        <f t="shared" si="15"/>
        <v>186501</v>
      </c>
      <c r="I38" s="71">
        <f>SUM(I6:I37)</f>
        <v>182556</v>
      </c>
      <c r="J38" s="71"/>
      <c r="K38" s="71">
        <f>SUM(K6:K37)</f>
        <v>670126</v>
      </c>
      <c r="L38" s="71"/>
      <c r="M38" s="71">
        <f>SUM(M6:M37)</f>
        <v>0</v>
      </c>
      <c r="N38" s="71"/>
      <c r="O38" s="71">
        <f>SUM(O6:O37)</f>
        <v>4729639</v>
      </c>
      <c r="P38" s="71">
        <f>SUM(P6:P37)</f>
        <v>1119844</v>
      </c>
      <c r="Q38" s="71">
        <f>SUM(Q6:Q37)</f>
        <v>5849483</v>
      </c>
      <c r="R38" s="71"/>
      <c r="S38" s="71">
        <f>SUM(S6:S37)</f>
        <v>4059513</v>
      </c>
      <c r="T38" s="71" t="s">
        <v>214</v>
      </c>
      <c r="U38" s="71"/>
      <c r="V38" s="81">
        <f>SUM(V6:V34)</f>
        <v>10363154.865000004</v>
      </c>
      <c r="X38" s="71">
        <f>SUM(X6:X37)</f>
        <v>1164016</v>
      </c>
      <c r="Z38" s="81">
        <f>SUM(Z6:Z34)</f>
        <v>2186687.2000000002</v>
      </c>
    </row>
    <row r="41" spans="1:26" x14ac:dyDescent="0.25">
      <c r="X41" s="72">
        <f>+V38-Z38</f>
        <v>8176467.6650000038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0"/>
  <sheetViews>
    <sheetView workbookViewId="0">
      <selection activeCell="D3" sqref="D3"/>
    </sheetView>
  </sheetViews>
  <sheetFormatPr defaultColWidth="9.109375" defaultRowHeight="11.4" x14ac:dyDescent="0.2"/>
  <cols>
    <col min="1" max="1" width="15.5546875" style="62" customWidth="1"/>
    <col min="2" max="2" width="9.109375" style="62"/>
    <col min="3" max="3" width="12.44140625" style="62" customWidth="1"/>
    <col min="4" max="4" width="10" style="62" bestFit="1" customWidth="1"/>
    <col min="5" max="5" width="11" style="62" customWidth="1"/>
    <col min="6" max="6" width="9.109375" style="62"/>
    <col min="7" max="7" width="15" style="62" customWidth="1"/>
    <col min="8" max="11" width="9.109375" style="62"/>
    <col min="12" max="12" width="14.6640625" style="62" customWidth="1"/>
    <col min="13" max="16384" width="9.109375" style="62"/>
  </cols>
  <sheetData>
    <row r="1" spans="1:14" ht="13.2" x14ac:dyDescent="0.25">
      <c r="A1" s="66" t="s">
        <v>59</v>
      </c>
      <c r="M1" s="91"/>
      <c r="N1" s="91"/>
    </row>
    <row r="2" spans="1:14" ht="13.2" x14ac:dyDescent="0.2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</row>
    <row r="3" spans="1:14" ht="13.2" x14ac:dyDescent="0.2">
      <c r="A3" s="62" t="s">
        <v>150</v>
      </c>
      <c r="B3" s="62" t="s">
        <v>55</v>
      </c>
      <c r="C3" s="64">
        <v>4.72</v>
      </c>
      <c r="E3" s="64">
        <v>4.72</v>
      </c>
      <c r="M3" s="91"/>
      <c r="N3" s="91"/>
    </row>
    <row r="4" spans="1:14" ht="13.2" x14ac:dyDescent="0.2">
      <c r="A4" s="62" t="s">
        <v>158</v>
      </c>
      <c r="C4" s="64">
        <v>0.01</v>
      </c>
      <c r="E4" s="64">
        <v>0.1</v>
      </c>
      <c r="M4" s="91"/>
      <c r="N4" s="91"/>
    </row>
    <row r="5" spans="1:14" ht="13.2" x14ac:dyDescent="0.2">
      <c r="A5" s="62" t="s">
        <v>156</v>
      </c>
      <c r="C5" s="64">
        <v>1.12E-2</v>
      </c>
      <c r="E5" s="64">
        <v>1.12E-2</v>
      </c>
      <c r="M5" s="91"/>
      <c r="N5" s="91"/>
    </row>
    <row r="6" spans="1:14" ht="13.2" x14ac:dyDescent="0.2">
      <c r="A6" s="62" t="s">
        <v>152</v>
      </c>
      <c r="C6" s="64">
        <v>9.4000000000000004E-3</v>
      </c>
      <c r="E6" s="64">
        <v>9.4000000000000004E-3</v>
      </c>
      <c r="M6" s="91"/>
      <c r="N6" s="91"/>
    </row>
    <row r="7" spans="1:14" ht="13.2" x14ac:dyDescent="0.2">
      <c r="A7" s="62" t="s">
        <v>153</v>
      </c>
      <c r="C7" s="113">
        <v>5.7999999999999996E-3</v>
      </c>
      <c r="E7" s="113">
        <v>5.7999999999999996E-3</v>
      </c>
      <c r="M7" s="91"/>
      <c r="N7" s="91"/>
    </row>
    <row r="8" spans="1:14" ht="13.2" x14ac:dyDescent="0.2">
      <c r="A8" s="62" t="s">
        <v>157</v>
      </c>
      <c r="C8" s="114">
        <f>ROUND(+C3/(1-C7)+(C5+C6),4)-C3</f>
        <v>4.809999999999981E-2</v>
      </c>
      <c r="E8" s="114">
        <f>ROUND(+E3/(1-E7)+(E5+E6),4)-E3</f>
        <v>4.809999999999981E-2</v>
      </c>
      <c r="M8" s="91"/>
      <c r="N8" s="91"/>
    </row>
    <row r="9" spans="1:14" ht="13.8" thickBot="1" x14ac:dyDescent="0.25">
      <c r="C9" s="102">
        <f>SUM(C3,C4,C8)</f>
        <v>4.7780999999999993</v>
      </c>
      <c r="D9" s="62" t="s">
        <v>37</v>
      </c>
      <c r="E9" s="102">
        <f>SUM(E3,E4,E8)</f>
        <v>4.8680999999999992</v>
      </c>
      <c r="F9" s="91"/>
      <c r="G9" s="91"/>
      <c r="H9" s="91"/>
      <c r="I9" s="91"/>
      <c r="J9" s="91"/>
      <c r="K9" s="91"/>
      <c r="L9" s="91"/>
      <c r="M9" s="91"/>
      <c r="N9" s="91"/>
    </row>
    <row r="10" spans="1:14" ht="13.8" thickTop="1" x14ac:dyDescent="0.2">
      <c r="F10" s="91"/>
      <c r="G10" s="91"/>
      <c r="H10" s="91"/>
      <c r="I10" s="91"/>
      <c r="J10" s="91"/>
      <c r="K10" s="91"/>
      <c r="L10" s="91"/>
      <c r="M10" s="91"/>
      <c r="N10" s="91"/>
    </row>
    <row r="11" spans="1:14" ht="13.2" x14ac:dyDescent="0.2">
      <c r="A11" s="62" t="s">
        <v>348</v>
      </c>
      <c r="B11" s="62" t="s">
        <v>37</v>
      </c>
      <c r="F11" s="91"/>
      <c r="G11" s="91"/>
      <c r="H11" s="91"/>
      <c r="I11" s="91"/>
      <c r="J11" s="91"/>
      <c r="K11" s="91"/>
      <c r="L11" s="91"/>
      <c r="M11" s="91"/>
      <c r="N11" s="91"/>
    </row>
    <row r="12" spans="1:14" ht="13.2" x14ac:dyDescent="0.2">
      <c r="B12" s="62" t="s">
        <v>37</v>
      </c>
      <c r="F12" s="91"/>
      <c r="G12" s="91"/>
      <c r="H12" s="91"/>
      <c r="I12" s="91"/>
      <c r="J12" s="91"/>
      <c r="K12" s="91"/>
      <c r="L12" s="91"/>
      <c r="M12" s="91"/>
      <c r="N12" s="91"/>
    </row>
    <row r="13" spans="1:14" ht="13.2" x14ac:dyDescent="0.2">
      <c r="B13" s="62" t="s">
        <v>37</v>
      </c>
      <c r="F13" s="91"/>
      <c r="G13" s="91"/>
      <c r="H13" s="91"/>
      <c r="I13" s="91"/>
      <c r="J13" s="91"/>
      <c r="K13" s="91"/>
      <c r="L13" s="91"/>
      <c r="M13" s="91"/>
      <c r="N13" s="91"/>
    </row>
    <row r="14" spans="1:14" ht="13.2" x14ac:dyDescent="0.2">
      <c r="A14" s="91"/>
      <c r="B14" s="91"/>
      <c r="C14" s="91"/>
      <c r="D14" s="91"/>
      <c r="E14" s="91"/>
      <c r="F14" s="91"/>
      <c r="G14" s="91"/>
      <c r="H14" s="91"/>
      <c r="I14" s="91"/>
      <c r="J14" s="91"/>
      <c r="K14" s="91"/>
      <c r="L14" s="91"/>
      <c r="M14" s="91"/>
      <c r="N14" s="91"/>
    </row>
    <row r="15" spans="1:14" ht="13.2" x14ac:dyDescent="0.2">
      <c r="A15" s="91"/>
      <c r="B15" s="91"/>
      <c r="C15" s="91"/>
      <c r="D15" s="91"/>
      <c r="E15" s="91"/>
      <c r="F15" s="91"/>
      <c r="G15" s="91"/>
      <c r="H15" s="91"/>
      <c r="I15" s="91"/>
      <c r="J15" s="91"/>
      <c r="K15" s="91"/>
      <c r="L15" s="91"/>
      <c r="M15" s="91"/>
      <c r="N15" s="91"/>
    </row>
    <row r="16" spans="1:14" ht="13.2" x14ac:dyDescent="0.2">
      <c r="A16" s="91"/>
      <c r="B16" s="91"/>
      <c r="C16" s="91"/>
      <c r="D16" s="91"/>
      <c r="E16" s="91"/>
      <c r="F16" s="91"/>
      <c r="G16" s="91"/>
      <c r="H16" s="91"/>
      <c r="I16" s="91"/>
      <c r="J16" s="91"/>
      <c r="K16" s="91"/>
      <c r="L16" s="91"/>
      <c r="M16" s="91"/>
      <c r="N16" s="91"/>
    </row>
    <row r="17" spans="1:14" ht="13.2" x14ac:dyDescent="0.25">
      <c r="A17" s="66" t="s">
        <v>159</v>
      </c>
      <c r="C17" s="62" t="s">
        <v>81</v>
      </c>
      <c r="D17" s="62" t="s">
        <v>349</v>
      </c>
      <c r="E17" s="62" t="s">
        <v>37</v>
      </c>
      <c r="F17" s="91"/>
      <c r="G17" s="91"/>
      <c r="H17" s="91"/>
      <c r="I17" s="91"/>
      <c r="J17" s="91"/>
      <c r="K17" s="91"/>
      <c r="L17" s="91"/>
      <c r="M17" s="91"/>
      <c r="N17" s="91"/>
    </row>
    <row r="18" spans="1:14" ht="13.2" x14ac:dyDescent="0.2">
      <c r="A18" s="62" t="s">
        <v>150</v>
      </c>
      <c r="B18" s="62" t="s">
        <v>159</v>
      </c>
      <c r="C18" s="64">
        <v>4.5199999999999996</v>
      </c>
      <c r="E18" s="64">
        <v>4.5199999999999996</v>
      </c>
      <c r="F18" s="91"/>
      <c r="G18" s="91" t="s">
        <v>350</v>
      </c>
      <c r="H18" s="91"/>
      <c r="I18" s="64">
        <f>+C24</f>
        <v>4.6511000000000005</v>
      </c>
      <c r="J18" s="91"/>
      <c r="K18" s="91"/>
      <c r="L18" s="91"/>
      <c r="M18" s="91"/>
      <c r="N18" s="91"/>
    </row>
    <row r="19" spans="1:14" ht="13.2" x14ac:dyDescent="0.2">
      <c r="A19" s="62" t="s">
        <v>158</v>
      </c>
      <c r="C19" s="64">
        <v>7.4999999999999997E-3</v>
      </c>
      <c r="E19" s="64">
        <v>7.4999999999999997E-3</v>
      </c>
      <c r="F19" s="91"/>
      <c r="G19" s="91"/>
      <c r="H19" s="91"/>
      <c r="I19" s="64">
        <v>0</v>
      </c>
      <c r="J19" s="91"/>
      <c r="K19" s="91"/>
      <c r="L19" s="91"/>
      <c r="M19" s="91"/>
      <c r="N19" s="91"/>
    </row>
    <row r="20" spans="1:14" ht="13.2" x14ac:dyDescent="0.2">
      <c r="A20" s="62" t="s">
        <v>151</v>
      </c>
      <c r="C20" s="64">
        <v>1.3299999999999999E-2</v>
      </c>
      <c r="E20" s="64">
        <v>1.3299999999999999E-2</v>
      </c>
      <c r="F20" s="91"/>
      <c r="G20" s="91" t="s">
        <v>351</v>
      </c>
      <c r="H20" s="91"/>
      <c r="I20" s="64">
        <v>1.5299999999999999E-2</v>
      </c>
      <c r="J20" s="91"/>
      <c r="K20" s="91"/>
      <c r="L20" s="91"/>
      <c r="M20" s="91"/>
      <c r="N20" s="91"/>
    </row>
    <row r="21" spans="1:14" ht="13.2" x14ac:dyDescent="0.2">
      <c r="A21" s="62" t="s">
        <v>152</v>
      </c>
      <c r="C21" s="64">
        <v>9.4000000000000004E-3</v>
      </c>
      <c r="E21" s="64">
        <v>9.4000000000000004E-3</v>
      </c>
      <c r="F21" s="91"/>
      <c r="G21" s="91" t="s">
        <v>153</v>
      </c>
      <c r="H21" s="91"/>
      <c r="I21" s="115">
        <v>1.6999999999999999E-3</v>
      </c>
      <c r="J21" s="91"/>
      <c r="K21" s="91"/>
      <c r="L21" s="91"/>
      <c r="M21" s="91"/>
      <c r="N21" s="91"/>
    </row>
    <row r="22" spans="1:14" ht="13.2" x14ac:dyDescent="0.2">
      <c r="A22" s="62" t="s">
        <v>153</v>
      </c>
      <c r="C22" s="115">
        <v>2.1839999999999998E-2</v>
      </c>
      <c r="E22" s="115">
        <v>2.1839999999999998E-2</v>
      </c>
      <c r="F22" s="91"/>
      <c r="G22" s="91"/>
      <c r="H22" s="91"/>
      <c r="I22" s="114">
        <f>ROUND(+I18/(1-I21)+I20,4)-I18</f>
        <v>2.3199999999999221E-2</v>
      </c>
      <c r="J22" s="91"/>
      <c r="K22" s="91"/>
      <c r="L22" s="91"/>
      <c r="M22" s="91"/>
      <c r="N22" s="91"/>
    </row>
    <row r="23" spans="1:14" ht="13.8" thickBot="1" x14ac:dyDescent="0.25">
      <c r="A23" s="62" t="s">
        <v>154</v>
      </c>
      <c r="C23" s="114">
        <f>ROUND(+C18/(1-C22)+(C20+C21),4)-C18</f>
        <v>0.1236000000000006</v>
      </c>
      <c r="E23" s="114">
        <f>ROUND(+E18/(1-E22)+(E20+E21),4)-E18</f>
        <v>0.1236000000000006</v>
      </c>
      <c r="F23" s="91"/>
      <c r="G23" s="91"/>
      <c r="H23" s="91"/>
      <c r="I23" s="102">
        <f>I18+I22</f>
        <v>4.6742999999999997</v>
      </c>
      <c r="J23" s="91"/>
      <c r="K23" s="91"/>
      <c r="L23" s="95"/>
      <c r="M23" s="91"/>
      <c r="N23" s="91"/>
    </row>
    <row r="24" spans="1:14" ht="14.4" thickTop="1" thickBot="1" x14ac:dyDescent="0.25">
      <c r="C24" s="102">
        <f>SUM(C18,C19,C23)</f>
        <v>4.6511000000000005</v>
      </c>
      <c r="E24" s="114">
        <v>0.02</v>
      </c>
      <c r="F24" s="91"/>
      <c r="G24" s="91"/>
      <c r="H24" s="91"/>
      <c r="I24" s="68" t="s">
        <v>37</v>
      </c>
      <c r="J24" s="91"/>
      <c r="K24" s="91"/>
      <c r="L24" s="95"/>
      <c r="M24" s="91"/>
      <c r="N24" s="91"/>
    </row>
    <row r="25" spans="1:14" ht="14.4" thickTop="1" thickBot="1" x14ac:dyDescent="0.25">
      <c r="A25" s="62" t="s">
        <v>352</v>
      </c>
      <c r="E25" s="102">
        <f>+E24+E23+E18</f>
        <v>4.6635999999999997</v>
      </c>
      <c r="F25" s="62" t="s">
        <v>353</v>
      </c>
      <c r="H25" s="91"/>
      <c r="I25" s="91"/>
      <c r="J25" s="91"/>
      <c r="K25" s="91"/>
      <c r="L25" s="95"/>
      <c r="M25" s="91"/>
      <c r="N25" s="91"/>
    </row>
    <row r="26" spans="1:14" ht="13.8" thickTop="1" x14ac:dyDescent="0.2">
      <c r="C26" s="92"/>
      <c r="E26" s="92"/>
      <c r="H26" s="91"/>
      <c r="I26" s="91"/>
      <c r="J26" s="91"/>
      <c r="K26" s="91"/>
      <c r="L26" s="95"/>
      <c r="M26" s="91"/>
      <c r="N26" s="91"/>
    </row>
    <row r="27" spans="1:14" ht="13.2" x14ac:dyDescent="0.2">
      <c r="C27" s="84"/>
      <c r="E27" s="84"/>
      <c r="H27" s="91"/>
      <c r="I27" s="91"/>
      <c r="J27" s="91"/>
      <c r="K27" s="91"/>
      <c r="L27" s="95"/>
      <c r="M27" s="91"/>
      <c r="N27" s="91"/>
    </row>
    <row r="28" spans="1:14" ht="13.2" x14ac:dyDescent="0.2">
      <c r="C28" s="84"/>
      <c r="E28" s="84"/>
      <c r="H28" s="91"/>
      <c r="I28" s="91"/>
      <c r="J28" s="91"/>
      <c r="K28" s="91"/>
      <c r="L28" s="95"/>
      <c r="M28" s="91"/>
      <c r="N28" s="91"/>
    </row>
    <row r="29" spans="1:14" ht="13.2" x14ac:dyDescent="0.2">
      <c r="C29" s="84"/>
      <c r="E29" s="84"/>
      <c r="H29" s="91"/>
      <c r="I29" s="91"/>
      <c r="J29" s="91"/>
      <c r="K29" s="91"/>
      <c r="L29" s="95"/>
      <c r="M29" s="91"/>
      <c r="N29" s="91"/>
    </row>
    <row r="30" spans="1:14" ht="13.2" x14ac:dyDescent="0.25">
      <c r="A30" s="66" t="s">
        <v>369</v>
      </c>
      <c r="C30" s="62" t="s">
        <v>54</v>
      </c>
      <c r="D30" s="67" t="s">
        <v>374</v>
      </c>
      <c r="E30" s="67"/>
      <c r="F30" s="104"/>
      <c r="G30" s="104"/>
      <c r="H30" s="104"/>
      <c r="I30" s="104"/>
      <c r="J30" s="91"/>
      <c r="K30" s="91"/>
      <c r="L30" s="91"/>
      <c r="M30" s="91"/>
      <c r="N30" s="91"/>
    </row>
    <row r="31" spans="1:14" ht="13.2" x14ac:dyDescent="0.2">
      <c r="A31" s="62" t="s">
        <v>150</v>
      </c>
      <c r="B31" s="62" t="s">
        <v>369</v>
      </c>
      <c r="C31" s="64">
        <v>4.34</v>
      </c>
      <c r="D31" s="63">
        <v>1155</v>
      </c>
      <c r="E31" s="67" t="s">
        <v>373</v>
      </c>
      <c r="F31" s="104"/>
      <c r="G31" s="104"/>
      <c r="H31" s="104"/>
      <c r="I31" s="68"/>
      <c r="J31" s="91"/>
      <c r="K31" s="91"/>
      <c r="L31" s="91"/>
      <c r="M31" s="91"/>
      <c r="N31" s="91"/>
    </row>
    <row r="32" spans="1:14" ht="13.2" x14ac:dyDescent="0.2">
      <c r="A32" s="62" t="s">
        <v>158</v>
      </c>
      <c r="C32" s="64">
        <v>0.06</v>
      </c>
      <c r="D32" s="67"/>
      <c r="E32" s="68"/>
      <c r="F32" s="104"/>
      <c r="G32" s="104"/>
      <c r="H32" s="104"/>
      <c r="I32" s="68"/>
      <c r="J32" s="91"/>
      <c r="K32" s="91"/>
      <c r="L32" s="91"/>
      <c r="M32" s="91"/>
      <c r="N32" s="91"/>
    </row>
    <row r="33" spans="1:14" ht="13.2" x14ac:dyDescent="0.2">
      <c r="A33" s="62" t="s">
        <v>151</v>
      </c>
      <c r="C33" s="64">
        <v>1.7000000000000001E-2</v>
      </c>
      <c r="D33" s="67"/>
      <c r="E33" s="68"/>
      <c r="F33" s="104"/>
      <c r="G33" s="104"/>
      <c r="H33" s="104"/>
      <c r="I33" s="68"/>
      <c r="J33" s="91"/>
      <c r="K33" s="91"/>
      <c r="L33" s="91"/>
      <c r="M33" s="91"/>
      <c r="N33" s="91"/>
    </row>
    <row r="34" spans="1:14" ht="13.2" x14ac:dyDescent="0.2">
      <c r="A34" s="62" t="s">
        <v>152</v>
      </c>
      <c r="C34" s="64">
        <v>2.2000000000000001E-3</v>
      </c>
      <c r="D34" s="67"/>
      <c r="E34" s="68"/>
      <c r="F34" s="104"/>
      <c r="G34" s="104"/>
      <c r="H34" s="104"/>
      <c r="I34" s="105"/>
      <c r="J34" s="91"/>
      <c r="K34" s="91"/>
      <c r="L34" s="91"/>
      <c r="M34" s="91"/>
      <c r="N34" s="91"/>
    </row>
    <row r="35" spans="1:14" ht="13.2" x14ac:dyDescent="0.2">
      <c r="A35" s="62" t="s">
        <v>153</v>
      </c>
      <c r="C35" s="115">
        <v>2.8199999999999999E-2</v>
      </c>
      <c r="D35" s="67">
        <f>ROUND(+D31*(1-C35),0)</f>
        <v>1122</v>
      </c>
      <c r="E35" s="105" t="s">
        <v>375</v>
      </c>
      <c r="F35" s="104"/>
      <c r="G35" s="104"/>
      <c r="H35" s="104"/>
      <c r="I35" s="68"/>
      <c r="J35" s="91"/>
      <c r="K35" s="91"/>
      <c r="L35" s="91"/>
      <c r="M35" s="91"/>
      <c r="N35" s="91"/>
    </row>
    <row r="36" spans="1:14" ht="13.2" x14ac:dyDescent="0.2">
      <c r="A36" s="62" t="s">
        <v>154</v>
      </c>
      <c r="C36" s="114">
        <f>ROUND((+C31+C32)/(1-C35)+(C33+C34),4)-C31-C32</f>
        <v>0.14690000000000009</v>
      </c>
      <c r="D36" s="67"/>
      <c r="E36" s="68"/>
      <c r="F36" s="104"/>
      <c r="G36" s="104"/>
      <c r="H36" s="104"/>
      <c r="I36" s="68"/>
      <c r="J36" s="91"/>
      <c r="K36" s="91"/>
      <c r="L36" s="95"/>
      <c r="M36" s="91"/>
      <c r="N36" s="91"/>
    </row>
    <row r="37" spans="1:14" ht="13.8" thickBot="1" x14ac:dyDescent="0.25">
      <c r="C37" s="102">
        <f>SUM(C31,C32,C36)</f>
        <v>4.5468999999999999</v>
      </c>
      <c r="D37" s="67"/>
      <c r="E37" s="68"/>
      <c r="F37" s="104"/>
      <c r="G37" s="104"/>
      <c r="H37" s="104"/>
      <c r="I37" s="68"/>
      <c r="J37" s="91"/>
      <c r="K37" s="91"/>
      <c r="L37" s="95"/>
      <c r="M37" s="91"/>
      <c r="N37" s="91"/>
    </row>
    <row r="38" spans="1:14" ht="13.8" thickTop="1" x14ac:dyDescent="0.2">
      <c r="A38" s="62" t="s">
        <v>352</v>
      </c>
      <c r="D38" s="67"/>
      <c r="E38" s="68"/>
      <c r="F38" s="67"/>
      <c r="G38" s="67"/>
      <c r="H38" s="104"/>
      <c r="I38" s="104"/>
      <c r="J38" s="91"/>
      <c r="K38" s="91"/>
      <c r="L38" s="95"/>
      <c r="M38" s="91"/>
      <c r="N38" s="91"/>
    </row>
    <row r="39" spans="1:14" ht="13.2" x14ac:dyDescent="0.2">
      <c r="C39" s="92"/>
      <c r="E39" s="92"/>
      <c r="H39" s="91"/>
      <c r="I39" s="91"/>
      <c r="J39" s="91"/>
      <c r="K39" s="91"/>
      <c r="L39" s="95"/>
      <c r="M39" s="91"/>
      <c r="N39" s="91"/>
    </row>
    <row r="40" spans="1:14" ht="13.2" x14ac:dyDescent="0.2">
      <c r="A40" s="62" t="s">
        <v>370</v>
      </c>
      <c r="C40" s="84"/>
      <c r="E40" s="84"/>
      <c r="H40" s="91"/>
      <c r="I40" s="91"/>
      <c r="J40" s="91"/>
      <c r="K40" s="91"/>
      <c r="L40" s="95"/>
      <c r="M40" s="91"/>
      <c r="N40" s="91"/>
    </row>
    <row r="41" spans="1:14" ht="13.2" x14ac:dyDescent="0.2">
      <c r="B41" s="62" t="s">
        <v>371</v>
      </c>
      <c r="C41" s="64"/>
      <c r="H41" s="91"/>
      <c r="I41" s="91"/>
      <c r="J41" s="91"/>
      <c r="K41" s="91"/>
      <c r="L41" s="95"/>
      <c r="M41" s="91"/>
      <c r="N41" s="91"/>
    </row>
    <row r="42" spans="1:14" ht="13.2" x14ac:dyDescent="0.2">
      <c r="A42" s="91"/>
      <c r="B42" s="91" t="s">
        <v>372</v>
      </c>
      <c r="C42" s="91"/>
      <c r="D42" s="91"/>
      <c r="E42" s="91"/>
      <c r="F42" s="91"/>
      <c r="G42" s="91"/>
      <c r="H42" s="91"/>
      <c r="I42" s="91"/>
      <c r="J42" s="91"/>
      <c r="K42" s="91"/>
      <c r="L42" s="91"/>
      <c r="M42" s="91"/>
      <c r="N42" s="91"/>
    </row>
    <row r="43" spans="1:14" ht="13.2" x14ac:dyDescent="0.2">
      <c r="A43" s="91"/>
      <c r="B43" s="91"/>
      <c r="C43" s="91"/>
      <c r="D43" s="91"/>
      <c r="E43" s="91"/>
      <c r="F43" s="91"/>
      <c r="G43" s="91"/>
      <c r="H43" s="91"/>
      <c r="I43" s="91"/>
      <c r="J43" s="91"/>
      <c r="K43" s="91"/>
      <c r="L43" s="91"/>
      <c r="M43" s="91"/>
      <c r="N43" s="91"/>
    </row>
    <row r="44" spans="1:14" ht="13.2" x14ac:dyDescent="0.2">
      <c r="A44" s="91"/>
      <c r="B44" s="91"/>
      <c r="C44" s="91"/>
      <c r="D44" s="91"/>
      <c r="E44" s="91"/>
      <c r="F44" s="91"/>
      <c r="G44" s="91"/>
      <c r="H44" s="91"/>
      <c r="I44" s="91"/>
      <c r="J44" s="91"/>
      <c r="K44" s="91"/>
      <c r="L44" s="91"/>
      <c r="M44" s="91"/>
      <c r="N44" s="91"/>
    </row>
    <row r="45" spans="1:14" ht="13.2" x14ac:dyDescent="0.2">
      <c r="A45" s="91"/>
      <c r="B45" s="91"/>
      <c r="C45" s="91"/>
      <c r="D45" s="91"/>
      <c r="E45" s="91"/>
      <c r="F45" s="91"/>
      <c r="G45" s="91"/>
      <c r="H45" s="91"/>
      <c r="I45" s="91"/>
      <c r="J45" s="91"/>
      <c r="K45" s="91"/>
      <c r="L45" s="91"/>
      <c r="M45" s="91"/>
      <c r="N45" s="91"/>
    </row>
    <row r="46" spans="1:14" ht="13.2" x14ac:dyDescent="0.2">
      <c r="A46" s="91"/>
      <c r="B46" s="91"/>
      <c r="C46" s="91"/>
      <c r="D46" s="91"/>
      <c r="E46" s="91"/>
      <c r="F46" s="91"/>
      <c r="G46" s="91"/>
      <c r="H46" s="91"/>
      <c r="I46" s="91"/>
      <c r="J46" s="91"/>
      <c r="K46" s="91"/>
      <c r="L46" s="91"/>
      <c r="M46" s="91"/>
      <c r="N46" s="91"/>
    </row>
    <row r="47" spans="1:14" ht="13.2" x14ac:dyDescent="0.2">
      <c r="A47" s="91"/>
      <c r="B47" s="91"/>
      <c r="C47" s="91"/>
      <c r="D47" s="91"/>
      <c r="E47" s="91"/>
      <c r="F47" s="91"/>
      <c r="G47" s="91"/>
      <c r="H47" s="91"/>
      <c r="I47" s="91"/>
      <c r="J47" s="91"/>
      <c r="K47" s="91"/>
      <c r="L47" s="91"/>
      <c r="M47" s="91"/>
      <c r="N47" s="91"/>
    </row>
    <row r="48" spans="1:14" ht="13.2" x14ac:dyDescent="0.25">
      <c r="A48" s="66" t="s">
        <v>56</v>
      </c>
      <c r="C48" s="62" t="s">
        <v>226</v>
      </c>
      <c r="E48" s="62" t="s">
        <v>227</v>
      </c>
      <c r="G48" s="62" t="s">
        <v>228</v>
      </c>
      <c r="H48" s="91"/>
      <c r="I48" s="91"/>
      <c r="J48" s="91"/>
      <c r="K48" s="91"/>
      <c r="L48" s="91"/>
      <c r="M48" s="91"/>
      <c r="N48" s="91"/>
    </row>
    <row r="49" spans="1:14" ht="13.2" x14ac:dyDescent="0.2">
      <c r="A49" s="62" t="s">
        <v>150</v>
      </c>
      <c r="B49" s="62" t="s">
        <v>56</v>
      </c>
      <c r="C49" s="64">
        <v>4.5599999999999996</v>
      </c>
      <c r="E49" s="64">
        <v>4.5599999999999996</v>
      </c>
      <c r="G49" s="64">
        <v>4.5599999999999996</v>
      </c>
      <c r="H49" s="91"/>
      <c r="I49" s="91"/>
      <c r="J49" s="91"/>
      <c r="K49" s="91"/>
      <c r="L49" s="91"/>
      <c r="M49" s="91"/>
      <c r="N49" s="91"/>
    </row>
    <row r="50" spans="1:14" ht="13.2" x14ac:dyDescent="0.2">
      <c r="A50" s="62" t="s">
        <v>158</v>
      </c>
      <c r="C50" s="64">
        <v>7.4999999999999997E-3</v>
      </c>
      <c r="E50" s="64">
        <v>7.4999999999999997E-3</v>
      </c>
      <c r="G50" s="64">
        <v>7.4999999999999997E-3</v>
      </c>
      <c r="H50" s="91"/>
      <c r="I50" s="91"/>
      <c r="J50" s="91"/>
      <c r="K50" s="91"/>
      <c r="L50" s="91"/>
      <c r="M50" s="91"/>
      <c r="N50" s="91"/>
    </row>
    <row r="51" spans="1:14" ht="13.2" x14ac:dyDescent="0.2">
      <c r="A51" s="62" t="s">
        <v>151</v>
      </c>
      <c r="C51" s="64">
        <v>3.95E-2</v>
      </c>
      <c r="E51" s="64">
        <v>3.95E-2</v>
      </c>
      <c r="G51" s="64">
        <v>3.95E-2</v>
      </c>
      <c r="H51" s="91"/>
      <c r="I51" s="91"/>
      <c r="J51" s="91"/>
      <c r="K51" s="91"/>
      <c r="L51" s="91"/>
      <c r="M51" s="91"/>
      <c r="N51" s="91"/>
    </row>
    <row r="52" spans="1:14" ht="13.2" x14ac:dyDescent="0.2">
      <c r="A52" s="62" t="s">
        <v>152</v>
      </c>
      <c r="C52" s="64">
        <v>2.2000000000000001E-3</v>
      </c>
      <c r="E52" s="64">
        <v>2.2000000000000001E-3</v>
      </c>
      <c r="G52" s="64">
        <v>2.2000000000000001E-3</v>
      </c>
      <c r="H52" s="91"/>
      <c r="I52" s="91"/>
      <c r="J52" s="91"/>
      <c r="K52" s="91"/>
      <c r="L52" s="91"/>
      <c r="M52" s="91"/>
      <c r="N52" s="91"/>
    </row>
    <row r="53" spans="1:14" ht="13.2" x14ac:dyDescent="0.2">
      <c r="A53" s="62" t="s">
        <v>153</v>
      </c>
      <c r="C53" s="113">
        <v>2.2800000000000001E-2</v>
      </c>
      <c r="E53" s="113">
        <v>2.2800000000000001E-2</v>
      </c>
      <c r="G53" s="113">
        <v>2.2800000000000001E-2</v>
      </c>
      <c r="H53" s="91"/>
      <c r="I53" s="91"/>
      <c r="J53" s="91"/>
      <c r="K53" s="91"/>
      <c r="L53" s="91"/>
      <c r="M53" s="91"/>
      <c r="N53" s="91"/>
    </row>
    <row r="54" spans="1:14" ht="13.2" x14ac:dyDescent="0.2">
      <c r="A54" s="62" t="s">
        <v>154</v>
      </c>
      <c r="C54" s="114">
        <f>ROUND(+C49/(1-C53)+(C51+C52),4)-C49</f>
        <v>0.14810000000000034</v>
      </c>
      <c r="E54" s="114">
        <f>ROUND(+E49/(1-E53)+(E51+E52),4)-E49</f>
        <v>0.14810000000000034</v>
      </c>
      <c r="F54" s="67"/>
      <c r="G54" s="114">
        <f>ROUND(+G49/(1-G53)+(G51+G52),4)-G49</f>
        <v>0.14810000000000034</v>
      </c>
      <c r="H54" s="91"/>
      <c r="I54" s="91"/>
      <c r="J54" s="91"/>
      <c r="K54" s="91"/>
      <c r="L54" s="91"/>
      <c r="M54" s="91"/>
      <c r="N54" s="91"/>
    </row>
    <row r="55" spans="1:14" ht="13.2" x14ac:dyDescent="0.2">
      <c r="A55" s="62" t="s">
        <v>34</v>
      </c>
      <c r="C55" s="114">
        <v>0</v>
      </c>
      <c r="E55" s="114">
        <v>0.02</v>
      </c>
      <c r="F55" s="67"/>
      <c r="G55" s="114">
        <v>0.02</v>
      </c>
      <c r="H55" s="91"/>
      <c r="I55" s="91"/>
      <c r="J55" s="91"/>
      <c r="K55" s="91"/>
      <c r="L55" s="91"/>
      <c r="M55" s="91"/>
      <c r="N55" s="91"/>
    </row>
    <row r="56" spans="1:14" ht="13.8" thickBot="1" x14ac:dyDescent="0.25">
      <c r="A56" s="62" t="s">
        <v>155</v>
      </c>
      <c r="C56" s="116">
        <f>SUM(C54,C49:C50,C55)</f>
        <v>4.7156000000000002</v>
      </c>
      <c r="E56" s="116">
        <f>SUM(E54,E49:E50,E55)</f>
        <v>4.7355999999999998</v>
      </c>
      <c r="F56" s="67"/>
      <c r="G56" s="116">
        <f>SUM(G54,G49:G50,G55)</f>
        <v>4.7355999999999998</v>
      </c>
      <c r="H56" s="91"/>
      <c r="I56" s="91"/>
      <c r="J56" s="91"/>
      <c r="K56" s="91"/>
      <c r="L56" s="91"/>
      <c r="M56" s="91"/>
      <c r="N56" s="91"/>
    </row>
    <row r="57" spans="1:14" ht="13.8" thickTop="1" x14ac:dyDescent="0.2">
      <c r="A57" s="62" t="s">
        <v>37</v>
      </c>
      <c r="B57" s="62" t="s">
        <v>37</v>
      </c>
      <c r="C57" s="93">
        <v>37170</v>
      </c>
      <c r="E57" s="93">
        <v>54450</v>
      </c>
      <c r="F57" s="67"/>
      <c r="G57" s="93">
        <v>118800</v>
      </c>
      <c r="H57" s="91"/>
      <c r="I57" s="91"/>
      <c r="J57" s="91"/>
      <c r="K57" s="91"/>
      <c r="L57" s="91"/>
      <c r="M57" s="91"/>
      <c r="N57" s="91"/>
    </row>
    <row r="58" spans="1:14" ht="13.2" x14ac:dyDescent="0.2">
      <c r="A58" s="62" t="s">
        <v>310</v>
      </c>
      <c r="C58" s="68"/>
      <c r="E58" s="67"/>
      <c r="F58" s="67"/>
      <c r="G58" s="67"/>
      <c r="H58" s="91"/>
      <c r="I58" s="91"/>
      <c r="J58" s="91"/>
      <c r="K58" s="91"/>
      <c r="L58" s="91"/>
      <c r="M58" s="91"/>
      <c r="N58" s="91"/>
    </row>
    <row r="59" spans="1:14" ht="13.2" x14ac:dyDescent="0.2">
      <c r="A59" s="62" t="s">
        <v>311</v>
      </c>
      <c r="C59" s="68"/>
      <c r="H59" s="91"/>
      <c r="I59" s="91"/>
      <c r="J59" s="91"/>
      <c r="K59" s="91"/>
      <c r="L59" s="91"/>
      <c r="M59" s="91"/>
      <c r="N59" s="91"/>
    </row>
    <row r="60" spans="1:14" ht="13.2" x14ac:dyDescent="0.2">
      <c r="A60" s="62" t="s">
        <v>229</v>
      </c>
      <c r="C60" s="68"/>
      <c r="H60" s="91"/>
      <c r="I60" s="91"/>
      <c r="J60" s="91"/>
      <c r="K60" s="91"/>
      <c r="L60" s="91"/>
      <c r="M60" s="91"/>
      <c r="N60" s="91"/>
    </row>
    <row r="61" spans="1:14" ht="13.2" x14ac:dyDescent="0.2">
      <c r="A61" s="62" t="s">
        <v>230</v>
      </c>
      <c r="C61" s="68"/>
      <c r="H61" s="91"/>
      <c r="I61" s="91"/>
      <c r="J61" s="91"/>
      <c r="K61" s="91"/>
      <c r="L61" s="91"/>
      <c r="M61" s="91"/>
      <c r="N61" s="91"/>
    </row>
    <row r="62" spans="1:14" ht="13.2" x14ac:dyDescent="0.2">
      <c r="C62" s="68"/>
      <c r="H62" s="91"/>
      <c r="I62" s="91" t="s">
        <v>37</v>
      </c>
      <c r="J62" s="91"/>
      <c r="K62" s="91"/>
      <c r="L62" s="91"/>
      <c r="M62" s="91"/>
      <c r="N62" s="91"/>
    </row>
    <row r="63" spans="1:14" ht="13.2" x14ac:dyDescent="0.2">
      <c r="A63" s="62" t="s">
        <v>37</v>
      </c>
      <c r="C63" s="68"/>
      <c r="H63" s="91"/>
      <c r="I63" s="91"/>
      <c r="J63" s="91"/>
      <c r="K63" s="91"/>
      <c r="L63" s="91"/>
      <c r="M63" s="91"/>
      <c r="N63" s="91"/>
    </row>
    <row r="64" spans="1:14" ht="13.2" x14ac:dyDescent="0.2">
      <c r="A64" s="62" t="s">
        <v>37</v>
      </c>
      <c r="B64" s="62" t="s">
        <v>37</v>
      </c>
      <c r="C64" s="68"/>
      <c r="H64" s="91"/>
      <c r="I64" s="91"/>
      <c r="J64" s="91"/>
      <c r="K64" s="91"/>
      <c r="L64" s="91"/>
      <c r="M64" s="91"/>
      <c r="N64" s="91"/>
    </row>
    <row r="65" spans="1:14" ht="13.2" x14ac:dyDescent="0.2">
      <c r="A65" s="62" t="s">
        <v>37</v>
      </c>
      <c r="B65" s="62" t="s">
        <v>37</v>
      </c>
      <c r="C65" s="68"/>
      <c r="H65" s="91"/>
      <c r="I65" s="91"/>
      <c r="J65" s="91"/>
      <c r="K65" s="91"/>
      <c r="L65" s="91"/>
      <c r="M65" s="91"/>
      <c r="N65" s="91"/>
    </row>
    <row r="66" spans="1:14" ht="13.2" x14ac:dyDescent="0.2">
      <c r="C66" s="68"/>
      <c r="H66" s="91"/>
      <c r="I66" s="91"/>
      <c r="J66" s="91"/>
      <c r="K66" s="91"/>
      <c r="L66" s="91"/>
      <c r="M66" s="91"/>
      <c r="N66" s="91"/>
    </row>
    <row r="67" spans="1:14" ht="13.2" x14ac:dyDescent="0.2">
      <c r="C67" s="68"/>
      <c r="H67" s="91"/>
      <c r="I67" s="91"/>
      <c r="J67" s="91"/>
      <c r="K67" s="91"/>
      <c r="L67" s="91"/>
      <c r="M67" s="91"/>
      <c r="N67" s="91"/>
    </row>
    <row r="68" spans="1:14" ht="13.2" x14ac:dyDescent="0.2">
      <c r="C68" s="68"/>
      <c r="H68" s="91"/>
      <c r="I68" s="91"/>
      <c r="J68" s="91"/>
      <c r="K68" s="91"/>
      <c r="L68" s="91"/>
      <c r="M68" s="91"/>
      <c r="N68" s="91"/>
    </row>
    <row r="69" spans="1:14" ht="13.2" x14ac:dyDescent="0.2">
      <c r="C69" s="68"/>
      <c r="H69" s="91"/>
      <c r="I69" s="91"/>
      <c r="J69" s="91"/>
      <c r="K69" s="91"/>
      <c r="L69" s="91"/>
      <c r="M69" s="91"/>
      <c r="N69" s="91"/>
    </row>
    <row r="70" spans="1:14" ht="13.2" x14ac:dyDescent="0.25">
      <c r="A70" s="66" t="s">
        <v>231</v>
      </c>
      <c r="C70" s="103" t="s">
        <v>232</v>
      </c>
      <c r="E70" s="103" t="s">
        <v>233</v>
      </c>
      <c r="G70" s="91"/>
      <c r="H70" s="91"/>
      <c r="I70" s="91"/>
      <c r="J70" s="91"/>
      <c r="K70" s="91"/>
      <c r="L70" s="91"/>
      <c r="M70" s="91"/>
      <c r="N70" s="91"/>
    </row>
    <row r="71" spans="1:14" ht="13.2" x14ac:dyDescent="0.2">
      <c r="A71" s="62" t="s">
        <v>150</v>
      </c>
      <c r="B71" s="62" t="s">
        <v>234</v>
      </c>
      <c r="C71" s="64">
        <v>4.29</v>
      </c>
      <c r="E71" s="64">
        <f>+C77</f>
        <v>4.4634999999999998</v>
      </c>
      <c r="G71" s="91"/>
      <c r="H71" s="91"/>
      <c r="I71" s="91"/>
      <c r="J71" s="91"/>
      <c r="K71" s="91"/>
      <c r="L71" s="91"/>
      <c r="M71" s="91"/>
      <c r="N71" s="91"/>
    </row>
    <row r="72" spans="1:14" ht="13.2" x14ac:dyDescent="0.2">
      <c r="A72" s="62" t="s">
        <v>158</v>
      </c>
      <c r="C72" s="64">
        <v>0.01</v>
      </c>
      <c r="E72" s="64">
        <v>0</v>
      </c>
      <c r="G72" s="91"/>
      <c r="H72" s="91"/>
      <c r="I72" s="91"/>
      <c r="J72" s="91"/>
      <c r="K72" s="91"/>
      <c r="L72" s="91"/>
      <c r="M72" s="91"/>
      <c r="N72" s="91"/>
    </row>
    <row r="73" spans="1:14" ht="13.2" x14ac:dyDescent="0.2">
      <c r="A73" s="62" t="s">
        <v>151</v>
      </c>
      <c r="C73" s="64">
        <v>5.7200000000000001E-2</v>
      </c>
      <c r="E73" s="64">
        <v>1.1000000000000001E-3</v>
      </c>
      <c r="G73" s="91"/>
      <c r="H73" s="91"/>
      <c r="I73" s="91"/>
      <c r="J73" s="91"/>
      <c r="K73" s="91"/>
      <c r="L73" s="91"/>
      <c r="M73" s="91"/>
      <c r="N73" s="91"/>
    </row>
    <row r="74" spans="1:14" ht="13.2" x14ac:dyDescent="0.2">
      <c r="A74" s="62" t="s">
        <v>152</v>
      </c>
      <c r="C74" s="64">
        <v>3.1899999999999998E-2</v>
      </c>
      <c r="E74" s="64">
        <v>9.4000000000000004E-3</v>
      </c>
      <c r="F74" s="62" t="s">
        <v>235</v>
      </c>
      <c r="G74" s="91"/>
      <c r="H74" s="91"/>
      <c r="I74" s="91"/>
      <c r="J74" s="91"/>
      <c r="K74" s="91"/>
      <c r="L74" s="91"/>
      <c r="M74" s="91"/>
      <c r="N74" s="91"/>
    </row>
    <row r="75" spans="1:14" ht="13.2" x14ac:dyDescent="0.2">
      <c r="A75" s="62" t="s">
        <v>153</v>
      </c>
      <c r="C75" s="113">
        <v>1.7000000000000001E-2</v>
      </c>
      <c r="E75" s="113">
        <v>2.1999999999999999E-2</v>
      </c>
      <c r="G75" s="91"/>
      <c r="H75" s="91"/>
      <c r="I75" s="91"/>
      <c r="J75" s="91"/>
      <c r="K75" s="91"/>
      <c r="L75" s="91"/>
      <c r="M75" s="91"/>
      <c r="N75" s="91"/>
    </row>
    <row r="76" spans="1:14" ht="13.2" x14ac:dyDescent="0.2">
      <c r="A76" s="62" t="s">
        <v>154</v>
      </c>
      <c r="C76" s="114">
        <f>ROUND((+C71+C72)/(1-C75)-(C71+C72)+C73+C74,4)</f>
        <v>0.16350000000000001</v>
      </c>
      <c r="E76" s="114">
        <f>ROUND((+E71+E72)/(1-E75)-(E71+E72)+E73+E74,4)</f>
        <v>0.1109</v>
      </c>
      <c r="G76" s="91"/>
      <c r="H76" s="91"/>
      <c r="I76" s="91"/>
      <c r="J76" s="91"/>
      <c r="K76" s="91"/>
      <c r="L76" s="91"/>
      <c r="M76" s="91"/>
      <c r="N76" s="91"/>
    </row>
    <row r="77" spans="1:14" ht="13.8" thickBot="1" x14ac:dyDescent="0.25">
      <c r="A77" s="62" t="s">
        <v>155</v>
      </c>
      <c r="C77" s="102">
        <f>SUM(C76,C71:C72)</f>
        <v>4.4634999999999998</v>
      </c>
      <c r="E77" s="102">
        <f>SUM(E76,E71:E72)</f>
        <v>4.5743999999999998</v>
      </c>
      <c r="F77" s="62" t="s">
        <v>354</v>
      </c>
      <c r="G77" s="91"/>
      <c r="H77" s="91"/>
      <c r="I77" s="91"/>
      <c r="J77" s="91"/>
      <c r="K77" s="91"/>
      <c r="L77" s="91"/>
      <c r="M77" s="91"/>
      <c r="N77" s="91"/>
    </row>
    <row r="78" spans="1:14" ht="13.8" thickTop="1" x14ac:dyDescent="0.2">
      <c r="G78" s="91"/>
      <c r="H78" s="91"/>
      <c r="I78" s="91"/>
      <c r="J78" s="91"/>
      <c r="K78" s="91"/>
      <c r="L78" s="91"/>
      <c r="M78" s="91"/>
      <c r="N78" s="91"/>
    </row>
    <row r="79" spans="1:14" ht="13.2" x14ac:dyDescent="0.2">
      <c r="A79" s="91"/>
      <c r="B79" s="91"/>
      <c r="C79" s="91"/>
      <c r="D79" s="91"/>
      <c r="E79" s="91"/>
      <c r="F79" s="91"/>
      <c r="G79" s="91"/>
      <c r="H79" s="91"/>
      <c r="I79" s="91"/>
      <c r="J79" s="91"/>
      <c r="K79" s="91"/>
      <c r="L79" s="91"/>
      <c r="M79" s="91"/>
      <c r="N79" s="91"/>
    </row>
    <row r="80" spans="1:14" ht="13.2" x14ac:dyDescent="0.2">
      <c r="A80" s="91"/>
      <c r="B80" s="91"/>
      <c r="C80" s="91"/>
      <c r="D80" s="91"/>
      <c r="E80" s="91"/>
      <c r="F80" s="91"/>
      <c r="G80" s="91"/>
      <c r="H80" s="91"/>
      <c r="I80" s="91"/>
      <c r="J80" s="91"/>
      <c r="K80" s="91"/>
      <c r="L80" s="91"/>
      <c r="M80" s="91"/>
      <c r="N80" s="91"/>
    </row>
    <row r="81" spans="1:14" ht="13.2" x14ac:dyDescent="0.2">
      <c r="A81" s="91"/>
      <c r="B81" s="91"/>
      <c r="C81" s="91"/>
      <c r="D81" s="91"/>
      <c r="E81" s="91"/>
      <c r="F81" s="91"/>
      <c r="G81" s="91"/>
      <c r="H81" s="91"/>
      <c r="I81" s="91"/>
      <c r="J81" s="91"/>
      <c r="K81" s="91"/>
      <c r="L81" s="91"/>
      <c r="M81" s="91"/>
      <c r="N81" s="91"/>
    </row>
    <row r="82" spans="1:14" ht="13.2" x14ac:dyDescent="0.25">
      <c r="A82" s="66" t="s">
        <v>236</v>
      </c>
      <c r="C82" s="103" t="s">
        <v>81</v>
      </c>
      <c r="E82" s="103" t="s">
        <v>237</v>
      </c>
      <c r="G82" s="91"/>
      <c r="H82" s="91"/>
      <c r="I82" s="91"/>
      <c r="J82" s="91"/>
      <c r="K82" s="91"/>
      <c r="L82" s="91"/>
      <c r="M82" s="91"/>
      <c r="N82" s="91"/>
    </row>
    <row r="83" spans="1:14" ht="13.2" x14ac:dyDescent="0.2">
      <c r="A83" s="62" t="s">
        <v>150</v>
      </c>
      <c r="B83" s="62" t="s">
        <v>56</v>
      </c>
      <c r="C83" s="64">
        <v>4.5599999999999996</v>
      </c>
      <c r="E83" s="64">
        <v>4.5599999999999996</v>
      </c>
      <c r="G83" s="91"/>
      <c r="H83" s="91"/>
      <c r="I83" s="91"/>
      <c r="J83" s="91"/>
      <c r="K83" s="91"/>
      <c r="L83" s="91"/>
      <c r="M83" s="91"/>
      <c r="N83" s="91"/>
    </row>
    <row r="84" spans="1:14" ht="13.2" x14ac:dyDescent="0.2">
      <c r="A84" s="62" t="s">
        <v>158</v>
      </c>
      <c r="C84" s="64">
        <v>2.75E-2</v>
      </c>
      <c r="E84" s="64">
        <v>2.75E-2</v>
      </c>
      <c r="G84" s="91"/>
      <c r="H84" s="91"/>
      <c r="I84" s="91"/>
      <c r="J84" s="91"/>
      <c r="K84" s="91"/>
      <c r="L84" s="91"/>
      <c r="M84" s="91"/>
      <c r="N84" s="91"/>
    </row>
    <row r="85" spans="1:14" ht="13.2" x14ac:dyDescent="0.2">
      <c r="A85" s="62" t="s">
        <v>151</v>
      </c>
      <c r="C85" s="64">
        <v>9.1999999999999998E-3</v>
      </c>
      <c r="E85" s="64">
        <v>0.2127</v>
      </c>
      <c r="G85" s="91"/>
      <c r="H85" s="91"/>
      <c r="I85" s="91"/>
      <c r="J85" s="91"/>
      <c r="K85" s="91"/>
      <c r="L85" s="91"/>
      <c r="M85" s="91"/>
      <c r="N85" s="91"/>
    </row>
    <row r="86" spans="1:14" ht="13.2" x14ac:dyDescent="0.2">
      <c r="A86" s="62" t="s">
        <v>152</v>
      </c>
      <c r="C86" s="64">
        <v>9.4000000000000004E-3</v>
      </c>
      <c r="E86" s="64">
        <v>9.4000000000000004E-3</v>
      </c>
      <c r="F86" s="91"/>
      <c r="G86" s="91"/>
      <c r="H86" s="91"/>
      <c r="I86" s="91"/>
      <c r="J86" s="91"/>
      <c r="K86" s="91"/>
      <c r="L86" s="91"/>
      <c r="M86" s="91"/>
      <c r="N86" s="91"/>
    </row>
    <row r="87" spans="1:14" ht="13.2" x14ac:dyDescent="0.2">
      <c r="A87" s="62" t="s">
        <v>153</v>
      </c>
      <c r="C87" s="113">
        <v>0.03</v>
      </c>
      <c r="E87" s="113">
        <v>0.03</v>
      </c>
      <c r="F87" s="91"/>
      <c r="G87" s="91"/>
      <c r="H87" s="91"/>
      <c r="I87" s="91"/>
      <c r="J87" s="91"/>
      <c r="K87" s="91"/>
      <c r="L87" s="91"/>
      <c r="M87" s="91"/>
      <c r="N87" s="91"/>
    </row>
    <row r="88" spans="1:14" ht="13.2" x14ac:dyDescent="0.2">
      <c r="A88" s="62" t="s">
        <v>154</v>
      </c>
      <c r="C88" s="114">
        <f>ROUND((+C83+C84)/(1-C87)-(C83+C84)+C85+C86,4)</f>
        <v>0.1605</v>
      </c>
      <c r="E88" s="114">
        <f>ROUND((+E83+E84)/(1-E87)-(E83+E84)+E85+E86,4)</f>
        <v>0.36399999999999999</v>
      </c>
      <c r="F88" s="91"/>
      <c r="G88" s="91"/>
      <c r="H88" s="91"/>
      <c r="I88" s="91"/>
      <c r="J88" s="91"/>
      <c r="K88" s="91"/>
      <c r="L88" s="91"/>
      <c r="M88" s="91"/>
      <c r="N88" s="91"/>
    </row>
    <row r="89" spans="1:14" ht="13.8" thickBot="1" x14ac:dyDescent="0.25">
      <c r="A89" s="62" t="s">
        <v>155</v>
      </c>
      <c r="C89" s="102">
        <f>SUM(C88,C83:C84)</f>
        <v>4.7479999999999993</v>
      </c>
      <c r="E89" s="102">
        <f>SUM(E88,E83:E84)</f>
        <v>4.9514999999999993</v>
      </c>
      <c r="F89" s="91"/>
      <c r="G89" s="91"/>
      <c r="H89" s="91"/>
      <c r="I89" s="91"/>
      <c r="J89" s="91"/>
      <c r="K89" s="91"/>
      <c r="L89" s="91"/>
      <c r="M89" s="91"/>
      <c r="N89" s="91"/>
    </row>
    <row r="90" spans="1:14" ht="13.8" thickTop="1" x14ac:dyDescent="0.2">
      <c r="F90" s="91"/>
      <c r="G90" s="91"/>
      <c r="H90" s="91"/>
      <c r="I90" s="91"/>
      <c r="J90" s="91"/>
      <c r="K90" s="91"/>
      <c r="L90" s="91"/>
      <c r="M90" s="91"/>
      <c r="N90" s="91"/>
    </row>
    <row r="91" spans="1:14" ht="13.2" x14ac:dyDescent="0.2">
      <c r="A91" s="62" t="s">
        <v>312</v>
      </c>
      <c r="F91" s="91"/>
      <c r="G91" s="91"/>
      <c r="H91" s="91"/>
      <c r="I91" s="91"/>
      <c r="J91" s="91"/>
      <c r="K91" s="91"/>
      <c r="L91" s="91"/>
      <c r="M91" s="91"/>
      <c r="N91" s="91"/>
    </row>
    <row r="92" spans="1:14" ht="13.2" x14ac:dyDescent="0.2">
      <c r="A92" s="91"/>
      <c r="B92" s="91"/>
      <c r="C92" s="91"/>
      <c r="D92" s="91"/>
      <c r="E92" s="91"/>
      <c r="F92" s="91"/>
      <c r="G92" s="91"/>
      <c r="H92" s="91"/>
      <c r="I92" s="91"/>
      <c r="J92" s="91"/>
      <c r="K92" s="91"/>
      <c r="L92" s="91"/>
      <c r="M92" s="91"/>
      <c r="N92" s="91"/>
    </row>
    <row r="93" spans="1:14" ht="13.2" x14ac:dyDescent="0.2">
      <c r="A93" s="91"/>
      <c r="B93" s="91"/>
      <c r="C93" s="91"/>
      <c r="D93" s="91"/>
      <c r="E93" s="91"/>
      <c r="F93" s="91"/>
      <c r="G93" s="91"/>
      <c r="H93" s="91"/>
      <c r="I93" s="91"/>
      <c r="J93" s="91"/>
      <c r="K93" s="91"/>
      <c r="L93" s="91"/>
      <c r="M93" s="91"/>
      <c r="N93" s="91"/>
    </row>
    <row r="94" spans="1:14" ht="13.2" x14ac:dyDescent="0.25">
      <c r="A94" s="66" t="s">
        <v>238</v>
      </c>
      <c r="F94" s="91"/>
      <c r="G94" s="91"/>
      <c r="H94" s="91"/>
      <c r="I94" s="91"/>
      <c r="J94" s="91"/>
      <c r="K94" s="91"/>
      <c r="L94" s="91"/>
      <c r="M94" s="91"/>
      <c r="N94" s="91"/>
    </row>
    <row r="95" spans="1:14" ht="13.2" x14ac:dyDescent="0.2">
      <c r="A95" s="62" t="s">
        <v>150</v>
      </c>
      <c r="B95" s="62" t="s">
        <v>143</v>
      </c>
      <c r="C95" s="64">
        <v>4.29</v>
      </c>
      <c r="F95" s="91"/>
      <c r="G95" s="91"/>
      <c r="H95" s="91"/>
      <c r="I95" s="91"/>
      <c r="J95" s="91"/>
      <c r="K95" s="91"/>
      <c r="L95" s="91"/>
      <c r="M95" s="91"/>
      <c r="N95" s="91"/>
    </row>
    <row r="96" spans="1:14" ht="13.2" x14ac:dyDescent="0.2">
      <c r="A96" s="62" t="s">
        <v>158</v>
      </c>
      <c r="C96" s="64">
        <v>0.01</v>
      </c>
      <c r="F96" s="91"/>
      <c r="G96" s="91"/>
      <c r="H96" s="91"/>
      <c r="I96" s="91"/>
      <c r="J96" s="91"/>
      <c r="K96" s="91"/>
      <c r="L96" s="91"/>
      <c r="M96" s="91"/>
      <c r="N96" s="91"/>
    </row>
    <row r="97" spans="1:14" ht="13.2" x14ac:dyDescent="0.2">
      <c r="A97" s="62" t="s">
        <v>151</v>
      </c>
      <c r="C97" s="64">
        <v>0.11260000000000001</v>
      </c>
      <c r="F97" s="91"/>
      <c r="G97" s="91"/>
      <c r="H97" s="91"/>
      <c r="I97" s="91"/>
      <c r="J97" s="91"/>
      <c r="K97" s="91"/>
      <c r="L97" s="91"/>
      <c r="M97" s="91"/>
      <c r="N97" s="91"/>
    </row>
    <row r="98" spans="1:14" ht="13.2" x14ac:dyDescent="0.2">
      <c r="A98" s="62" t="s">
        <v>152</v>
      </c>
      <c r="C98" s="64">
        <v>9.4000000000000004E-3</v>
      </c>
      <c r="F98" s="91"/>
      <c r="G98" s="91"/>
      <c r="H98" s="91"/>
      <c r="I98" s="91"/>
      <c r="J98" s="91"/>
      <c r="K98" s="91"/>
      <c r="L98" s="91"/>
      <c r="M98" s="91"/>
      <c r="N98" s="91"/>
    </row>
    <row r="99" spans="1:14" ht="13.2" x14ac:dyDescent="0.2">
      <c r="A99" s="62" t="s">
        <v>153</v>
      </c>
      <c r="C99" s="113">
        <v>5.9700000000000003E-2</v>
      </c>
      <c r="F99" s="91"/>
      <c r="G99" s="91"/>
      <c r="H99" s="91"/>
      <c r="I99" s="91"/>
      <c r="J99" s="91"/>
      <c r="K99" s="91"/>
      <c r="L99" s="91"/>
      <c r="M99" s="91"/>
      <c r="N99" s="91"/>
    </row>
    <row r="100" spans="1:14" ht="13.2" x14ac:dyDescent="0.2">
      <c r="A100" s="62" t="s">
        <v>154</v>
      </c>
      <c r="C100" s="114">
        <f>ROUND((+C95+C96)/(1-C99)-(C95+C96)+C97+C98,4)</f>
        <v>0.39500000000000002</v>
      </c>
      <c r="F100" s="91"/>
      <c r="G100" s="91"/>
      <c r="H100" s="91"/>
      <c r="I100" s="91"/>
      <c r="J100" s="91"/>
      <c r="K100" s="91"/>
      <c r="L100" s="91"/>
      <c r="M100" s="91"/>
      <c r="N100" s="91"/>
    </row>
    <row r="101" spans="1:14" ht="13.8" thickBot="1" x14ac:dyDescent="0.25">
      <c r="C101" s="102">
        <f>SUM(C100,C95:C96)</f>
        <v>4.6950000000000003</v>
      </c>
      <c r="D101" s="62" t="s">
        <v>355</v>
      </c>
      <c r="F101" s="91"/>
      <c r="G101" s="91"/>
      <c r="H101" s="91"/>
      <c r="I101" s="91"/>
      <c r="J101" s="91"/>
      <c r="K101" s="91"/>
      <c r="L101" s="91"/>
      <c r="M101" s="91"/>
      <c r="N101" s="91"/>
    </row>
    <row r="102" spans="1:14" ht="13.8" thickTop="1" x14ac:dyDescent="0.2">
      <c r="E102" s="91"/>
      <c r="F102" s="91"/>
      <c r="G102" s="91"/>
      <c r="H102" s="91"/>
      <c r="I102" s="91"/>
      <c r="J102" s="91"/>
      <c r="K102" s="91"/>
      <c r="L102" s="91"/>
      <c r="M102" s="91"/>
      <c r="N102" s="91"/>
    </row>
    <row r="103" spans="1:14" ht="13.2" x14ac:dyDescent="0.2">
      <c r="A103" s="91"/>
      <c r="B103" s="91"/>
      <c r="C103" s="91"/>
      <c r="D103" s="91"/>
      <c r="E103" s="91"/>
      <c r="F103" s="91"/>
      <c r="G103" s="91"/>
      <c r="H103" s="91"/>
      <c r="I103" s="91"/>
      <c r="J103" s="91"/>
      <c r="K103" s="91"/>
      <c r="L103" s="91"/>
      <c r="M103" s="91"/>
      <c r="N103" s="91"/>
    </row>
    <row r="104" spans="1:14" ht="13.2" x14ac:dyDescent="0.25">
      <c r="A104" s="66" t="s">
        <v>239</v>
      </c>
      <c r="E104" s="91"/>
      <c r="F104" s="91"/>
      <c r="G104" s="91"/>
      <c r="H104" s="91"/>
      <c r="I104" s="91"/>
      <c r="J104" s="91"/>
      <c r="K104" s="91"/>
      <c r="L104" s="91"/>
      <c r="M104" s="91"/>
      <c r="N104" s="91"/>
    </row>
    <row r="105" spans="1:14" ht="13.2" x14ac:dyDescent="0.2">
      <c r="A105" s="62" t="s">
        <v>150</v>
      </c>
      <c r="B105" s="62" t="s">
        <v>240</v>
      </c>
      <c r="C105" s="64">
        <v>4.3</v>
      </c>
      <c r="E105" s="91"/>
      <c r="F105" s="91"/>
      <c r="G105" s="91"/>
      <c r="H105" s="91"/>
      <c r="I105" s="91"/>
      <c r="J105" s="91"/>
      <c r="K105" s="91"/>
      <c r="L105" s="91"/>
      <c r="M105" s="91"/>
      <c r="N105" s="91"/>
    </row>
    <row r="106" spans="1:14" ht="13.2" x14ac:dyDescent="0.2">
      <c r="A106" s="62" t="s">
        <v>158</v>
      </c>
      <c r="C106" s="64">
        <v>0.01</v>
      </c>
      <c r="E106" s="91"/>
      <c r="F106" s="91"/>
      <c r="G106" s="91"/>
      <c r="H106" s="91"/>
      <c r="I106" s="91"/>
      <c r="J106" s="91"/>
      <c r="K106" s="91"/>
      <c r="L106" s="91"/>
      <c r="M106" s="91"/>
      <c r="N106" s="91"/>
    </row>
    <row r="107" spans="1:14" ht="13.2" x14ac:dyDescent="0.2">
      <c r="A107" s="62" t="s">
        <v>151</v>
      </c>
      <c r="C107" s="64">
        <v>0.1012</v>
      </c>
      <c r="E107" s="91"/>
      <c r="F107" s="91"/>
      <c r="G107" s="91"/>
      <c r="H107" s="91"/>
      <c r="I107" s="91"/>
      <c r="J107" s="91"/>
      <c r="K107" s="91"/>
      <c r="L107" s="91"/>
      <c r="M107" s="91"/>
      <c r="N107" s="91"/>
    </row>
    <row r="108" spans="1:14" ht="13.2" x14ac:dyDescent="0.2">
      <c r="A108" s="62" t="s">
        <v>152</v>
      </c>
      <c r="C108" s="64">
        <v>9.4000000000000004E-3</v>
      </c>
      <c r="E108" s="91"/>
      <c r="F108" s="91"/>
      <c r="G108" s="91"/>
      <c r="H108" s="91"/>
      <c r="I108" s="91"/>
      <c r="J108" s="91"/>
      <c r="K108" s="91"/>
      <c r="L108" s="91"/>
      <c r="M108" s="91"/>
      <c r="N108" s="91"/>
    </row>
    <row r="109" spans="1:14" ht="13.2" x14ac:dyDescent="0.2">
      <c r="A109" s="62" t="s">
        <v>153</v>
      </c>
      <c r="C109" s="113">
        <v>7.0499999999999993E-2</v>
      </c>
      <c r="E109" s="91"/>
      <c r="F109" s="91"/>
      <c r="G109" s="91"/>
      <c r="H109" s="91"/>
      <c r="I109" s="91"/>
      <c r="J109" s="91"/>
      <c r="K109" s="91"/>
      <c r="L109" s="91"/>
      <c r="M109" s="91"/>
      <c r="N109" s="91"/>
    </row>
    <row r="110" spans="1:14" ht="13.2" x14ac:dyDescent="0.2">
      <c r="A110" s="62" t="s">
        <v>154</v>
      </c>
      <c r="C110" s="114">
        <f>ROUND((+C105+C106)/(1-C109)-(C105+C106)+C107+C108,4)</f>
        <v>0.4375</v>
      </c>
      <c r="D110" s="62" t="s">
        <v>308</v>
      </c>
      <c r="E110" s="91"/>
      <c r="F110" s="91"/>
      <c r="G110" s="91"/>
      <c r="H110" s="91"/>
      <c r="I110" s="91"/>
      <c r="J110" s="91"/>
      <c r="K110" s="91"/>
      <c r="L110" s="91"/>
      <c r="M110" s="91"/>
      <c r="N110" s="91"/>
    </row>
    <row r="111" spans="1:14" ht="13.8" thickBot="1" x14ac:dyDescent="0.25">
      <c r="C111" s="102">
        <f>SUM(C110,C105:C106)</f>
        <v>4.7474999999999996</v>
      </c>
      <c r="D111" s="62" t="s">
        <v>309</v>
      </c>
      <c r="E111" s="91"/>
      <c r="F111" s="91"/>
      <c r="G111" s="91"/>
      <c r="H111" s="91"/>
      <c r="I111" s="91"/>
      <c r="J111" s="91"/>
      <c r="K111" s="91"/>
      <c r="L111" s="91"/>
      <c r="M111" s="91"/>
      <c r="N111" s="91"/>
    </row>
    <row r="112" spans="1:14" ht="13.8" thickTop="1" x14ac:dyDescent="0.2">
      <c r="E112" s="91"/>
      <c r="F112" s="91"/>
      <c r="G112" s="91"/>
      <c r="H112" s="91"/>
      <c r="I112" s="91"/>
      <c r="J112" s="91"/>
      <c r="K112" s="91"/>
      <c r="L112" s="91"/>
      <c r="M112" s="91"/>
      <c r="N112" s="91"/>
    </row>
    <row r="113" spans="1:14" ht="13.2" x14ac:dyDescent="0.2">
      <c r="A113" s="62" t="s">
        <v>307</v>
      </c>
      <c r="E113" s="91"/>
      <c r="F113" s="91"/>
      <c r="G113" s="91"/>
      <c r="H113" s="91"/>
      <c r="I113" s="91"/>
      <c r="J113" s="91"/>
      <c r="K113" s="91"/>
      <c r="L113" s="91"/>
      <c r="M113" s="91"/>
      <c r="N113" s="91"/>
    </row>
    <row r="114" spans="1:14" ht="13.2" x14ac:dyDescent="0.2">
      <c r="A114" s="91"/>
      <c r="B114" s="91"/>
      <c r="C114" s="91"/>
      <c r="D114" s="91"/>
      <c r="E114" s="91"/>
      <c r="F114" s="91"/>
      <c r="G114" s="91"/>
      <c r="H114" s="91"/>
      <c r="I114" s="91"/>
      <c r="J114" s="91"/>
      <c r="K114" s="91"/>
      <c r="L114" s="91"/>
      <c r="M114" s="91"/>
      <c r="N114" s="91"/>
    </row>
    <row r="115" spans="1:14" ht="13.2" x14ac:dyDescent="0.2">
      <c r="A115" s="91"/>
      <c r="B115" s="91"/>
      <c r="C115" s="91"/>
      <c r="D115" s="91"/>
      <c r="E115" s="91"/>
      <c r="F115" s="91"/>
      <c r="G115" s="91"/>
      <c r="H115" s="91"/>
      <c r="I115" s="91"/>
      <c r="J115" s="91"/>
      <c r="K115" s="91"/>
      <c r="L115" s="91"/>
      <c r="M115" s="91"/>
      <c r="N115" s="91"/>
    </row>
    <row r="116" spans="1:14" ht="13.2" x14ac:dyDescent="0.2">
      <c r="A116" s="91"/>
      <c r="B116" s="91"/>
      <c r="C116" s="91"/>
      <c r="D116" s="91"/>
      <c r="E116" s="91"/>
      <c r="F116" s="91"/>
      <c r="G116" s="91"/>
      <c r="H116" s="91"/>
      <c r="I116" s="91"/>
      <c r="J116" s="91"/>
      <c r="K116" s="91"/>
      <c r="L116" s="91"/>
      <c r="M116" s="91"/>
      <c r="N116" s="91"/>
    </row>
    <row r="117" spans="1:14" ht="13.2" x14ac:dyDescent="0.2">
      <c r="A117" s="91"/>
      <c r="B117" s="91"/>
      <c r="C117" s="91"/>
      <c r="D117" s="91"/>
      <c r="E117" s="91"/>
      <c r="F117" s="91"/>
      <c r="G117" s="91"/>
      <c r="H117" s="91"/>
      <c r="I117" s="91"/>
      <c r="J117" s="91"/>
      <c r="K117" s="91"/>
      <c r="L117" s="91"/>
      <c r="M117" s="91"/>
      <c r="N117" s="91"/>
    </row>
    <row r="118" spans="1:14" ht="13.2" x14ac:dyDescent="0.2">
      <c r="A118" s="91"/>
      <c r="B118" s="91"/>
      <c r="C118" s="91"/>
      <c r="D118" s="91"/>
      <c r="E118" s="91"/>
      <c r="F118" s="91"/>
      <c r="G118" s="91"/>
      <c r="H118" s="91"/>
      <c r="I118" s="91"/>
      <c r="J118" s="91"/>
      <c r="K118" s="91"/>
      <c r="L118" s="91"/>
      <c r="M118" s="91"/>
      <c r="N118" s="91"/>
    </row>
    <row r="119" spans="1:14" ht="13.2" x14ac:dyDescent="0.2">
      <c r="A119" s="91"/>
      <c r="B119" s="91"/>
      <c r="C119" s="91"/>
      <c r="D119" s="91"/>
      <c r="E119" s="91"/>
      <c r="F119" s="91"/>
      <c r="G119" s="91"/>
      <c r="H119" s="91"/>
      <c r="I119" s="91"/>
      <c r="J119" s="91"/>
      <c r="K119" s="91"/>
      <c r="L119" s="91"/>
      <c r="M119" s="91"/>
      <c r="N119" s="91"/>
    </row>
    <row r="120" spans="1:14" ht="13.2" x14ac:dyDescent="0.2">
      <c r="A120" s="91"/>
      <c r="B120" s="91"/>
      <c r="C120" s="91"/>
      <c r="D120" s="91"/>
      <c r="E120" s="91"/>
      <c r="F120" s="91"/>
      <c r="G120" s="91"/>
      <c r="H120" s="91"/>
      <c r="I120" s="91"/>
      <c r="J120" s="91"/>
      <c r="K120" s="91"/>
      <c r="L120" s="91"/>
      <c r="M120" s="91"/>
      <c r="N120" s="91"/>
    </row>
    <row r="121" spans="1:14" ht="13.2" x14ac:dyDescent="0.25">
      <c r="A121" s="65" t="s">
        <v>35</v>
      </c>
      <c r="G121" s="25"/>
      <c r="H121" s="25"/>
    </row>
    <row r="122" spans="1:14" ht="13.2" x14ac:dyDescent="0.25">
      <c r="D122" s="94"/>
      <c r="F122" s="93"/>
      <c r="G122" s="25"/>
    </row>
    <row r="123" spans="1:14" x14ac:dyDescent="0.2">
      <c r="A123" s="62" t="s">
        <v>149</v>
      </c>
      <c r="E123" s="67"/>
      <c r="F123" s="67"/>
      <c r="G123" s="67"/>
      <c r="H123" s="67"/>
      <c r="I123" s="67"/>
      <c r="J123" s="67"/>
      <c r="K123" s="67"/>
      <c r="L123" s="67"/>
    </row>
    <row r="124" spans="1:14" ht="13.2" x14ac:dyDescent="0.25">
      <c r="A124" s="62" t="s">
        <v>150</v>
      </c>
      <c r="B124" s="62" t="s">
        <v>134</v>
      </c>
      <c r="C124" s="64">
        <v>4.3600000000000003</v>
      </c>
      <c r="E124" s="67"/>
      <c r="F124" s="67"/>
      <c r="G124" s="68"/>
      <c r="H124" s="67"/>
      <c r="I124" s="67"/>
      <c r="J124" s="67"/>
      <c r="K124" s="68"/>
      <c r="L124" s="34"/>
    </row>
    <row r="125" spans="1:14" ht="13.2" x14ac:dyDescent="0.25">
      <c r="C125" s="64">
        <v>7.4999999999999997E-3</v>
      </c>
      <c r="E125" s="67"/>
      <c r="F125" s="67"/>
      <c r="G125" s="68"/>
      <c r="H125" s="67"/>
      <c r="I125" s="67"/>
      <c r="J125" s="67"/>
      <c r="K125" s="68"/>
      <c r="L125" s="34"/>
    </row>
    <row r="126" spans="1:14" ht="13.2" x14ac:dyDescent="0.25">
      <c r="A126" s="62" t="s">
        <v>151</v>
      </c>
      <c r="B126" s="25"/>
      <c r="C126" s="64">
        <v>2.7400000000000001E-2</v>
      </c>
      <c r="E126" s="67"/>
      <c r="F126" s="34"/>
      <c r="G126" s="68"/>
      <c r="H126" s="67"/>
      <c r="I126" s="67"/>
      <c r="J126" s="34"/>
      <c r="K126" s="68"/>
      <c r="L126" s="34"/>
    </row>
    <row r="127" spans="1:14" ht="13.2" x14ac:dyDescent="0.25">
      <c r="A127" s="62" t="s">
        <v>152</v>
      </c>
      <c r="B127" s="25"/>
      <c r="C127" s="64">
        <v>2.2499999999999999E-2</v>
      </c>
      <c r="E127" s="67"/>
      <c r="F127" s="34"/>
      <c r="G127" s="68"/>
      <c r="H127" s="67"/>
      <c r="I127" s="67"/>
      <c r="J127" s="34"/>
      <c r="K127" s="68"/>
      <c r="L127" s="34"/>
    </row>
    <row r="128" spans="1:14" ht="13.2" x14ac:dyDescent="0.25">
      <c r="A128" s="62" t="s">
        <v>153</v>
      </c>
      <c r="B128" s="87"/>
      <c r="C128" s="113">
        <v>4.7199999999999999E-2</v>
      </c>
      <c r="E128" s="67"/>
      <c r="F128" s="85"/>
      <c r="G128" s="69"/>
      <c r="H128" s="67"/>
      <c r="I128" s="67"/>
      <c r="J128" s="85"/>
      <c r="K128" s="69"/>
      <c r="L128" s="34"/>
    </row>
    <row r="129" spans="1:14" ht="13.2" x14ac:dyDescent="0.25">
      <c r="A129" s="62" t="s">
        <v>154</v>
      </c>
      <c r="C129" s="114">
        <f>ROUND((+C124+C125)/(1-C128)+(C126+C127),4)-C124-C125</f>
        <v>0.26629999999999959</v>
      </c>
      <c r="E129" s="67"/>
      <c r="F129" s="67"/>
      <c r="G129" s="68"/>
      <c r="H129" s="67"/>
      <c r="I129" s="67"/>
      <c r="J129" s="67"/>
      <c r="K129" s="68"/>
      <c r="L129" s="34"/>
    </row>
    <row r="130" spans="1:14" ht="13.8" thickBot="1" x14ac:dyDescent="0.3">
      <c r="C130" s="102">
        <f>SUM(C129,C124:C125)</f>
        <v>4.6337999999999999</v>
      </c>
      <c r="D130" s="62" t="s">
        <v>315</v>
      </c>
      <c r="E130" s="67"/>
      <c r="F130" s="67"/>
      <c r="G130" s="67"/>
      <c r="H130" s="67"/>
      <c r="I130" s="67"/>
      <c r="J130" s="67"/>
      <c r="K130" s="67"/>
      <c r="L130" s="34"/>
      <c r="M130" s="63"/>
      <c r="N130" s="64"/>
    </row>
    <row r="131" spans="1:14" ht="13.8" thickTop="1" x14ac:dyDescent="0.25">
      <c r="B131" s="25"/>
      <c r="C131" s="64"/>
      <c r="G131" s="63"/>
      <c r="H131" s="86"/>
    </row>
    <row r="132" spans="1:14" ht="13.2" x14ac:dyDescent="0.25">
      <c r="K132" s="25"/>
      <c r="L132" s="64"/>
    </row>
    <row r="133" spans="1:14" ht="13.2" x14ac:dyDescent="0.2">
      <c r="A133" s="91"/>
      <c r="B133" s="91"/>
      <c r="C133" s="91"/>
      <c r="D133" s="91"/>
      <c r="E133" s="91"/>
      <c r="F133" s="91"/>
      <c r="G133" s="91"/>
      <c r="H133" s="91"/>
      <c r="I133" s="91"/>
      <c r="J133" s="91"/>
      <c r="K133" s="91"/>
      <c r="L133" s="91"/>
      <c r="M133" s="91"/>
      <c r="N133" s="91"/>
    </row>
    <row r="134" spans="1:14" x14ac:dyDescent="0.2">
      <c r="A134" s="62" t="s">
        <v>241</v>
      </c>
      <c r="E134" s="67"/>
      <c r="F134" s="67"/>
      <c r="G134" s="67"/>
      <c r="H134" s="67"/>
      <c r="I134" s="67"/>
      <c r="J134" s="67"/>
      <c r="K134" s="67"/>
      <c r="L134" s="67"/>
    </row>
    <row r="135" spans="1:14" ht="13.2" x14ac:dyDescent="0.25">
      <c r="A135" s="62" t="s">
        <v>150</v>
      </c>
      <c r="B135" s="62" t="s">
        <v>134</v>
      </c>
      <c r="C135" s="64">
        <v>4.3600000000000003</v>
      </c>
      <c r="E135" s="67"/>
      <c r="F135" s="67"/>
      <c r="G135" s="68"/>
      <c r="H135" s="67"/>
      <c r="I135" s="67"/>
      <c r="J135" s="67"/>
      <c r="K135" s="68"/>
      <c r="L135" s="34"/>
    </row>
    <row r="136" spans="1:14" ht="13.2" x14ac:dyDescent="0.25">
      <c r="C136" s="64">
        <v>7.4999999999999997E-3</v>
      </c>
      <c r="E136" s="67"/>
      <c r="F136" s="67"/>
      <c r="G136" s="68"/>
      <c r="H136" s="67"/>
      <c r="I136" s="67"/>
      <c r="J136" s="67"/>
      <c r="K136" s="68"/>
      <c r="L136" s="34"/>
    </row>
    <row r="137" spans="1:14" ht="13.2" x14ac:dyDescent="0.25">
      <c r="A137" s="62" t="s">
        <v>151</v>
      </c>
      <c r="B137" s="25"/>
      <c r="C137" s="64">
        <v>1.4E-2</v>
      </c>
      <c r="E137" s="67"/>
      <c r="F137" s="34"/>
      <c r="G137" s="68"/>
      <c r="H137" s="67"/>
      <c r="I137" s="67"/>
      <c r="J137" s="34"/>
      <c r="K137" s="68"/>
      <c r="L137" s="34"/>
    </row>
    <row r="138" spans="1:14" ht="13.2" x14ac:dyDescent="0.25">
      <c r="A138" s="62" t="s">
        <v>152</v>
      </c>
      <c r="B138" s="25"/>
      <c r="C138" s="64">
        <v>2.2499999999999999E-2</v>
      </c>
      <c r="E138" s="67"/>
      <c r="F138" s="34"/>
      <c r="G138" s="68"/>
      <c r="H138" s="67"/>
      <c r="I138" s="67"/>
      <c r="J138" s="34"/>
      <c r="K138" s="68"/>
      <c r="L138" s="34"/>
    </row>
    <row r="139" spans="1:14" ht="13.2" x14ac:dyDescent="0.25">
      <c r="A139" s="62" t="s">
        <v>153</v>
      </c>
      <c r="B139" s="87"/>
      <c r="C139" s="113">
        <v>2.35E-2</v>
      </c>
      <c r="E139" s="67"/>
      <c r="F139" s="85"/>
      <c r="G139" s="69"/>
      <c r="H139" s="67"/>
      <c r="I139" s="67"/>
      <c r="J139" s="85"/>
      <c r="K139" s="69"/>
      <c r="L139" s="34"/>
    </row>
    <row r="140" spans="1:14" ht="13.2" x14ac:dyDescent="0.25">
      <c r="A140" s="62" t="s">
        <v>154</v>
      </c>
      <c r="C140" s="114">
        <f>ROUND((+C135+C136)/(1-C139)+(C137+C138),4)-C135-C136</f>
        <v>0.14159999999999978</v>
      </c>
      <c r="E140" s="67"/>
      <c r="F140" s="67"/>
      <c r="G140" s="68"/>
      <c r="H140" s="67"/>
      <c r="I140" s="67"/>
      <c r="J140" s="67"/>
      <c r="K140" s="68"/>
      <c r="L140" s="34"/>
    </row>
    <row r="141" spans="1:14" ht="13.8" thickBot="1" x14ac:dyDescent="0.3">
      <c r="C141" s="102">
        <f>SUM(C140,C135:C136)</f>
        <v>4.5091000000000001</v>
      </c>
      <c r="D141" s="62" t="s">
        <v>313</v>
      </c>
      <c r="E141" s="67"/>
      <c r="F141" s="67"/>
      <c r="G141" s="67"/>
      <c r="H141" s="67"/>
      <c r="I141" s="67"/>
      <c r="J141" s="67"/>
      <c r="K141" s="67"/>
      <c r="L141" s="34"/>
      <c r="M141" s="63"/>
      <c r="N141" s="64"/>
    </row>
    <row r="142" spans="1:14" ht="13.8" thickTop="1" x14ac:dyDescent="0.25">
      <c r="B142" s="25"/>
      <c r="C142" s="64"/>
      <c r="G142" s="63"/>
      <c r="H142" s="86"/>
    </row>
    <row r="143" spans="1:14" ht="13.2" x14ac:dyDescent="0.2">
      <c r="A143" s="91"/>
      <c r="B143" s="91"/>
      <c r="C143" s="91"/>
      <c r="D143" s="91"/>
      <c r="E143" s="91"/>
      <c r="F143" s="91"/>
      <c r="G143" s="91"/>
      <c r="H143" s="91"/>
      <c r="I143" s="91"/>
      <c r="J143" s="91"/>
      <c r="K143" s="91"/>
      <c r="L143" s="91"/>
      <c r="M143" s="91"/>
      <c r="N143" s="91"/>
    </row>
    <row r="144" spans="1:14" ht="13.2" x14ac:dyDescent="0.2">
      <c r="A144" s="91"/>
      <c r="B144" s="91"/>
      <c r="C144" s="91"/>
      <c r="D144" s="91"/>
      <c r="E144" s="91"/>
      <c r="F144" s="91"/>
      <c r="G144" s="91"/>
      <c r="H144" s="91"/>
      <c r="I144" s="91"/>
      <c r="J144" s="91"/>
      <c r="K144" s="91"/>
      <c r="L144" s="91"/>
      <c r="M144" s="91"/>
      <c r="N144" s="91"/>
    </row>
    <row r="145" spans="1:14" x14ac:dyDescent="0.2">
      <c r="A145" s="62" t="s">
        <v>242</v>
      </c>
      <c r="I145" s="62" t="s">
        <v>243</v>
      </c>
    </row>
    <row r="146" spans="1:14" ht="13.2" x14ac:dyDescent="0.25">
      <c r="A146" s="62" t="s">
        <v>150</v>
      </c>
      <c r="B146" s="62" t="s">
        <v>244</v>
      </c>
      <c r="C146" s="64">
        <v>4.37</v>
      </c>
      <c r="I146" s="62" t="s">
        <v>150</v>
      </c>
      <c r="J146" s="62" t="s">
        <v>244</v>
      </c>
      <c r="K146" s="64">
        <v>4.37</v>
      </c>
      <c r="L146" s="25"/>
    </row>
    <row r="147" spans="1:14" ht="13.2" x14ac:dyDescent="0.25">
      <c r="A147" s="62" t="s">
        <v>158</v>
      </c>
      <c r="C147" s="64">
        <v>1.7500000000000002E-2</v>
      </c>
      <c r="K147" s="64">
        <v>1.7500000000000002E-2</v>
      </c>
      <c r="L147" s="25"/>
    </row>
    <row r="148" spans="1:14" ht="13.2" x14ac:dyDescent="0.25">
      <c r="A148" s="62" t="s">
        <v>151</v>
      </c>
      <c r="B148" s="25"/>
      <c r="C148" s="64">
        <v>1.15E-2</v>
      </c>
      <c r="I148" s="62" t="s">
        <v>151</v>
      </c>
      <c r="J148" s="25"/>
      <c r="K148" s="64">
        <v>2.3E-3</v>
      </c>
      <c r="L148" s="25"/>
    </row>
    <row r="149" spans="1:14" ht="13.2" x14ac:dyDescent="0.25">
      <c r="A149" s="62" t="s">
        <v>152</v>
      </c>
      <c r="B149" s="25"/>
      <c r="C149" s="64">
        <v>9.4000000000000004E-3</v>
      </c>
      <c r="D149" s="62" t="s">
        <v>245</v>
      </c>
      <c r="I149" s="62" t="s">
        <v>152</v>
      </c>
      <c r="J149" s="25"/>
      <c r="K149" s="64">
        <v>9.4000000000000004E-3</v>
      </c>
      <c r="L149" s="62" t="s">
        <v>245</v>
      </c>
    </row>
    <row r="150" spans="1:14" ht="13.2" x14ac:dyDescent="0.25">
      <c r="A150" s="62" t="s">
        <v>153</v>
      </c>
      <c r="B150" s="87"/>
      <c r="C150" s="113">
        <v>1.9E-2</v>
      </c>
      <c r="I150" s="62" t="s">
        <v>153</v>
      </c>
      <c r="J150" s="87"/>
      <c r="K150" s="113">
        <v>1.9E-2</v>
      </c>
      <c r="L150" s="25"/>
    </row>
    <row r="151" spans="1:14" ht="13.2" x14ac:dyDescent="0.25">
      <c r="A151" s="62" t="s">
        <v>154</v>
      </c>
      <c r="C151" s="114">
        <f>ROUND((+C146+C147)/(1-C150)+(C148+C149),4)-C146-C147</f>
        <v>0.10590000000000017</v>
      </c>
      <c r="I151" s="62" t="s">
        <v>154</v>
      </c>
      <c r="K151" s="114">
        <f>ROUND((+K146+K147)/(1-K150)+(K148+K149),4)-K146-K147</f>
        <v>9.67000000000003E-2</v>
      </c>
      <c r="L151" s="25"/>
    </row>
    <row r="152" spans="1:14" ht="13.8" thickBot="1" x14ac:dyDescent="0.3">
      <c r="A152" s="62" t="s">
        <v>155</v>
      </c>
      <c r="C152" s="102">
        <f>SUM(C151,C146:C147)</f>
        <v>4.4934000000000003</v>
      </c>
      <c r="D152" s="62" t="s">
        <v>314</v>
      </c>
      <c r="I152" s="67" t="s">
        <v>155</v>
      </c>
      <c r="J152" s="67"/>
      <c r="K152" s="102">
        <f>SUM(K151,K146:K147)</f>
        <v>4.4842000000000004</v>
      </c>
      <c r="L152" s="25" t="s">
        <v>254</v>
      </c>
      <c r="M152" s="63"/>
      <c r="N152" s="64"/>
    </row>
    <row r="153" spans="1:14" ht="13.8" thickTop="1" x14ac:dyDescent="0.25">
      <c r="B153" s="25"/>
      <c r="C153" s="64"/>
      <c r="G153" s="63"/>
      <c r="H153" s="86"/>
    </row>
    <row r="154" spans="1:14" ht="13.2" x14ac:dyDescent="0.2">
      <c r="A154" s="91"/>
      <c r="B154" s="91"/>
      <c r="C154" s="91"/>
      <c r="D154" s="91"/>
      <c r="E154" s="91"/>
      <c r="F154" s="91"/>
      <c r="G154" s="91"/>
      <c r="H154" s="91"/>
      <c r="I154" s="91"/>
      <c r="J154" s="91"/>
      <c r="K154" s="91"/>
      <c r="L154" s="91"/>
      <c r="M154" s="91"/>
      <c r="N154" s="91"/>
    </row>
    <row r="155" spans="1:14" x14ac:dyDescent="0.2">
      <c r="A155" s="62" t="s">
        <v>246</v>
      </c>
    </row>
    <row r="156" spans="1:14" x14ac:dyDescent="0.2">
      <c r="A156" s="62" t="s">
        <v>150</v>
      </c>
      <c r="B156" s="62" t="s">
        <v>244</v>
      </c>
      <c r="C156" s="64">
        <v>4.37</v>
      </c>
      <c r="D156" s="62" t="s">
        <v>247</v>
      </c>
    </row>
    <row r="157" spans="1:14" ht="13.2" x14ac:dyDescent="0.25">
      <c r="A157" s="62" t="s">
        <v>151</v>
      </c>
      <c r="B157" s="25"/>
      <c r="C157" s="64">
        <v>2.0299999999999999E-2</v>
      </c>
    </row>
    <row r="158" spans="1:14" ht="13.2" x14ac:dyDescent="0.25">
      <c r="A158" s="62" t="s">
        <v>152</v>
      </c>
      <c r="B158" s="25"/>
      <c r="C158" s="64">
        <v>2.2499999999999999E-2</v>
      </c>
    </row>
    <row r="159" spans="1:14" x14ac:dyDescent="0.2">
      <c r="A159" s="62" t="s">
        <v>153</v>
      </c>
      <c r="B159" s="87"/>
      <c r="C159" s="113">
        <v>3.4299999999999997E-2</v>
      </c>
    </row>
    <row r="160" spans="1:14" x14ac:dyDescent="0.2">
      <c r="A160" s="62" t="s">
        <v>154</v>
      </c>
      <c r="C160" s="114">
        <v>0.14280000000000026</v>
      </c>
    </row>
    <row r="161" spans="1:4" x14ac:dyDescent="0.2">
      <c r="A161" s="62" t="s">
        <v>248</v>
      </c>
      <c r="C161" s="117">
        <v>0.27</v>
      </c>
    </row>
    <row r="162" spans="1:4" ht="12" thickBot="1" x14ac:dyDescent="0.25">
      <c r="A162" s="62" t="s">
        <v>155</v>
      </c>
      <c r="C162" s="102">
        <v>3.0428000000000002</v>
      </c>
      <c r="D162" s="62" t="s">
        <v>249</v>
      </c>
    </row>
    <row r="163" spans="1:4" ht="12" thickTop="1" x14ac:dyDescent="0.2">
      <c r="D163" s="62" t="s">
        <v>250</v>
      </c>
    </row>
    <row r="164" spans="1:4" x14ac:dyDescent="0.2">
      <c r="D164" s="62" t="s">
        <v>251</v>
      </c>
    </row>
    <row r="168" spans="1:4" x14ac:dyDescent="0.2">
      <c r="A168" s="62" t="s">
        <v>356</v>
      </c>
    </row>
    <row r="169" spans="1:4" x14ac:dyDescent="0.2">
      <c r="A169" s="62" t="s">
        <v>150</v>
      </c>
      <c r="B169" s="62" t="s">
        <v>134</v>
      </c>
      <c r="C169" s="64">
        <v>4.3600000000000003</v>
      </c>
    </row>
    <row r="170" spans="1:4" x14ac:dyDescent="0.2">
      <c r="C170" s="64">
        <v>7.4999999999999997E-3</v>
      </c>
    </row>
    <row r="171" spans="1:4" ht="13.2" x14ac:dyDescent="0.25">
      <c r="A171" s="62" t="s">
        <v>151</v>
      </c>
      <c r="B171" s="25"/>
      <c r="C171" s="64">
        <v>2.2800000000000001E-2</v>
      </c>
    </row>
    <row r="172" spans="1:4" ht="13.2" x14ac:dyDescent="0.25">
      <c r="A172" s="62" t="s">
        <v>152</v>
      </c>
      <c r="B172" s="25"/>
      <c r="C172" s="64">
        <v>2.2499999999999999E-2</v>
      </c>
    </row>
    <row r="173" spans="1:4" x14ac:dyDescent="0.2">
      <c r="A173" s="62" t="s">
        <v>153</v>
      </c>
      <c r="B173" s="87"/>
      <c r="C173" s="113">
        <v>3.8800000000000001E-2</v>
      </c>
    </row>
    <row r="174" spans="1:4" x14ac:dyDescent="0.2">
      <c r="A174" s="62" t="s">
        <v>154</v>
      </c>
      <c r="C174" s="114">
        <f>ROUND((+C169+C170)/(1-C173)+(C171+C172),4)-C169-C170</f>
        <v>0.22159999999999985</v>
      </c>
    </row>
    <row r="175" spans="1:4" ht="12" thickBot="1" x14ac:dyDescent="0.25">
      <c r="A175" s="62" t="s">
        <v>155</v>
      </c>
      <c r="C175" s="102">
        <f>SUM(C174,C169:C170)</f>
        <v>4.5891000000000002</v>
      </c>
      <c r="D175" s="62" t="s">
        <v>357</v>
      </c>
    </row>
    <row r="176" spans="1:4" ht="12" thickTop="1" x14ac:dyDescent="0.2"/>
    <row r="182" spans="1:4" ht="12" x14ac:dyDescent="0.25">
      <c r="A182" s="66" t="s">
        <v>123</v>
      </c>
    </row>
    <row r="183" spans="1:4" x14ac:dyDescent="0.2">
      <c r="A183" s="62" t="s">
        <v>150</v>
      </c>
      <c r="B183" s="62" t="s">
        <v>358</v>
      </c>
      <c r="C183" s="64">
        <v>4.33</v>
      </c>
    </row>
    <row r="184" spans="1:4" x14ac:dyDescent="0.2">
      <c r="A184" s="62" t="s">
        <v>158</v>
      </c>
      <c r="C184" s="64">
        <v>-0.01</v>
      </c>
    </row>
    <row r="185" spans="1:4" x14ac:dyDescent="0.2">
      <c r="A185" s="62" t="s">
        <v>151</v>
      </c>
      <c r="C185" s="64">
        <v>3.2300000000000002E-2</v>
      </c>
    </row>
    <row r="186" spans="1:4" x14ac:dyDescent="0.2">
      <c r="A186" s="62" t="s">
        <v>152</v>
      </c>
      <c r="C186" s="64">
        <v>9.4000000000000004E-3</v>
      </c>
    </row>
    <row r="187" spans="1:4" x14ac:dyDescent="0.2">
      <c r="A187" s="62" t="s">
        <v>153</v>
      </c>
      <c r="C187" s="113">
        <v>2.6800000000000001E-2</v>
      </c>
    </row>
    <row r="188" spans="1:4" x14ac:dyDescent="0.2">
      <c r="A188" s="62" t="s">
        <v>154</v>
      </c>
      <c r="C188" s="114">
        <f>ROUND((+C183+C184)/(1-C187)+(C185+C186),4)-C183-C184</f>
        <v>0.16069999999999962</v>
      </c>
    </row>
    <row r="189" spans="1:4" ht="12" thickBot="1" x14ac:dyDescent="0.25">
      <c r="A189" s="62" t="s">
        <v>155</v>
      </c>
      <c r="C189" s="102">
        <f>SUM(C188,C183:C184)</f>
        <v>4.4806999999999997</v>
      </c>
      <c r="D189" s="62" t="s">
        <v>37</v>
      </c>
    </row>
    <row r="190" spans="1:4" ht="12" thickTop="1" x14ac:dyDescent="0.2"/>
    <row r="192" spans="1:4" ht="12" x14ac:dyDescent="0.25">
      <c r="A192" s="66" t="s">
        <v>286</v>
      </c>
    </row>
    <row r="193" spans="1:4" x14ac:dyDescent="0.2">
      <c r="A193" s="62" t="s">
        <v>150</v>
      </c>
      <c r="B193" s="62" t="s">
        <v>359</v>
      </c>
      <c r="C193" s="64">
        <v>4.3499999999999996</v>
      </c>
    </row>
    <row r="194" spans="1:4" x14ac:dyDescent="0.2">
      <c r="A194" s="62" t="s">
        <v>158</v>
      </c>
      <c r="C194" s="64">
        <v>7.4999999999999997E-3</v>
      </c>
    </row>
    <row r="195" spans="1:4" x14ac:dyDescent="0.2">
      <c r="A195" s="62" t="s">
        <v>151</v>
      </c>
      <c r="C195" s="64">
        <v>2.1000000000000001E-2</v>
      </c>
    </row>
    <row r="196" spans="1:4" x14ac:dyDescent="0.2">
      <c r="A196" s="62" t="s">
        <v>152</v>
      </c>
      <c r="C196" s="64">
        <f>0.0022+0.0072</f>
        <v>9.4000000000000004E-3</v>
      </c>
    </row>
    <row r="197" spans="1:4" x14ac:dyDescent="0.2">
      <c r="A197" s="62" t="s">
        <v>153</v>
      </c>
      <c r="C197" s="113">
        <v>2.5999999999999999E-2</v>
      </c>
    </row>
    <row r="198" spans="1:4" x14ac:dyDescent="0.2">
      <c r="A198" s="62" t="s">
        <v>154</v>
      </c>
      <c r="C198" s="114">
        <f>ROUND((+C193+C194)/(1-C197)-(C193+C194)+C195+C196,4)</f>
        <v>0.1467</v>
      </c>
    </row>
    <row r="199" spans="1:4" ht="12" thickBot="1" x14ac:dyDescent="0.25">
      <c r="A199" s="62" t="s">
        <v>155</v>
      </c>
      <c r="C199" s="102">
        <f>SUM(C198,C193:C194)</f>
        <v>4.5042</v>
      </c>
      <c r="D199" s="62" t="s">
        <v>360</v>
      </c>
    </row>
    <row r="200" spans="1:4" ht="12" thickTop="1" x14ac:dyDescent="0.2"/>
  </sheetData>
  <pageMargins left="0.75" right="0.75" top="1" bottom="1" header="0.5" footer="0.5"/>
  <pageSetup orientation="portrait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102"/>
  <sheetViews>
    <sheetView tabSelected="1" topLeftCell="A29" workbookViewId="0">
      <selection activeCell="A56" sqref="A56"/>
    </sheetView>
  </sheetViews>
  <sheetFormatPr defaultColWidth="9.109375" defaultRowHeight="13.2" x14ac:dyDescent="0.25"/>
  <cols>
    <col min="1" max="1" width="9.109375" style="25"/>
    <col min="2" max="2" width="10" style="25" customWidth="1"/>
    <col min="3" max="3" width="9.109375" style="25"/>
    <col min="4" max="4" width="10.5546875" style="25" customWidth="1"/>
    <col min="5" max="5" width="9.33203125" style="25" customWidth="1"/>
    <col min="6" max="6" width="9.5546875" style="25" customWidth="1"/>
    <col min="7" max="7" width="12.44140625" style="27" customWidth="1"/>
    <col min="8" max="8" width="14" style="27" customWidth="1"/>
    <col min="9" max="9" width="10.6640625" style="25" customWidth="1"/>
    <col min="10" max="10" width="7.6640625" style="25" customWidth="1"/>
    <col min="11" max="14" width="0" style="25" hidden="1" customWidth="1"/>
    <col min="15" max="15" width="0" style="46" hidden="1" customWidth="1"/>
    <col min="16" max="16" width="0" style="25" hidden="1" customWidth="1"/>
    <col min="17" max="17" width="11.6640625" style="25" customWidth="1"/>
    <col min="18" max="18" width="9.44140625" style="25" customWidth="1"/>
    <col min="19" max="19" width="12.33203125" style="25" customWidth="1"/>
    <col min="20" max="20" width="10.6640625" style="25" customWidth="1"/>
    <col min="21" max="21" width="11.88671875" style="25" customWidth="1"/>
    <col min="22" max="22" width="14.88671875" style="38" customWidth="1"/>
    <col min="23" max="23" width="42.33203125" style="27" customWidth="1"/>
    <col min="24" max="25" width="9.109375" style="38"/>
    <col min="26" max="26" width="12.44140625" style="25" customWidth="1"/>
    <col min="27" max="16384" width="9.109375" style="25"/>
  </cols>
  <sheetData>
    <row r="1" spans="2:25" x14ac:dyDescent="0.25">
      <c r="B1" s="41" t="s">
        <v>388</v>
      </c>
      <c r="C1" s="3"/>
      <c r="D1" s="3"/>
      <c r="E1" s="4"/>
      <c r="F1" s="4"/>
      <c r="G1" s="1"/>
      <c r="H1" s="1"/>
      <c r="I1" s="3" t="s">
        <v>53</v>
      </c>
      <c r="J1" s="7">
        <v>30</v>
      </c>
      <c r="K1" s="47" t="s">
        <v>66</v>
      </c>
      <c r="L1" s="5"/>
      <c r="M1" s="5"/>
      <c r="N1" s="5"/>
      <c r="O1" s="42"/>
      <c r="P1" s="5"/>
      <c r="Q1" s="24"/>
      <c r="R1" s="2"/>
      <c r="S1" s="28"/>
      <c r="T1" s="28"/>
      <c r="U1" s="28"/>
      <c r="V1" s="51"/>
      <c r="W1" s="57"/>
      <c r="X1" s="35"/>
      <c r="Y1" s="35"/>
    </row>
    <row r="2" spans="2:25" x14ac:dyDescent="0.25">
      <c r="B2" s="1" t="s">
        <v>61</v>
      </c>
      <c r="C2" s="1"/>
      <c r="D2" s="1"/>
      <c r="E2" s="4"/>
      <c r="F2" s="4"/>
      <c r="G2" s="1"/>
      <c r="H2" s="1"/>
      <c r="I2" s="3"/>
      <c r="J2" s="7"/>
      <c r="K2" s="47" t="s">
        <v>67</v>
      </c>
      <c r="L2" s="5"/>
      <c r="M2" s="5"/>
      <c r="N2" s="5"/>
      <c r="O2" s="42"/>
      <c r="P2" s="5"/>
      <c r="Q2" s="24"/>
      <c r="R2" s="2"/>
      <c r="S2" s="28"/>
      <c r="T2" s="28"/>
      <c r="U2" s="28"/>
      <c r="V2" s="51"/>
      <c r="W2" s="57"/>
      <c r="X2" s="35"/>
      <c r="Y2" s="35"/>
    </row>
    <row r="3" spans="2:25" x14ac:dyDescent="0.25">
      <c r="B3" s="1" t="s">
        <v>62</v>
      </c>
      <c r="C3" s="1"/>
      <c r="D3" s="1"/>
      <c r="E3" s="4"/>
      <c r="F3" s="4"/>
      <c r="G3" s="6" t="s">
        <v>37</v>
      </c>
      <c r="H3" s="1" t="s">
        <v>37</v>
      </c>
      <c r="I3" s="2" t="s">
        <v>37</v>
      </c>
      <c r="J3" s="8"/>
      <c r="K3" s="31" t="s">
        <v>37</v>
      </c>
      <c r="L3" s="5"/>
      <c r="M3" s="31" t="s">
        <v>37</v>
      </c>
      <c r="N3" s="5"/>
      <c r="O3" s="42"/>
      <c r="P3" s="31" t="s">
        <v>37</v>
      </c>
      <c r="Q3" s="24"/>
      <c r="R3" s="2"/>
      <c r="S3" s="28"/>
      <c r="T3" s="28"/>
      <c r="U3" s="28"/>
      <c r="V3" s="51"/>
      <c r="W3" s="57"/>
      <c r="X3" s="35"/>
      <c r="Y3" s="35"/>
    </row>
    <row r="4" spans="2:25" x14ac:dyDescent="0.25">
      <c r="B4" s="1"/>
      <c r="C4" s="3"/>
      <c r="D4" s="3"/>
      <c r="E4" s="4"/>
      <c r="F4" s="4"/>
      <c r="G4" s="32"/>
      <c r="H4" s="1"/>
      <c r="I4" s="32"/>
      <c r="J4" s="8"/>
      <c r="K4" s="32"/>
      <c r="L4" s="5"/>
      <c r="M4" s="32"/>
      <c r="N4" s="2"/>
      <c r="O4" s="42"/>
      <c r="P4" s="2"/>
      <c r="Q4" s="24"/>
      <c r="R4" s="2"/>
      <c r="S4" s="28"/>
      <c r="T4" s="33"/>
      <c r="U4" s="33"/>
      <c r="V4" s="52"/>
      <c r="W4" s="57"/>
      <c r="X4" s="35"/>
      <c r="Y4" s="35"/>
    </row>
    <row r="5" spans="2:25" x14ac:dyDescent="0.25">
      <c r="B5" s="1" t="s">
        <v>68</v>
      </c>
      <c r="C5" s="3"/>
      <c r="D5" s="1"/>
      <c r="E5" s="4"/>
      <c r="F5" s="4"/>
      <c r="G5" s="32"/>
      <c r="H5" s="1"/>
      <c r="I5" s="32"/>
      <c r="J5" s="8"/>
      <c r="K5" s="32"/>
      <c r="L5" s="5"/>
      <c r="M5" s="32"/>
      <c r="N5" s="2"/>
      <c r="O5" s="42"/>
      <c r="P5" s="2"/>
      <c r="Q5" s="24"/>
      <c r="R5" s="2"/>
      <c r="S5" s="28"/>
      <c r="T5" s="33"/>
      <c r="U5" s="33"/>
      <c r="V5" s="52"/>
      <c r="W5" s="57"/>
      <c r="X5" s="35"/>
      <c r="Y5" s="35"/>
    </row>
    <row r="6" spans="2:25" x14ac:dyDescent="0.25">
      <c r="B6" s="1"/>
      <c r="C6" s="3" t="s">
        <v>163</v>
      </c>
      <c r="D6" s="3"/>
      <c r="E6" s="4"/>
      <c r="F6" s="4"/>
      <c r="G6" s="32"/>
      <c r="H6" s="1"/>
      <c r="I6" s="32"/>
      <c r="J6" s="8"/>
      <c r="K6" s="32"/>
      <c r="L6" s="5"/>
      <c r="M6" s="32"/>
      <c r="N6" s="2"/>
      <c r="O6" s="42"/>
      <c r="P6" s="2"/>
      <c r="Q6" s="24"/>
      <c r="R6" s="2"/>
      <c r="S6" s="28"/>
      <c r="T6" s="33"/>
      <c r="U6" s="33"/>
      <c r="V6" s="52"/>
      <c r="W6" s="57"/>
      <c r="X6" s="35"/>
      <c r="Y6" s="35"/>
    </row>
    <row r="7" spans="2:25" x14ac:dyDescent="0.25">
      <c r="B7" s="1"/>
      <c r="C7" s="3"/>
      <c r="D7" s="3"/>
      <c r="E7" s="4"/>
      <c r="F7" s="4"/>
      <c r="G7" s="32"/>
      <c r="H7" s="1"/>
      <c r="I7" s="32"/>
      <c r="J7" s="8"/>
      <c r="K7" s="32"/>
      <c r="L7" s="5"/>
      <c r="M7" s="32"/>
      <c r="N7" s="2"/>
      <c r="O7" s="42"/>
      <c r="P7" s="2"/>
      <c r="Q7" s="24"/>
      <c r="R7" s="2"/>
      <c r="S7" s="28"/>
      <c r="T7" s="33"/>
      <c r="U7" s="33"/>
      <c r="V7" s="52"/>
      <c r="W7" s="57"/>
      <c r="X7" s="35"/>
      <c r="Y7" s="35"/>
    </row>
    <row r="8" spans="2:25" x14ac:dyDescent="0.25">
      <c r="B8" s="1"/>
      <c r="C8" s="3"/>
      <c r="D8" s="3"/>
      <c r="E8" s="4"/>
      <c r="F8" s="4"/>
      <c r="G8" s="32"/>
      <c r="H8" s="1"/>
      <c r="I8" s="32"/>
      <c r="J8" s="8"/>
      <c r="K8" s="32"/>
      <c r="L8" s="5"/>
      <c r="M8" s="32"/>
      <c r="N8" s="2"/>
      <c r="O8" s="42"/>
      <c r="P8" s="2"/>
      <c r="Q8" s="24"/>
      <c r="R8" s="2"/>
      <c r="S8" s="28"/>
      <c r="T8" s="33"/>
      <c r="U8" s="33"/>
      <c r="V8" s="52"/>
      <c r="W8" s="57"/>
      <c r="X8" s="35"/>
      <c r="Y8" s="35"/>
    </row>
    <row r="9" spans="2:25" x14ac:dyDescent="0.25">
      <c r="B9" s="1"/>
      <c r="C9" s="3"/>
      <c r="D9" s="3"/>
      <c r="E9" s="4"/>
      <c r="F9" s="4"/>
      <c r="G9" s="32"/>
      <c r="H9" s="1"/>
      <c r="I9" s="32"/>
      <c r="J9" s="8"/>
      <c r="K9" s="32"/>
      <c r="L9" s="5"/>
      <c r="M9" s="32"/>
      <c r="N9" s="2"/>
      <c r="O9" s="42"/>
      <c r="P9" s="2"/>
      <c r="Q9" s="24"/>
      <c r="R9" s="2"/>
      <c r="S9" s="28"/>
      <c r="T9" s="33"/>
      <c r="U9" s="33"/>
      <c r="V9" s="52"/>
      <c r="W9" s="57"/>
      <c r="X9" s="35"/>
      <c r="Y9" s="35"/>
    </row>
    <row r="10" spans="2:25" x14ac:dyDescent="0.25">
      <c r="B10" s="1"/>
      <c r="C10" s="3"/>
      <c r="D10" s="3"/>
      <c r="E10" s="4"/>
      <c r="F10" s="4"/>
      <c r="G10" s="32"/>
      <c r="H10" s="1"/>
      <c r="I10" s="32"/>
      <c r="J10" s="8"/>
      <c r="K10" s="32"/>
      <c r="L10" s="5"/>
      <c r="M10" s="32"/>
      <c r="N10" s="2"/>
      <c r="O10" s="42"/>
      <c r="P10" s="2"/>
      <c r="Q10" s="24"/>
      <c r="R10" s="2"/>
      <c r="S10" s="28"/>
      <c r="T10" s="33"/>
      <c r="U10" s="33"/>
      <c r="V10" s="52"/>
      <c r="W10" s="57"/>
      <c r="X10" s="35"/>
      <c r="Y10" s="35"/>
    </row>
    <row r="11" spans="2:25" x14ac:dyDescent="0.25">
      <c r="B11" s="16" t="s">
        <v>38</v>
      </c>
      <c r="C11" s="17" t="s">
        <v>39</v>
      </c>
      <c r="D11" s="17" t="s">
        <v>40</v>
      </c>
      <c r="E11" s="18" t="s">
        <v>41</v>
      </c>
      <c r="F11" s="18"/>
      <c r="G11" s="16" t="s">
        <v>42</v>
      </c>
      <c r="H11" s="16" t="s">
        <v>43</v>
      </c>
      <c r="I11" s="17" t="s">
        <v>77</v>
      </c>
      <c r="J11" s="19" t="s">
        <v>44</v>
      </c>
      <c r="K11" s="17" t="s">
        <v>45</v>
      </c>
      <c r="L11" s="17" t="s">
        <v>46</v>
      </c>
      <c r="M11" s="17" t="s">
        <v>47</v>
      </c>
      <c r="N11" s="17" t="s">
        <v>48</v>
      </c>
      <c r="O11" s="43" t="s">
        <v>49</v>
      </c>
      <c r="P11" s="17" t="s">
        <v>50</v>
      </c>
      <c r="Q11" s="20" t="s">
        <v>160</v>
      </c>
      <c r="R11" s="17" t="s">
        <v>51</v>
      </c>
      <c r="S11" s="16" t="s">
        <v>52</v>
      </c>
      <c r="T11" s="21" t="s">
        <v>76</v>
      </c>
      <c r="U11" s="21" t="s">
        <v>75</v>
      </c>
      <c r="V11" s="53" t="s">
        <v>161</v>
      </c>
      <c r="W11" s="58" t="e">
        <f>+#REF!</f>
        <v>#REF!</v>
      </c>
      <c r="X11" s="36"/>
      <c r="Y11" s="36"/>
    </row>
    <row r="12" spans="2:25" s="61" customFormat="1" x14ac:dyDescent="0.25">
      <c r="B12" s="1" t="s">
        <v>162</v>
      </c>
      <c r="C12" s="3" t="s">
        <v>64</v>
      </c>
      <c r="D12" s="3" t="s">
        <v>121</v>
      </c>
      <c r="E12" s="4">
        <v>36678</v>
      </c>
      <c r="F12" s="4">
        <v>37042</v>
      </c>
      <c r="G12" s="1" t="s">
        <v>65</v>
      </c>
      <c r="H12" s="1" t="s">
        <v>58</v>
      </c>
      <c r="I12" s="3" t="s">
        <v>120</v>
      </c>
      <c r="J12" s="8">
        <f t="shared" ref="J12:J18" si="0">3.145/J$1</f>
        <v>0.10483333333333333</v>
      </c>
      <c r="K12" s="5">
        <v>1.32E-2</v>
      </c>
      <c r="L12" s="5">
        <v>2.2000000000000001E-3</v>
      </c>
      <c r="M12" s="5">
        <v>0</v>
      </c>
      <c r="N12" s="5">
        <v>0</v>
      </c>
      <c r="O12" s="42">
        <v>2.1160000000000002E-2</v>
      </c>
      <c r="P12" s="5">
        <f t="shared" ref="P12:P18" si="1">SUM(J12:N12)</f>
        <v>0.12023333333333333</v>
      </c>
      <c r="Q12" s="24">
        <v>68360</v>
      </c>
      <c r="R12" s="3">
        <v>291</v>
      </c>
      <c r="S12" s="1"/>
      <c r="T12" s="9">
        <f t="shared" ref="T12:T20" si="2">J12*J$1*R12</f>
        <v>915.19500000000005</v>
      </c>
      <c r="U12" s="9"/>
      <c r="V12" s="55">
        <v>271311</v>
      </c>
      <c r="W12" s="1"/>
      <c r="X12" s="36"/>
      <c r="Y12" s="36"/>
    </row>
    <row r="13" spans="2:25" s="61" customFormat="1" x14ac:dyDescent="0.25">
      <c r="B13" s="1" t="s">
        <v>162</v>
      </c>
      <c r="C13" s="3" t="s">
        <v>64</v>
      </c>
      <c r="D13" s="3" t="s">
        <v>74</v>
      </c>
      <c r="E13" s="4">
        <v>36678</v>
      </c>
      <c r="F13" s="4">
        <v>37042</v>
      </c>
      <c r="G13" s="1" t="s">
        <v>65</v>
      </c>
      <c r="H13" s="1" t="s">
        <v>58</v>
      </c>
      <c r="I13" s="3" t="s">
        <v>120</v>
      </c>
      <c r="J13" s="8">
        <f t="shared" si="0"/>
        <v>0.10483333333333333</v>
      </c>
      <c r="K13" s="5">
        <v>1.32E-2</v>
      </c>
      <c r="L13" s="5">
        <v>2.2000000000000001E-3</v>
      </c>
      <c r="M13" s="5">
        <v>0</v>
      </c>
      <c r="N13" s="5">
        <v>0</v>
      </c>
      <c r="O13" s="42">
        <v>2.1160000000000002E-2</v>
      </c>
      <c r="P13" s="5">
        <f t="shared" si="1"/>
        <v>0.12023333333333333</v>
      </c>
      <c r="Q13" s="24">
        <v>68385</v>
      </c>
      <c r="R13" s="3">
        <v>223</v>
      </c>
      <c r="S13" s="1"/>
      <c r="T13" s="9">
        <f t="shared" si="2"/>
        <v>701.33500000000004</v>
      </c>
      <c r="U13" s="9"/>
      <c r="V13" s="55">
        <v>280550</v>
      </c>
      <c r="W13" s="1"/>
      <c r="X13" s="36"/>
      <c r="Y13" s="36"/>
    </row>
    <row r="14" spans="2:25" s="61" customFormat="1" x14ac:dyDescent="0.25">
      <c r="B14" s="1" t="s">
        <v>162</v>
      </c>
      <c r="C14" s="3" t="s">
        <v>64</v>
      </c>
      <c r="D14" s="3" t="s">
        <v>121</v>
      </c>
      <c r="E14" s="4">
        <v>36708</v>
      </c>
      <c r="F14" s="4">
        <v>37072</v>
      </c>
      <c r="G14" s="1" t="s">
        <v>65</v>
      </c>
      <c r="H14" s="1" t="s">
        <v>58</v>
      </c>
      <c r="I14" s="3" t="s">
        <v>120</v>
      </c>
      <c r="J14" s="8">
        <f t="shared" si="0"/>
        <v>0.10483333333333333</v>
      </c>
      <c r="K14" s="5">
        <v>1.32E-2</v>
      </c>
      <c r="L14" s="5">
        <v>2.2000000000000001E-3</v>
      </c>
      <c r="M14" s="5">
        <v>0</v>
      </c>
      <c r="N14" s="5">
        <v>0</v>
      </c>
      <c r="O14" s="42">
        <v>2.1160000000000002E-2</v>
      </c>
      <c r="P14" s="5">
        <f t="shared" si="1"/>
        <v>0.12023333333333333</v>
      </c>
      <c r="Q14" s="24">
        <v>68615</v>
      </c>
      <c r="R14" s="3">
        <v>920</v>
      </c>
      <c r="S14" s="1"/>
      <c r="T14" s="9">
        <f t="shared" si="2"/>
        <v>2893.4</v>
      </c>
      <c r="U14" s="9"/>
      <c r="V14" s="55">
        <v>309873</v>
      </c>
      <c r="W14" s="1"/>
      <c r="X14" s="36"/>
      <c r="Y14" s="36"/>
    </row>
    <row r="15" spans="2:25" s="61" customFormat="1" x14ac:dyDescent="0.25">
      <c r="B15" s="1" t="s">
        <v>162</v>
      </c>
      <c r="C15" s="3" t="s">
        <v>64</v>
      </c>
      <c r="D15" s="3" t="s">
        <v>74</v>
      </c>
      <c r="E15" s="4">
        <v>36404</v>
      </c>
      <c r="F15" s="4">
        <v>36769</v>
      </c>
      <c r="G15" s="1" t="s">
        <v>65</v>
      </c>
      <c r="H15" s="1" t="s">
        <v>58</v>
      </c>
      <c r="I15" s="3" t="s">
        <v>120</v>
      </c>
      <c r="J15" s="8">
        <f t="shared" si="0"/>
        <v>0.10483333333333333</v>
      </c>
      <c r="K15" s="5">
        <v>1.32E-2</v>
      </c>
      <c r="L15" s="5">
        <v>2.2000000000000001E-3</v>
      </c>
      <c r="M15" s="5">
        <v>0</v>
      </c>
      <c r="N15" s="5">
        <v>0</v>
      </c>
      <c r="O15" s="42">
        <v>2.1160000000000002E-2</v>
      </c>
      <c r="P15" s="5">
        <f t="shared" si="1"/>
        <v>0.12023333333333333</v>
      </c>
      <c r="Q15" s="24">
        <v>64652</v>
      </c>
      <c r="R15" s="3">
        <v>65</v>
      </c>
      <c r="S15" s="1"/>
      <c r="T15" s="9">
        <f t="shared" si="2"/>
        <v>204.42500000000001</v>
      </c>
      <c r="U15" s="9"/>
      <c r="V15" s="55">
        <v>156623</v>
      </c>
      <c r="W15" s="1"/>
      <c r="X15" s="36"/>
      <c r="Y15" s="36"/>
    </row>
    <row r="16" spans="2:25" s="61" customFormat="1" x14ac:dyDescent="0.25">
      <c r="B16" s="1" t="s">
        <v>162</v>
      </c>
      <c r="C16" s="3" t="s">
        <v>64</v>
      </c>
      <c r="D16" s="3" t="s">
        <v>74</v>
      </c>
      <c r="E16" s="4">
        <v>36434</v>
      </c>
      <c r="F16" s="4">
        <v>36799</v>
      </c>
      <c r="G16" s="1" t="s">
        <v>65</v>
      </c>
      <c r="H16" s="1" t="s">
        <v>58</v>
      </c>
      <c r="I16" s="3" t="s">
        <v>120</v>
      </c>
      <c r="J16" s="8">
        <f t="shared" si="0"/>
        <v>0.10483333333333333</v>
      </c>
      <c r="K16" s="5">
        <v>1.32E-2</v>
      </c>
      <c r="L16" s="5">
        <v>2.2000000000000001E-3</v>
      </c>
      <c r="M16" s="5">
        <v>0</v>
      </c>
      <c r="N16" s="5">
        <v>0</v>
      </c>
      <c r="O16" s="42">
        <v>2.1160000000000002E-2</v>
      </c>
      <c r="P16" s="5">
        <f t="shared" si="1"/>
        <v>0.12023333333333333</v>
      </c>
      <c r="Q16" s="24">
        <v>64863</v>
      </c>
      <c r="R16" s="3">
        <v>13</v>
      </c>
      <c r="S16" s="1"/>
      <c r="T16" s="9">
        <f t="shared" si="2"/>
        <v>40.884999999999998</v>
      </c>
      <c r="U16" s="9"/>
      <c r="V16" s="55">
        <v>156625</v>
      </c>
      <c r="W16" s="1"/>
      <c r="X16" s="36"/>
      <c r="Y16" s="36"/>
    </row>
    <row r="17" spans="2:25" s="61" customFormat="1" x14ac:dyDescent="0.25">
      <c r="B17" s="1" t="s">
        <v>162</v>
      </c>
      <c r="C17" s="3" t="s">
        <v>64</v>
      </c>
      <c r="D17" s="3" t="s">
        <v>74</v>
      </c>
      <c r="E17" s="4">
        <v>36465</v>
      </c>
      <c r="F17" s="4">
        <v>36830</v>
      </c>
      <c r="G17" s="1" t="s">
        <v>65</v>
      </c>
      <c r="H17" s="1" t="s">
        <v>58</v>
      </c>
      <c r="I17" s="3" t="s">
        <v>120</v>
      </c>
      <c r="J17" s="8">
        <f t="shared" si="0"/>
        <v>0.10483333333333333</v>
      </c>
      <c r="K17" s="5">
        <v>1.32E-2</v>
      </c>
      <c r="L17" s="5">
        <v>2.2000000000000001E-3</v>
      </c>
      <c r="M17" s="5">
        <v>0</v>
      </c>
      <c r="N17" s="5">
        <v>0</v>
      </c>
      <c r="O17" s="42">
        <v>2.1160000000000002E-2</v>
      </c>
      <c r="P17" s="5">
        <f t="shared" si="1"/>
        <v>0.12023333333333333</v>
      </c>
      <c r="Q17" s="24">
        <v>65027</v>
      </c>
      <c r="R17" s="3">
        <v>131</v>
      </c>
      <c r="S17" s="1" t="s">
        <v>71</v>
      </c>
      <c r="T17" s="9">
        <f t="shared" si="2"/>
        <v>411.995</v>
      </c>
      <c r="U17" s="9"/>
      <c r="V17" s="55">
        <v>156666</v>
      </c>
      <c r="W17" s="1" t="s">
        <v>70</v>
      </c>
      <c r="X17" s="36"/>
      <c r="Y17" s="36"/>
    </row>
    <row r="18" spans="2:25" s="61" customFormat="1" x14ac:dyDescent="0.25">
      <c r="B18" s="1" t="s">
        <v>162</v>
      </c>
      <c r="C18" s="3" t="s">
        <v>64</v>
      </c>
      <c r="D18" s="3" t="s">
        <v>74</v>
      </c>
      <c r="E18" s="4">
        <v>36495</v>
      </c>
      <c r="F18" s="4">
        <v>36860</v>
      </c>
      <c r="G18" s="1" t="s">
        <v>65</v>
      </c>
      <c r="H18" s="1" t="s">
        <v>58</v>
      </c>
      <c r="I18" s="3" t="s">
        <v>120</v>
      </c>
      <c r="J18" s="8">
        <f t="shared" si="0"/>
        <v>0.10483333333333333</v>
      </c>
      <c r="K18" s="5">
        <v>1.32E-2</v>
      </c>
      <c r="L18" s="5">
        <v>2.2000000000000001E-3</v>
      </c>
      <c r="M18" s="5">
        <v>0</v>
      </c>
      <c r="N18" s="5">
        <v>0</v>
      </c>
      <c r="O18" s="42">
        <v>2.1160000000000002E-2</v>
      </c>
      <c r="P18" s="5">
        <f t="shared" si="1"/>
        <v>0.12023333333333333</v>
      </c>
      <c r="Q18" s="24">
        <v>65557</v>
      </c>
      <c r="R18" s="3">
        <v>3</v>
      </c>
      <c r="S18" s="1"/>
      <c r="T18" s="9">
        <f t="shared" si="2"/>
        <v>9.4350000000000005</v>
      </c>
      <c r="U18" s="9"/>
      <c r="V18" s="55">
        <v>156669</v>
      </c>
      <c r="W18" s="1"/>
      <c r="X18" s="36"/>
      <c r="Y18" s="36"/>
    </row>
    <row r="19" spans="2:25" s="61" customFormat="1" x14ac:dyDescent="0.25">
      <c r="B19" s="1" t="s">
        <v>162</v>
      </c>
      <c r="C19" s="3" t="s">
        <v>64</v>
      </c>
      <c r="D19" s="3" t="s">
        <v>121</v>
      </c>
      <c r="E19" s="4">
        <v>36708</v>
      </c>
      <c r="F19" s="4" t="s">
        <v>387</v>
      </c>
      <c r="G19" s="1" t="s">
        <v>65</v>
      </c>
      <c r="H19" s="1" t="s">
        <v>58</v>
      </c>
      <c r="I19" s="3" t="s">
        <v>120</v>
      </c>
      <c r="J19" s="8">
        <f>3.145/J1</f>
        <v>0.10483333333333333</v>
      </c>
      <c r="K19" s="5"/>
      <c r="L19" s="5"/>
      <c r="M19" s="5"/>
      <c r="N19" s="5"/>
      <c r="O19" s="42"/>
      <c r="P19" s="5"/>
      <c r="Q19" s="24">
        <v>68634</v>
      </c>
      <c r="R19" s="3">
        <v>1</v>
      </c>
      <c r="S19" s="1"/>
      <c r="T19" s="9">
        <f t="shared" si="2"/>
        <v>3.145</v>
      </c>
      <c r="U19" s="9"/>
      <c r="V19" s="55">
        <v>312338</v>
      </c>
      <c r="W19" s="1"/>
      <c r="X19" s="36"/>
      <c r="Y19" s="36"/>
    </row>
    <row r="20" spans="2:25" s="61" customFormat="1" x14ac:dyDescent="0.25">
      <c r="B20" s="1" t="s">
        <v>162</v>
      </c>
      <c r="C20" s="3" t="s">
        <v>64</v>
      </c>
      <c r="D20" s="3" t="s">
        <v>74</v>
      </c>
      <c r="E20" s="4">
        <v>36617</v>
      </c>
      <c r="F20" s="4">
        <v>36981</v>
      </c>
      <c r="G20" s="1" t="s">
        <v>65</v>
      </c>
      <c r="H20" s="1" t="s">
        <v>58</v>
      </c>
      <c r="I20" s="3" t="s">
        <v>120</v>
      </c>
      <c r="J20" s="8">
        <f>3.145/J1</f>
        <v>0.10483333333333333</v>
      </c>
      <c r="K20" s="5"/>
      <c r="L20" s="5"/>
      <c r="M20" s="5"/>
      <c r="N20" s="5"/>
      <c r="O20" s="42"/>
      <c r="P20" s="5"/>
      <c r="Q20" s="24">
        <v>66941</v>
      </c>
      <c r="R20" s="3">
        <v>53</v>
      </c>
      <c r="S20" s="1"/>
      <c r="T20" s="9">
        <f t="shared" si="2"/>
        <v>166.685</v>
      </c>
      <c r="U20" s="9"/>
      <c r="V20" s="55">
        <v>228122</v>
      </c>
      <c r="W20" s="1"/>
      <c r="X20" s="36"/>
      <c r="Y20" s="36"/>
    </row>
    <row r="21" spans="2:25" s="61" customFormat="1" x14ac:dyDescent="0.25">
      <c r="B21" s="1" t="s">
        <v>162</v>
      </c>
      <c r="C21" s="3" t="s">
        <v>64</v>
      </c>
      <c r="D21" s="3" t="s">
        <v>74</v>
      </c>
      <c r="E21" s="4">
        <v>36557</v>
      </c>
      <c r="F21" s="4">
        <v>36922</v>
      </c>
      <c r="G21" s="1" t="s">
        <v>65</v>
      </c>
      <c r="H21" s="1" t="s">
        <v>58</v>
      </c>
      <c r="I21" s="3" t="s">
        <v>120</v>
      </c>
      <c r="J21" s="8">
        <f>3.145/31</f>
        <v>0.10145161290322581</v>
      </c>
      <c r="K21" s="5"/>
      <c r="L21" s="5"/>
      <c r="M21" s="5"/>
      <c r="N21" s="5"/>
      <c r="O21" s="42"/>
      <c r="P21" s="5"/>
      <c r="Q21" s="24">
        <v>66283</v>
      </c>
      <c r="R21" s="3">
        <v>5</v>
      </c>
      <c r="S21" s="1"/>
      <c r="T21" s="107">
        <f>+J21*R21*31</f>
        <v>15.725000000000001</v>
      </c>
      <c r="U21" s="9"/>
      <c r="V21" s="55">
        <v>156674</v>
      </c>
      <c r="W21" s="1"/>
      <c r="X21" s="36"/>
      <c r="Y21" s="36"/>
    </row>
    <row r="22" spans="2:25" s="61" customFormat="1" x14ac:dyDescent="0.25">
      <c r="B22" s="1" t="s">
        <v>162</v>
      </c>
      <c r="C22" s="3" t="s">
        <v>64</v>
      </c>
      <c r="D22" s="3" t="s">
        <v>74</v>
      </c>
      <c r="E22" s="4">
        <v>36617</v>
      </c>
      <c r="F22" s="4">
        <v>36981</v>
      </c>
      <c r="G22" s="1" t="s">
        <v>65</v>
      </c>
      <c r="H22" s="1" t="s">
        <v>58</v>
      </c>
      <c r="I22" s="3" t="s">
        <v>120</v>
      </c>
      <c r="J22" s="8">
        <f>3.15/J1</f>
        <v>0.105</v>
      </c>
      <c r="K22" s="5"/>
      <c r="L22" s="5"/>
      <c r="M22" s="5"/>
      <c r="N22" s="5"/>
      <c r="O22" s="42"/>
      <c r="P22" s="5"/>
      <c r="Q22" s="24">
        <v>66941</v>
      </c>
      <c r="R22" s="3">
        <v>53</v>
      </c>
      <c r="S22" s="1"/>
      <c r="T22" s="107">
        <f>+J22*R22*31</f>
        <v>172.51499999999999</v>
      </c>
      <c r="U22" s="9"/>
      <c r="V22" s="55">
        <v>228122</v>
      </c>
      <c r="W22" s="1"/>
      <c r="X22" s="36"/>
      <c r="Y22" s="36"/>
    </row>
    <row r="23" spans="2:25" s="61" customFormat="1" x14ac:dyDescent="0.25">
      <c r="B23" s="1" t="s">
        <v>162</v>
      </c>
      <c r="C23" s="3" t="s">
        <v>64</v>
      </c>
      <c r="D23" s="3" t="s">
        <v>74</v>
      </c>
      <c r="E23" s="4">
        <v>36656</v>
      </c>
      <c r="F23" s="4">
        <v>36950</v>
      </c>
      <c r="G23" s="1" t="s">
        <v>65</v>
      </c>
      <c r="H23" s="1" t="s">
        <v>58</v>
      </c>
      <c r="I23" s="3" t="s">
        <v>120</v>
      </c>
      <c r="J23" s="8">
        <f>3.145/J1</f>
        <v>0.10483333333333333</v>
      </c>
      <c r="K23" s="5"/>
      <c r="L23" s="5"/>
      <c r="M23" s="5"/>
      <c r="N23" s="5"/>
      <c r="O23" s="42"/>
      <c r="P23" s="5"/>
      <c r="Q23" s="24">
        <v>68309</v>
      </c>
      <c r="R23" s="3">
        <v>9</v>
      </c>
      <c r="S23" s="1"/>
      <c r="T23" s="9">
        <f>+R23*J23*$J$1</f>
        <v>28.305</v>
      </c>
      <c r="U23" s="9"/>
      <c r="V23" s="55">
        <v>262090</v>
      </c>
      <c r="W23" s="1" t="s">
        <v>178</v>
      </c>
      <c r="X23" s="36"/>
      <c r="Y23" s="36"/>
    </row>
    <row r="24" spans="2:25" s="61" customFormat="1" x14ac:dyDescent="0.25">
      <c r="B24" s="1" t="s">
        <v>162</v>
      </c>
      <c r="C24" s="3" t="s">
        <v>64</v>
      </c>
      <c r="D24" s="3" t="s">
        <v>74</v>
      </c>
      <c r="E24" s="4">
        <v>36739</v>
      </c>
      <c r="F24" s="4">
        <v>36738</v>
      </c>
      <c r="G24" s="1" t="s">
        <v>65</v>
      </c>
      <c r="H24" s="1" t="s">
        <v>58</v>
      </c>
      <c r="I24" s="3" t="s">
        <v>120</v>
      </c>
      <c r="J24" s="8">
        <f>3.145/J1</f>
        <v>0.10483333333333333</v>
      </c>
      <c r="K24" s="5"/>
      <c r="L24" s="5"/>
      <c r="M24" s="5"/>
      <c r="N24" s="5"/>
      <c r="O24" s="42"/>
      <c r="P24" s="5"/>
      <c r="Q24" s="24">
        <v>68929</v>
      </c>
      <c r="R24" s="3">
        <v>48</v>
      </c>
      <c r="S24" s="1" t="s">
        <v>4</v>
      </c>
      <c r="T24" s="9">
        <f>+R24*J24*$J$1</f>
        <v>150.96</v>
      </c>
      <c r="U24" s="9"/>
      <c r="V24" s="55">
        <v>345091</v>
      </c>
      <c r="W24" s="1"/>
      <c r="X24" s="36"/>
      <c r="Y24" s="36"/>
    </row>
    <row r="25" spans="2:25" s="61" customFormat="1" x14ac:dyDescent="0.25">
      <c r="B25" s="1" t="s">
        <v>162</v>
      </c>
      <c r="C25" s="3" t="s">
        <v>64</v>
      </c>
      <c r="D25" s="3" t="s">
        <v>74</v>
      </c>
      <c r="E25" s="4">
        <v>36739</v>
      </c>
      <c r="F25" s="4">
        <v>37103</v>
      </c>
      <c r="G25" s="1" t="s">
        <v>65</v>
      </c>
      <c r="H25" s="1" t="s">
        <v>58</v>
      </c>
      <c r="I25" s="3" t="s">
        <v>120</v>
      </c>
      <c r="J25" s="8">
        <f>3.145/J1</f>
        <v>0.10483333333333333</v>
      </c>
      <c r="K25" s="5"/>
      <c r="L25" s="5"/>
      <c r="M25" s="5"/>
      <c r="N25" s="5"/>
      <c r="O25" s="42"/>
      <c r="P25" s="5"/>
      <c r="Q25" s="24">
        <v>68927</v>
      </c>
      <c r="R25" s="3">
        <v>4</v>
      </c>
      <c r="S25" s="1" t="s">
        <v>3</v>
      </c>
      <c r="T25" s="9">
        <f>+R25*J25*$J$1</f>
        <v>12.58</v>
      </c>
      <c r="U25" s="9"/>
      <c r="V25" s="55">
        <v>345112</v>
      </c>
      <c r="W25" s="1"/>
      <c r="X25" s="36"/>
      <c r="Y25" s="36"/>
    </row>
    <row r="26" spans="2:25" s="61" customFormat="1" x14ac:dyDescent="0.25">
      <c r="B26" s="1" t="s">
        <v>162</v>
      </c>
      <c r="C26" s="3" t="s">
        <v>64</v>
      </c>
      <c r="D26" s="3" t="s">
        <v>74</v>
      </c>
      <c r="E26" s="4">
        <v>36770</v>
      </c>
      <c r="F26" s="4">
        <v>37104</v>
      </c>
      <c r="G26" s="1" t="s">
        <v>65</v>
      </c>
      <c r="H26" s="1" t="s">
        <v>58</v>
      </c>
      <c r="I26" s="3" t="s">
        <v>120</v>
      </c>
      <c r="J26" s="8">
        <f>3.145/J1</f>
        <v>0.10483333333333333</v>
      </c>
      <c r="K26" s="5"/>
      <c r="L26" s="5"/>
      <c r="M26" s="5"/>
      <c r="N26" s="5"/>
      <c r="O26" s="42"/>
      <c r="P26" s="5"/>
      <c r="Q26" s="24">
        <v>69145</v>
      </c>
      <c r="R26" s="3">
        <v>63</v>
      </c>
      <c r="S26" s="1" t="s">
        <v>399</v>
      </c>
      <c r="T26" s="9">
        <f>+R26*J26*J1</f>
        <v>198.13499999999999</v>
      </c>
      <c r="U26" s="9"/>
      <c r="V26" s="55">
        <v>372169</v>
      </c>
      <c r="W26" s="1"/>
      <c r="X26" s="36"/>
      <c r="Y26" s="36"/>
    </row>
    <row r="27" spans="2:25" s="61" customFormat="1" x14ac:dyDescent="0.25">
      <c r="B27" s="1" t="s">
        <v>162</v>
      </c>
      <c r="C27" s="3" t="s">
        <v>64</v>
      </c>
      <c r="D27" s="3" t="s">
        <v>121</v>
      </c>
      <c r="E27" s="4">
        <v>36647</v>
      </c>
      <c r="F27" s="4">
        <v>37011</v>
      </c>
      <c r="G27" s="1" t="s">
        <v>65</v>
      </c>
      <c r="H27" s="1" t="s">
        <v>58</v>
      </c>
      <c r="I27" s="3" t="s">
        <v>120</v>
      </c>
      <c r="J27" s="8">
        <f>3.154/J1</f>
        <v>0.10513333333333333</v>
      </c>
      <c r="K27" s="5"/>
      <c r="L27" s="5"/>
      <c r="M27" s="5"/>
      <c r="N27" s="5"/>
      <c r="O27" s="42"/>
      <c r="P27" s="5"/>
      <c r="Q27" s="24">
        <v>68281</v>
      </c>
      <c r="R27" s="3">
        <v>21</v>
      </c>
      <c r="S27" s="1" t="s">
        <v>325</v>
      </c>
      <c r="T27" s="9">
        <f>+R27*J27*$J$1</f>
        <v>66.233999999999995</v>
      </c>
      <c r="U27" s="9"/>
      <c r="V27" s="55">
        <v>256413</v>
      </c>
      <c r="W27" s="1"/>
      <c r="X27" s="36"/>
      <c r="Y27" s="36"/>
    </row>
    <row r="29" spans="2:25" s="61" customFormat="1" x14ac:dyDescent="0.25">
      <c r="B29" s="1"/>
      <c r="C29" s="3"/>
      <c r="D29" s="3"/>
      <c r="E29" s="4"/>
      <c r="F29" s="4"/>
      <c r="G29" s="1"/>
      <c r="H29" s="1"/>
      <c r="I29" s="3"/>
      <c r="J29" s="8"/>
      <c r="K29" s="5"/>
      <c r="L29" s="5"/>
      <c r="M29" s="5"/>
      <c r="N29" s="5"/>
      <c r="O29" s="42"/>
      <c r="P29" s="5"/>
      <c r="Q29" s="24"/>
      <c r="R29" s="3"/>
      <c r="S29" s="1"/>
      <c r="T29" s="9"/>
      <c r="U29" s="9"/>
      <c r="V29" s="55"/>
      <c r="W29" s="1"/>
      <c r="X29" s="36"/>
      <c r="Y29" s="36"/>
    </row>
    <row r="30" spans="2:25" x14ac:dyDescent="0.25">
      <c r="B30" s="1"/>
      <c r="C30" s="3"/>
      <c r="D30" s="3"/>
      <c r="E30" s="4"/>
      <c r="F30" s="4"/>
      <c r="G30" s="1"/>
      <c r="H30" s="1"/>
      <c r="I30" s="3"/>
      <c r="J30" s="8"/>
      <c r="K30" s="5"/>
      <c r="L30" s="23"/>
      <c r="M30" s="5"/>
      <c r="N30" s="5"/>
      <c r="O30" s="42"/>
      <c r="P30" s="5"/>
      <c r="Q30" s="24"/>
      <c r="R30" s="2">
        <f>SUM(R12:R28)</f>
        <v>1903</v>
      </c>
      <c r="S30" s="3"/>
      <c r="T30" s="9">
        <f>SUM(T12:T29)</f>
        <v>5990.9540000000034</v>
      </c>
      <c r="U30" s="9"/>
      <c r="V30" s="55"/>
      <c r="W30" s="1"/>
      <c r="X30" s="36"/>
      <c r="Y30" s="36"/>
    </row>
    <row r="31" spans="2:25" x14ac:dyDescent="0.25">
      <c r="B31" s="16" t="s">
        <v>38</v>
      </c>
      <c r="C31" s="17" t="s">
        <v>39</v>
      </c>
      <c r="D31" s="17" t="s">
        <v>40</v>
      </c>
      <c r="E31" s="18" t="s">
        <v>41</v>
      </c>
      <c r="F31" s="18"/>
      <c r="G31" s="16" t="s">
        <v>42</v>
      </c>
      <c r="H31" s="16" t="s">
        <v>43</v>
      </c>
      <c r="I31" s="17" t="s">
        <v>77</v>
      </c>
      <c r="J31" s="19" t="s">
        <v>44</v>
      </c>
      <c r="K31" s="17" t="s">
        <v>45</v>
      </c>
      <c r="L31" s="17" t="s">
        <v>46</v>
      </c>
      <c r="M31" s="17" t="s">
        <v>47</v>
      </c>
      <c r="N31" s="17" t="s">
        <v>48</v>
      </c>
      <c r="O31" s="43" t="s">
        <v>49</v>
      </c>
      <c r="P31" s="17" t="s">
        <v>50</v>
      </c>
      <c r="Q31" s="20" t="s">
        <v>160</v>
      </c>
      <c r="R31" s="17" t="s">
        <v>51</v>
      </c>
      <c r="S31" s="16" t="s">
        <v>52</v>
      </c>
      <c r="T31" s="21" t="s">
        <v>76</v>
      </c>
      <c r="U31" s="21" t="s">
        <v>75</v>
      </c>
      <c r="V31" s="53" t="s">
        <v>161</v>
      </c>
      <c r="W31" s="58" t="e">
        <f>+#REF!</f>
        <v>#REF!</v>
      </c>
      <c r="X31" s="36"/>
      <c r="Y31" s="36"/>
    </row>
    <row r="32" spans="2:25" s="129" customFormat="1" ht="12" customHeight="1" x14ac:dyDescent="0.25">
      <c r="B32" s="118" t="s">
        <v>162</v>
      </c>
      <c r="C32" s="119" t="s">
        <v>171</v>
      </c>
      <c r="D32" s="119" t="s">
        <v>172</v>
      </c>
      <c r="E32" s="120">
        <v>36770</v>
      </c>
      <c r="F32" s="120">
        <v>36799</v>
      </c>
      <c r="G32" s="121"/>
      <c r="H32" s="121"/>
      <c r="I32" s="119" t="s">
        <v>173</v>
      </c>
      <c r="J32" s="122">
        <v>2.8340000000000001E-2</v>
      </c>
      <c r="K32" s="123">
        <v>0</v>
      </c>
      <c r="L32" s="123">
        <v>2.2000000000000001E-3</v>
      </c>
      <c r="M32" s="123">
        <v>7.1999999999999998E-3</v>
      </c>
      <c r="N32" s="123">
        <v>0</v>
      </c>
      <c r="O32" s="124">
        <v>0</v>
      </c>
      <c r="P32" s="123">
        <f>SUM(J32:N32)</f>
        <v>3.7740000000000003E-2</v>
      </c>
      <c r="Q32" s="125" t="s">
        <v>306</v>
      </c>
      <c r="R32" s="119">
        <v>243849</v>
      </c>
      <c r="S32" s="118" t="s">
        <v>88</v>
      </c>
      <c r="T32" s="126">
        <f>+J32*R32</f>
        <v>6910.68066</v>
      </c>
      <c r="U32" s="126"/>
      <c r="V32" s="127">
        <v>382790</v>
      </c>
      <c r="W32" s="118"/>
      <c r="X32" s="128"/>
      <c r="Y32" s="128"/>
    </row>
    <row r="33" spans="2:25" s="129" customFormat="1" ht="12" customHeight="1" x14ac:dyDescent="0.25">
      <c r="B33" s="118" t="s">
        <v>162</v>
      </c>
      <c r="C33" s="119" t="s">
        <v>171</v>
      </c>
      <c r="D33" s="119" t="s">
        <v>172</v>
      </c>
      <c r="E33" s="120">
        <v>36770</v>
      </c>
      <c r="F33" s="120">
        <v>36799</v>
      </c>
      <c r="G33" s="121"/>
      <c r="H33" s="121"/>
      <c r="I33" s="119" t="s">
        <v>173</v>
      </c>
      <c r="J33" s="122">
        <f>1.544/J1</f>
        <v>5.1466666666666668E-2</v>
      </c>
      <c r="K33" s="123">
        <v>0</v>
      </c>
      <c r="L33" s="123">
        <v>2.2000000000000001E-3</v>
      </c>
      <c r="M33" s="123">
        <v>7.1999999999999998E-3</v>
      </c>
      <c r="N33" s="123">
        <v>0</v>
      </c>
      <c r="O33" s="124">
        <v>0</v>
      </c>
      <c r="P33" s="123">
        <f>SUM(J33:N33)</f>
        <v>6.0866666666666666E-2</v>
      </c>
      <c r="Q33" s="125" t="s">
        <v>306</v>
      </c>
      <c r="R33" s="119">
        <v>4924</v>
      </c>
      <c r="S33" s="118" t="s">
        <v>89</v>
      </c>
      <c r="T33" s="126">
        <f>+J33*R33*30</f>
        <v>7602.6559999999999</v>
      </c>
      <c r="U33" s="126"/>
      <c r="V33" s="127">
        <v>382790</v>
      </c>
      <c r="W33" s="118"/>
      <c r="X33" s="128"/>
      <c r="Y33" s="128"/>
    </row>
    <row r="34" spans="2:25" s="61" customFormat="1" ht="12" customHeight="1" x14ac:dyDescent="0.25">
      <c r="B34" s="1" t="s">
        <v>162</v>
      </c>
      <c r="C34" s="3" t="s">
        <v>171</v>
      </c>
      <c r="D34" s="3" t="s">
        <v>172</v>
      </c>
      <c r="E34" s="4">
        <v>36739</v>
      </c>
      <c r="F34" s="4">
        <v>36769</v>
      </c>
      <c r="G34" s="29"/>
      <c r="H34" s="29"/>
      <c r="I34" s="3" t="s">
        <v>173</v>
      </c>
      <c r="J34" s="8">
        <v>2.8340000000000001E-2</v>
      </c>
      <c r="K34" s="5">
        <v>0</v>
      </c>
      <c r="L34" s="5">
        <v>2.2000000000000001E-3</v>
      </c>
      <c r="M34" s="5">
        <v>7.1999999999999998E-3</v>
      </c>
      <c r="N34" s="5">
        <v>0</v>
      </c>
      <c r="O34" s="42">
        <v>0</v>
      </c>
      <c r="P34" s="5">
        <f>SUM(J34:N34)</f>
        <v>3.7740000000000003E-2</v>
      </c>
      <c r="Q34" s="24" t="s">
        <v>306</v>
      </c>
      <c r="R34" s="3">
        <v>12073</v>
      </c>
      <c r="S34" s="1" t="s">
        <v>88</v>
      </c>
      <c r="T34" s="9">
        <f>+J34*R34</f>
        <v>342.14882</v>
      </c>
      <c r="U34" s="9"/>
      <c r="V34" s="55">
        <v>345053</v>
      </c>
      <c r="W34" s="1"/>
      <c r="X34" s="36"/>
      <c r="Y34" s="36"/>
    </row>
    <row r="35" spans="2:25" s="61" customFormat="1" ht="12" customHeight="1" x14ac:dyDescent="0.25">
      <c r="B35" s="1" t="s">
        <v>162</v>
      </c>
      <c r="C35" s="3" t="s">
        <v>171</v>
      </c>
      <c r="D35" s="3" t="s">
        <v>172</v>
      </c>
      <c r="E35" s="4">
        <v>36739</v>
      </c>
      <c r="F35" s="4">
        <v>36769</v>
      </c>
      <c r="G35" s="29"/>
      <c r="H35" s="29"/>
      <c r="I35" s="3" t="s">
        <v>173</v>
      </c>
      <c r="J35" s="8">
        <f>1.544/31</f>
        <v>4.980645161290323E-2</v>
      </c>
      <c r="K35" s="5">
        <v>0</v>
      </c>
      <c r="L35" s="5">
        <v>2.2000000000000001E-3</v>
      </c>
      <c r="M35" s="5">
        <v>7.1999999999999998E-3</v>
      </c>
      <c r="N35" s="5">
        <v>0</v>
      </c>
      <c r="O35" s="42">
        <v>0</v>
      </c>
      <c r="P35" s="5">
        <f>SUM(J35:N35)</f>
        <v>5.9206451612903228E-2</v>
      </c>
      <c r="Q35" s="24" t="s">
        <v>306</v>
      </c>
      <c r="R35" s="3">
        <v>244</v>
      </c>
      <c r="S35" s="1" t="s">
        <v>89</v>
      </c>
      <c r="T35" s="9">
        <f>+J35*R35*30</f>
        <v>364.58322580645165</v>
      </c>
      <c r="U35" s="9"/>
      <c r="V35" s="55">
        <v>345053</v>
      </c>
      <c r="W35" s="1"/>
      <c r="X35" s="36"/>
      <c r="Y35" s="36"/>
    </row>
    <row r="36" spans="2:25" s="129" customFormat="1" ht="12" customHeight="1" x14ac:dyDescent="0.25">
      <c r="B36" s="118" t="s">
        <v>162</v>
      </c>
      <c r="C36" s="119" t="s">
        <v>171</v>
      </c>
      <c r="D36" s="119" t="s">
        <v>172</v>
      </c>
      <c r="E36" s="120">
        <v>36770</v>
      </c>
      <c r="F36" s="120">
        <v>36799</v>
      </c>
      <c r="G36" s="118" t="s">
        <v>143</v>
      </c>
      <c r="H36" s="118" t="s">
        <v>130</v>
      </c>
      <c r="I36" s="119" t="s">
        <v>125</v>
      </c>
      <c r="J36" s="122">
        <f>10.913/J1</f>
        <v>0.36376666666666668</v>
      </c>
      <c r="K36" s="123"/>
      <c r="L36" s="123"/>
      <c r="M36" s="123"/>
      <c r="N36" s="123"/>
      <c r="O36" s="124"/>
      <c r="P36" s="123"/>
      <c r="Q36" s="125" t="s">
        <v>260</v>
      </c>
      <c r="R36" s="119">
        <v>8860</v>
      </c>
      <c r="S36" s="132" t="s">
        <v>396</v>
      </c>
      <c r="T36" s="126">
        <f>+R36*J36*30</f>
        <v>96689.180000000008</v>
      </c>
      <c r="U36" s="126"/>
      <c r="V36" s="127">
        <v>382793</v>
      </c>
      <c r="W36" s="118"/>
      <c r="X36" s="128"/>
      <c r="Y36" s="128"/>
    </row>
    <row r="37" spans="2:25" s="61" customFormat="1" ht="12" customHeight="1" x14ac:dyDescent="0.25">
      <c r="B37" s="1" t="s">
        <v>162</v>
      </c>
      <c r="C37" s="3" t="s">
        <v>171</v>
      </c>
      <c r="D37" s="3" t="s">
        <v>172</v>
      </c>
      <c r="E37" s="4">
        <v>36770</v>
      </c>
      <c r="F37" s="4">
        <v>36799</v>
      </c>
      <c r="G37" s="1" t="s">
        <v>143</v>
      </c>
      <c r="H37" s="1" t="s">
        <v>130</v>
      </c>
      <c r="I37" s="3" t="s">
        <v>125</v>
      </c>
      <c r="J37" s="8"/>
      <c r="K37" s="5"/>
      <c r="L37" s="5"/>
      <c r="M37" s="5"/>
      <c r="N37" s="5"/>
      <c r="O37" s="42"/>
      <c r="P37" s="5"/>
      <c r="Q37" s="24"/>
      <c r="R37" s="3"/>
      <c r="S37" s="1"/>
      <c r="T37" s="9"/>
      <c r="U37" s="9"/>
      <c r="V37" s="55"/>
      <c r="W37" s="1"/>
      <c r="X37" s="36"/>
      <c r="Y37" s="36"/>
    </row>
    <row r="38" spans="2:25" s="129" customFormat="1" ht="12" customHeight="1" x14ac:dyDescent="0.25">
      <c r="B38" s="118" t="s">
        <v>162</v>
      </c>
      <c r="C38" s="119" t="s">
        <v>171</v>
      </c>
      <c r="D38" s="119" t="s">
        <v>172</v>
      </c>
      <c r="E38" s="120">
        <v>36770</v>
      </c>
      <c r="F38" s="120">
        <v>36799</v>
      </c>
      <c r="G38" s="121"/>
      <c r="H38" s="121"/>
      <c r="I38" s="119" t="s">
        <v>125</v>
      </c>
      <c r="J38" s="122">
        <f>10.913/J1</f>
        <v>0.36376666666666668</v>
      </c>
      <c r="K38" s="123"/>
      <c r="L38" s="123"/>
      <c r="M38" s="123"/>
      <c r="N38" s="123"/>
      <c r="O38" s="124"/>
      <c r="P38" s="123"/>
      <c r="Q38" s="125" t="s">
        <v>260</v>
      </c>
      <c r="R38" s="119">
        <v>201</v>
      </c>
      <c r="S38" s="121" t="s">
        <v>395</v>
      </c>
      <c r="T38" s="126">
        <v>201</v>
      </c>
      <c r="U38" s="126"/>
      <c r="V38" s="127">
        <v>382805</v>
      </c>
      <c r="W38" s="118"/>
      <c r="X38" s="128"/>
      <c r="Y38" s="128"/>
    </row>
    <row r="39" spans="2:25" s="129" customFormat="1" ht="12" customHeight="1" x14ac:dyDescent="0.25">
      <c r="B39" s="118" t="s">
        <v>162</v>
      </c>
      <c r="C39" s="119" t="s">
        <v>171</v>
      </c>
      <c r="D39" s="119" t="s">
        <v>172</v>
      </c>
      <c r="E39" s="120">
        <v>36770</v>
      </c>
      <c r="F39" s="120">
        <v>36799</v>
      </c>
      <c r="G39" s="121"/>
      <c r="H39" s="121"/>
      <c r="I39" s="119" t="s">
        <v>125</v>
      </c>
      <c r="J39" s="122">
        <f>10.913/31</f>
        <v>0.35203225806451616</v>
      </c>
      <c r="K39" s="123"/>
      <c r="L39" s="123"/>
      <c r="M39" s="123"/>
      <c r="N39" s="123"/>
      <c r="O39" s="124"/>
      <c r="P39" s="123"/>
      <c r="Q39" s="125" t="s">
        <v>260</v>
      </c>
      <c r="R39" s="119">
        <v>1957</v>
      </c>
      <c r="S39" s="121" t="s">
        <v>394</v>
      </c>
      <c r="T39" s="126">
        <f>J39*J$1*R39</f>
        <v>20667.813870967744</v>
      </c>
      <c r="U39" s="126"/>
      <c r="V39" s="127">
        <v>382806</v>
      </c>
      <c r="W39" s="118"/>
      <c r="X39" s="128"/>
      <c r="Y39" s="128"/>
    </row>
    <row r="40" spans="2:25" s="129" customFormat="1" ht="12" customHeight="1" x14ac:dyDescent="0.25">
      <c r="B40" s="118" t="s">
        <v>162</v>
      </c>
      <c r="C40" s="119" t="s">
        <v>171</v>
      </c>
      <c r="D40" s="119" t="s">
        <v>172</v>
      </c>
      <c r="E40" s="120">
        <v>36770</v>
      </c>
      <c r="F40" s="120">
        <v>36799</v>
      </c>
      <c r="G40" s="121"/>
      <c r="H40" s="121"/>
      <c r="I40" s="119" t="s">
        <v>125</v>
      </c>
      <c r="J40" s="122">
        <f>8.223/J1</f>
        <v>0.27410000000000001</v>
      </c>
      <c r="K40" s="123"/>
      <c r="L40" s="123"/>
      <c r="M40" s="123"/>
      <c r="N40" s="123"/>
      <c r="O40" s="124"/>
      <c r="P40" s="123"/>
      <c r="Q40" s="125" t="s">
        <v>260</v>
      </c>
      <c r="R40" s="119">
        <v>149</v>
      </c>
      <c r="S40" s="132" t="s">
        <v>393</v>
      </c>
      <c r="T40" s="126">
        <v>149</v>
      </c>
      <c r="U40" s="126"/>
      <c r="V40" s="127">
        <v>382807</v>
      </c>
      <c r="W40" s="118"/>
      <c r="X40" s="128"/>
      <c r="Y40" s="128"/>
    </row>
    <row r="41" spans="2:25" s="129" customFormat="1" ht="12" customHeight="1" x14ac:dyDescent="0.25">
      <c r="B41" s="118" t="s">
        <v>162</v>
      </c>
      <c r="C41" s="119" t="s">
        <v>179</v>
      </c>
      <c r="D41" s="119" t="s">
        <v>172</v>
      </c>
      <c r="E41" s="120">
        <v>36770</v>
      </c>
      <c r="F41" s="120">
        <v>36799</v>
      </c>
      <c r="G41" s="118" t="s">
        <v>143</v>
      </c>
      <c r="H41" s="118" t="s">
        <v>143</v>
      </c>
      <c r="I41" s="119" t="s">
        <v>125</v>
      </c>
      <c r="J41" s="122">
        <f>4.75/J1</f>
        <v>0.15833333333333333</v>
      </c>
      <c r="K41" s="123"/>
      <c r="L41" s="123"/>
      <c r="M41" s="123"/>
      <c r="N41" s="123"/>
      <c r="O41" s="124"/>
      <c r="P41" s="123"/>
      <c r="Q41" s="125" t="s">
        <v>329</v>
      </c>
      <c r="R41" s="119">
        <v>151</v>
      </c>
      <c r="S41" s="132" t="s">
        <v>392</v>
      </c>
      <c r="T41" s="126">
        <f>J41*J$1*R41</f>
        <v>717.25</v>
      </c>
      <c r="U41" s="126"/>
      <c r="V41" s="127">
        <v>382813</v>
      </c>
      <c r="W41" s="118"/>
      <c r="X41" s="128"/>
      <c r="Y41" s="128"/>
    </row>
    <row r="42" spans="2:25" s="61" customFormat="1" ht="12" customHeight="1" x14ac:dyDescent="0.25">
      <c r="B42" s="1" t="s">
        <v>162</v>
      </c>
      <c r="C42" s="3" t="s">
        <v>179</v>
      </c>
      <c r="D42" s="3" t="s">
        <v>172</v>
      </c>
      <c r="E42" s="4">
        <v>36739</v>
      </c>
      <c r="F42" s="4">
        <v>36769</v>
      </c>
      <c r="G42" s="1" t="s">
        <v>143</v>
      </c>
      <c r="H42" s="1" t="s">
        <v>143</v>
      </c>
      <c r="I42" s="3" t="s">
        <v>125</v>
      </c>
      <c r="J42" s="8">
        <f>10.913/31</f>
        <v>0.35203225806451616</v>
      </c>
      <c r="K42" s="5"/>
      <c r="L42" s="5"/>
      <c r="M42" s="5"/>
      <c r="N42" s="5"/>
      <c r="O42" s="42"/>
      <c r="P42" s="5"/>
      <c r="Q42" s="24" t="s">
        <v>329</v>
      </c>
      <c r="R42" s="3">
        <f>431+67</f>
        <v>498</v>
      </c>
      <c r="S42" s="1"/>
      <c r="T42" s="9">
        <f>J42*J$1*R42</f>
        <v>5259.361935483872</v>
      </c>
      <c r="U42" s="9"/>
      <c r="V42" s="55">
        <v>345006</v>
      </c>
      <c r="W42" s="1"/>
      <c r="X42" s="36"/>
      <c r="Y42" s="36"/>
    </row>
    <row r="43" spans="2:25" s="61" customFormat="1" ht="12" customHeight="1" x14ac:dyDescent="0.25">
      <c r="B43" s="1"/>
      <c r="C43" s="3"/>
      <c r="D43" s="3"/>
      <c r="E43" s="4"/>
      <c r="F43" s="4"/>
      <c r="G43" s="1"/>
      <c r="H43" s="1"/>
      <c r="I43" s="3"/>
      <c r="J43" s="8"/>
      <c r="K43" s="5"/>
      <c r="L43" s="5"/>
      <c r="M43" s="5"/>
      <c r="N43" s="5"/>
      <c r="O43" s="42"/>
      <c r="P43" s="5"/>
      <c r="Q43" s="24"/>
      <c r="R43" s="3"/>
      <c r="S43" s="1"/>
      <c r="T43" s="9"/>
      <c r="U43" s="9"/>
      <c r="V43" s="55"/>
      <c r="W43" s="1"/>
      <c r="X43" s="36"/>
      <c r="Y43" s="36"/>
    </row>
    <row r="44" spans="2:25" s="61" customFormat="1" x14ac:dyDescent="0.25">
      <c r="B44" s="1"/>
      <c r="C44" s="3"/>
      <c r="D44" s="3"/>
      <c r="E44" s="4"/>
      <c r="F44" s="4"/>
      <c r="G44" s="29"/>
      <c r="H44" s="29"/>
      <c r="I44" s="3"/>
      <c r="J44" s="8"/>
      <c r="K44" s="5"/>
      <c r="L44" s="5"/>
      <c r="M44" s="5"/>
      <c r="N44" s="5"/>
      <c r="O44" s="42"/>
      <c r="P44" s="5"/>
      <c r="Q44" s="24"/>
      <c r="R44" s="3"/>
      <c r="S44" s="1"/>
      <c r="T44" s="9">
        <f>SUM(T32:T43)</f>
        <v>138903.67451225809</v>
      </c>
      <c r="U44" s="9"/>
      <c r="V44" s="55"/>
      <c r="W44" s="1"/>
      <c r="X44" s="36"/>
      <c r="Y44" s="36"/>
    </row>
    <row r="45" spans="2:25" x14ac:dyDescent="0.25">
      <c r="B45" s="16" t="s">
        <v>38</v>
      </c>
      <c r="C45" s="17" t="s">
        <v>39</v>
      </c>
      <c r="D45" s="17" t="s">
        <v>40</v>
      </c>
      <c r="E45" s="18" t="s">
        <v>41</v>
      </c>
      <c r="F45" s="18"/>
      <c r="G45" s="16" t="s">
        <v>42</v>
      </c>
      <c r="H45" s="16" t="s">
        <v>43</v>
      </c>
      <c r="I45" s="17" t="s">
        <v>77</v>
      </c>
      <c r="J45" s="19" t="s">
        <v>44</v>
      </c>
      <c r="K45" s="17" t="s">
        <v>45</v>
      </c>
      <c r="L45" s="17" t="s">
        <v>46</v>
      </c>
      <c r="M45" s="17" t="s">
        <v>47</v>
      </c>
      <c r="N45" s="17" t="s">
        <v>48</v>
      </c>
      <c r="O45" s="43" t="s">
        <v>49</v>
      </c>
      <c r="P45" s="17" t="s">
        <v>50</v>
      </c>
      <c r="Q45" s="20" t="s">
        <v>160</v>
      </c>
      <c r="R45" s="17" t="s">
        <v>51</v>
      </c>
      <c r="S45" s="16" t="s">
        <v>52</v>
      </c>
      <c r="T45" s="21" t="s">
        <v>76</v>
      </c>
      <c r="U45" s="21" t="s">
        <v>75</v>
      </c>
      <c r="V45" s="53" t="s">
        <v>161</v>
      </c>
      <c r="W45" s="58" t="e">
        <f>+#REF!</f>
        <v>#REF!</v>
      </c>
      <c r="X45" s="36"/>
      <c r="Y45" s="36"/>
    </row>
    <row r="46" spans="2:25" s="129" customFormat="1" x14ac:dyDescent="0.25">
      <c r="B46" s="118" t="s">
        <v>162</v>
      </c>
      <c r="C46" s="119" t="s">
        <v>36</v>
      </c>
      <c r="D46" s="119" t="s">
        <v>116</v>
      </c>
      <c r="E46" s="120">
        <v>36770</v>
      </c>
      <c r="F46" s="120">
        <v>36799</v>
      </c>
      <c r="G46" s="118" t="s">
        <v>117</v>
      </c>
      <c r="H46" s="121" t="s">
        <v>118</v>
      </c>
      <c r="I46" s="119" t="s">
        <v>115</v>
      </c>
      <c r="J46" s="122">
        <f>5.17/+J1</f>
        <v>0.17233333333333334</v>
      </c>
      <c r="K46" s="123">
        <v>7.6300000000000007E-2</v>
      </c>
      <c r="L46" s="123">
        <v>2.2000000000000001E-3</v>
      </c>
      <c r="M46" s="123">
        <v>7.1999999999999998E-3</v>
      </c>
      <c r="N46" s="123">
        <v>0</v>
      </c>
      <c r="O46" s="124">
        <v>2.7900000000000001E-2</v>
      </c>
      <c r="P46" s="123">
        <f>SUM(J46:N46)</f>
        <v>0.25803333333333334</v>
      </c>
      <c r="Q46" s="125">
        <v>34703</v>
      </c>
      <c r="R46" s="119">
        <v>1052</v>
      </c>
      <c r="S46" s="118" t="s">
        <v>57</v>
      </c>
      <c r="T46" s="126">
        <f>J46*J$1*R46</f>
        <v>5438.84</v>
      </c>
      <c r="U46" s="126"/>
      <c r="V46" s="127">
        <v>384203</v>
      </c>
      <c r="W46" s="118" t="s">
        <v>119</v>
      </c>
      <c r="X46" s="128"/>
      <c r="Y46" s="128"/>
    </row>
    <row r="47" spans="2:25" s="129" customFormat="1" x14ac:dyDescent="0.25">
      <c r="B47" s="118" t="s">
        <v>162</v>
      </c>
      <c r="C47" s="119" t="s">
        <v>36</v>
      </c>
      <c r="D47" s="119" t="s">
        <v>116</v>
      </c>
      <c r="E47" s="120">
        <v>36770</v>
      </c>
      <c r="F47" s="120">
        <v>36829</v>
      </c>
      <c r="G47" s="118" t="s">
        <v>117</v>
      </c>
      <c r="H47" s="121" t="s">
        <v>118</v>
      </c>
      <c r="I47" s="119" t="s">
        <v>115</v>
      </c>
      <c r="J47" s="122">
        <f>4.92/J1</f>
        <v>0.16400000000000001</v>
      </c>
      <c r="K47" s="123">
        <v>7.6300000000000007E-2</v>
      </c>
      <c r="L47" s="123">
        <v>2.2000000000000001E-3</v>
      </c>
      <c r="M47" s="123">
        <v>7.1999999999999998E-3</v>
      </c>
      <c r="N47" s="123">
        <v>0</v>
      </c>
      <c r="O47" s="124">
        <v>2.7900000000000001E-2</v>
      </c>
      <c r="P47" s="123">
        <f>SUM(J47:N47)</f>
        <v>0.24970000000000003</v>
      </c>
      <c r="Q47" s="125">
        <v>34608</v>
      </c>
      <c r="R47" s="119">
        <v>2455</v>
      </c>
      <c r="S47" s="118" t="s">
        <v>57</v>
      </c>
      <c r="T47" s="126">
        <f>J47*J$1*R47</f>
        <v>12078.6</v>
      </c>
      <c r="U47" s="126"/>
      <c r="V47" s="127">
        <v>379572</v>
      </c>
      <c r="W47" s="118"/>
      <c r="X47" s="128"/>
      <c r="Y47" s="128"/>
    </row>
    <row r="48" spans="2:25" s="129" customFormat="1" x14ac:dyDescent="0.25">
      <c r="B48" s="118" t="s">
        <v>162</v>
      </c>
      <c r="C48" s="119" t="s">
        <v>141</v>
      </c>
      <c r="D48" s="119" t="s">
        <v>116</v>
      </c>
      <c r="E48" s="120">
        <v>36770</v>
      </c>
      <c r="F48" s="120">
        <v>36799</v>
      </c>
      <c r="G48" s="118" t="s">
        <v>142</v>
      </c>
      <c r="H48" s="118" t="s">
        <v>116</v>
      </c>
      <c r="I48" s="119" t="s">
        <v>115</v>
      </c>
      <c r="J48" s="122">
        <f>11.95/J1</f>
        <v>0.39833333333333332</v>
      </c>
      <c r="K48" s="123">
        <v>0</v>
      </c>
      <c r="L48" s="123">
        <v>2.2000000000000001E-3</v>
      </c>
      <c r="M48" s="123">
        <v>7.1999999999999998E-3</v>
      </c>
      <c r="N48" s="123">
        <v>0</v>
      </c>
      <c r="O48" s="124">
        <v>2.2200000000000001E-2</v>
      </c>
      <c r="P48" s="123">
        <f>SUM(J48:N48)</f>
        <v>0.40773333333333328</v>
      </c>
      <c r="Q48" s="125">
        <v>34686</v>
      </c>
      <c r="R48" s="119">
        <v>1174</v>
      </c>
      <c r="S48" s="118" t="s">
        <v>57</v>
      </c>
      <c r="T48" s="126">
        <f>J48*J$1*R48</f>
        <v>14029.3</v>
      </c>
      <c r="U48" s="126"/>
      <c r="V48" s="127">
        <v>382821</v>
      </c>
      <c r="W48" s="118" t="s">
        <v>119</v>
      </c>
      <c r="X48" s="128"/>
      <c r="Y48" s="128"/>
    </row>
    <row r="49" spans="2:25" s="129" customFormat="1" x14ac:dyDescent="0.25">
      <c r="B49" s="118" t="s">
        <v>162</v>
      </c>
      <c r="C49" s="119" t="s">
        <v>141</v>
      </c>
      <c r="D49" s="119" t="s">
        <v>116</v>
      </c>
      <c r="E49" s="120">
        <v>36770</v>
      </c>
      <c r="F49" s="120">
        <v>36829</v>
      </c>
      <c r="G49" s="118" t="s">
        <v>142</v>
      </c>
      <c r="H49" s="118" t="s">
        <v>116</v>
      </c>
      <c r="I49" s="119" t="s">
        <v>115</v>
      </c>
      <c r="J49" s="122">
        <f>11.92/J1</f>
        <v>0.39733333333333332</v>
      </c>
      <c r="K49" s="123">
        <v>0</v>
      </c>
      <c r="L49" s="123">
        <v>2.2000000000000001E-3</v>
      </c>
      <c r="M49" s="123">
        <v>7.1999999999999998E-3</v>
      </c>
      <c r="N49" s="123">
        <v>0</v>
      </c>
      <c r="O49" s="124">
        <v>2.2200000000000001E-2</v>
      </c>
      <c r="P49" s="123">
        <f>SUM(J49:N49)</f>
        <v>0.40673333333333328</v>
      </c>
      <c r="Q49" s="125">
        <v>34594</v>
      </c>
      <c r="R49" s="119">
        <v>2738</v>
      </c>
      <c r="S49" s="118" t="s">
        <v>57</v>
      </c>
      <c r="T49" s="126">
        <f>J49*J$1*R49</f>
        <v>32636.959999999999</v>
      </c>
      <c r="U49" s="126"/>
      <c r="V49" s="127">
        <v>379663</v>
      </c>
      <c r="W49" s="118"/>
      <c r="X49" s="128"/>
      <c r="Y49" s="128"/>
    </row>
    <row r="50" spans="2:25" s="129" customFormat="1" x14ac:dyDescent="0.25">
      <c r="B50" s="118" t="s">
        <v>162</v>
      </c>
      <c r="C50" s="119" t="s">
        <v>36</v>
      </c>
      <c r="D50" s="119" t="s">
        <v>116</v>
      </c>
      <c r="E50" s="120">
        <v>36770</v>
      </c>
      <c r="F50" s="120">
        <v>36830</v>
      </c>
      <c r="G50" s="118" t="s">
        <v>176</v>
      </c>
      <c r="H50" s="118"/>
      <c r="I50" s="119" t="s">
        <v>177</v>
      </c>
      <c r="J50" s="122">
        <v>2.4799999999999999E-2</v>
      </c>
      <c r="K50" s="123"/>
      <c r="L50" s="123"/>
      <c r="M50" s="123"/>
      <c r="N50" s="123"/>
      <c r="O50" s="124"/>
      <c r="P50" s="123"/>
      <c r="Q50" s="125">
        <v>34614</v>
      </c>
      <c r="R50" s="119">
        <v>146488</v>
      </c>
      <c r="S50" s="118"/>
      <c r="T50" s="126">
        <f>J50*R50</f>
        <v>3632.9023999999999</v>
      </c>
      <c r="U50" s="126"/>
      <c r="V50" s="127">
        <v>379889</v>
      </c>
      <c r="W50" s="118"/>
      <c r="X50" s="128"/>
      <c r="Y50" s="128"/>
    </row>
    <row r="51" spans="2:25" s="129" customFormat="1" x14ac:dyDescent="0.25">
      <c r="B51" s="118" t="s">
        <v>162</v>
      </c>
      <c r="C51" s="119" t="s">
        <v>36</v>
      </c>
      <c r="D51" s="119" t="s">
        <v>116</v>
      </c>
      <c r="E51" s="120">
        <v>36770</v>
      </c>
      <c r="F51" s="120">
        <v>36830</v>
      </c>
      <c r="G51" s="118" t="s">
        <v>176</v>
      </c>
      <c r="H51" s="118"/>
      <c r="I51" s="119" t="s">
        <v>177</v>
      </c>
      <c r="J51" s="122">
        <f>2.02/J1</f>
        <v>6.7333333333333328E-2</v>
      </c>
      <c r="K51" s="123"/>
      <c r="L51" s="123"/>
      <c r="M51" s="123"/>
      <c r="N51" s="123"/>
      <c r="O51" s="124"/>
      <c r="P51" s="123"/>
      <c r="Q51" s="125">
        <v>34614</v>
      </c>
      <c r="R51" s="119">
        <v>979</v>
      </c>
      <c r="S51" s="118"/>
      <c r="T51" s="126">
        <f>J51*J$1*R51</f>
        <v>1977.58</v>
      </c>
      <c r="U51" s="126"/>
      <c r="V51" s="127">
        <v>379889</v>
      </c>
      <c r="W51" s="118"/>
      <c r="X51" s="128"/>
      <c r="Y51" s="128"/>
    </row>
    <row r="52" spans="2:25" s="129" customFormat="1" x14ac:dyDescent="0.25">
      <c r="B52" s="118" t="s">
        <v>162</v>
      </c>
      <c r="C52" s="119" t="s">
        <v>36</v>
      </c>
      <c r="D52" s="119" t="s">
        <v>116</v>
      </c>
      <c r="E52" s="120">
        <v>36770</v>
      </c>
      <c r="F52" s="120">
        <v>36799</v>
      </c>
      <c r="G52" s="118" t="s">
        <v>176</v>
      </c>
      <c r="H52" s="118"/>
      <c r="I52" s="119" t="s">
        <v>177</v>
      </c>
      <c r="J52" s="122">
        <v>2.4799999999999999E-2</v>
      </c>
      <c r="K52" s="123"/>
      <c r="L52" s="123"/>
      <c r="M52" s="123"/>
      <c r="N52" s="123"/>
      <c r="O52" s="124"/>
      <c r="P52" s="123"/>
      <c r="Q52" s="125">
        <v>34736</v>
      </c>
      <c r="R52" s="119">
        <v>62780</v>
      </c>
      <c r="S52" s="118"/>
      <c r="T52" s="126">
        <f>J52*R52</f>
        <v>1556.944</v>
      </c>
      <c r="U52" s="126"/>
      <c r="V52" s="127">
        <v>387961</v>
      </c>
      <c r="W52" s="118" t="s">
        <v>119</v>
      </c>
      <c r="X52" s="128"/>
      <c r="Y52" s="128"/>
    </row>
    <row r="53" spans="2:25" s="129" customFormat="1" x14ac:dyDescent="0.25">
      <c r="B53" s="118" t="s">
        <v>162</v>
      </c>
      <c r="C53" s="119" t="s">
        <v>36</v>
      </c>
      <c r="D53" s="119" t="s">
        <v>116</v>
      </c>
      <c r="E53" s="120">
        <v>36770</v>
      </c>
      <c r="F53" s="120">
        <v>36799</v>
      </c>
      <c r="G53" s="118" t="s">
        <v>176</v>
      </c>
      <c r="H53" s="118"/>
      <c r="I53" s="119" t="s">
        <v>177</v>
      </c>
      <c r="J53" s="122">
        <f>2.02/J1</f>
        <v>6.7333333333333328E-2</v>
      </c>
      <c r="K53" s="123"/>
      <c r="L53" s="123"/>
      <c r="M53" s="123"/>
      <c r="N53" s="123"/>
      <c r="O53" s="124"/>
      <c r="P53" s="123"/>
      <c r="Q53" s="125">
        <v>34736</v>
      </c>
      <c r="R53" s="119">
        <v>420</v>
      </c>
      <c r="S53" s="118"/>
      <c r="T53" s="126">
        <f>J53*J$1*R53</f>
        <v>848.4</v>
      </c>
      <c r="U53" s="126"/>
      <c r="V53" s="127">
        <v>389761</v>
      </c>
      <c r="W53" s="118" t="s">
        <v>119</v>
      </c>
      <c r="X53" s="128"/>
      <c r="Y53" s="128"/>
    </row>
    <row r="54" spans="2:25" s="129" customFormat="1" x14ac:dyDescent="0.25">
      <c r="B54" s="118" t="s">
        <v>162</v>
      </c>
      <c r="C54" s="119" t="s">
        <v>36</v>
      </c>
      <c r="D54" s="119" t="s">
        <v>116</v>
      </c>
      <c r="E54" s="120">
        <v>36770</v>
      </c>
      <c r="F54" s="120">
        <v>36799</v>
      </c>
      <c r="G54" s="118" t="s">
        <v>219</v>
      </c>
      <c r="H54" s="118"/>
      <c r="I54" s="119" t="s">
        <v>220</v>
      </c>
      <c r="J54" s="122">
        <v>1.8700000000000001E-2</v>
      </c>
      <c r="K54" s="123"/>
      <c r="L54" s="123"/>
      <c r="M54" s="123"/>
      <c r="N54" s="123"/>
      <c r="O54" s="124"/>
      <c r="P54" s="123"/>
      <c r="Q54" s="125">
        <v>34736</v>
      </c>
      <c r="R54" s="138">
        <v>22531</v>
      </c>
      <c r="S54" s="118"/>
      <c r="T54" s="126">
        <f>+R54*J54</f>
        <v>421.3297</v>
      </c>
      <c r="U54" s="126"/>
      <c r="V54" s="127">
        <v>387950</v>
      </c>
      <c r="W54" s="118" t="s">
        <v>119</v>
      </c>
      <c r="X54" s="128"/>
      <c r="Y54" s="128"/>
    </row>
    <row r="55" spans="2:25" s="129" customFormat="1" x14ac:dyDescent="0.25">
      <c r="B55" s="118" t="s">
        <v>162</v>
      </c>
      <c r="C55" s="119" t="s">
        <v>36</v>
      </c>
      <c r="D55" s="119" t="s">
        <v>116</v>
      </c>
      <c r="E55" s="120">
        <v>36770</v>
      </c>
      <c r="F55" s="120">
        <v>36799</v>
      </c>
      <c r="G55" s="118" t="s">
        <v>219</v>
      </c>
      <c r="H55" s="118"/>
      <c r="I55" s="119" t="s">
        <v>220</v>
      </c>
      <c r="J55" s="122">
        <v>1.17</v>
      </c>
      <c r="K55" s="123"/>
      <c r="L55" s="123"/>
      <c r="M55" s="123"/>
      <c r="N55" s="123"/>
      <c r="O55" s="124"/>
      <c r="P55" s="123"/>
      <c r="Q55" s="125">
        <v>34736</v>
      </c>
      <c r="R55" s="138">
        <v>167</v>
      </c>
      <c r="S55" s="118"/>
      <c r="T55" s="126">
        <f>+R55*J55</f>
        <v>195.39</v>
      </c>
      <c r="U55" s="126"/>
      <c r="V55" s="127">
        <v>387950</v>
      </c>
      <c r="W55" s="118" t="s">
        <v>119</v>
      </c>
      <c r="X55" s="128"/>
      <c r="Y55" s="128"/>
    </row>
    <row r="56" spans="2:25" s="129" customFormat="1" x14ac:dyDescent="0.25">
      <c r="B56" s="118" t="s">
        <v>162</v>
      </c>
      <c r="C56" s="119" t="s">
        <v>36</v>
      </c>
      <c r="D56" s="119" t="s">
        <v>116</v>
      </c>
      <c r="E56" s="120">
        <v>36770</v>
      </c>
      <c r="F56" s="120">
        <v>36830</v>
      </c>
      <c r="G56" s="118" t="s">
        <v>219</v>
      </c>
      <c r="H56" s="118"/>
      <c r="I56" s="119" t="s">
        <v>220</v>
      </c>
      <c r="J56" s="122">
        <v>1.8700000000000001E-2</v>
      </c>
      <c r="K56" s="123"/>
      <c r="L56" s="123"/>
      <c r="M56" s="123"/>
      <c r="N56" s="123"/>
      <c r="O56" s="124"/>
      <c r="P56" s="123"/>
      <c r="Q56" s="125">
        <v>34576</v>
      </c>
      <c r="R56" s="138">
        <v>52573</v>
      </c>
      <c r="S56" s="118"/>
      <c r="T56" s="126">
        <f>+R56*J56</f>
        <v>983.1151000000001</v>
      </c>
      <c r="U56" s="126"/>
      <c r="V56" s="127">
        <v>379856</v>
      </c>
      <c r="W56" s="118"/>
      <c r="X56" s="128"/>
      <c r="Y56" s="128"/>
    </row>
    <row r="57" spans="2:25" s="129" customFormat="1" x14ac:dyDescent="0.25">
      <c r="B57" s="118" t="s">
        <v>162</v>
      </c>
      <c r="C57" s="119" t="s">
        <v>36</v>
      </c>
      <c r="D57" s="119" t="s">
        <v>116</v>
      </c>
      <c r="E57" s="120">
        <v>36770</v>
      </c>
      <c r="F57" s="120">
        <v>36830</v>
      </c>
      <c r="G57" s="118" t="s">
        <v>219</v>
      </c>
      <c r="H57" s="118"/>
      <c r="I57" s="119" t="s">
        <v>220</v>
      </c>
      <c r="J57" s="122">
        <v>1.17</v>
      </c>
      <c r="K57" s="123"/>
      <c r="L57" s="123"/>
      <c r="M57" s="123"/>
      <c r="N57" s="123"/>
      <c r="O57" s="124"/>
      <c r="P57" s="123"/>
      <c r="Q57" s="125">
        <v>34576</v>
      </c>
      <c r="R57" s="138">
        <v>389</v>
      </c>
      <c r="S57" s="118"/>
      <c r="T57" s="126">
        <f>+R57*J57</f>
        <v>455.13</v>
      </c>
      <c r="U57" s="126"/>
      <c r="V57" s="127">
        <v>379856</v>
      </c>
      <c r="W57" s="118"/>
      <c r="X57" s="128"/>
      <c r="Y57" s="128"/>
    </row>
    <row r="58" spans="2:25" x14ac:dyDescent="0.25">
      <c r="B58" s="1"/>
      <c r="C58" s="3"/>
      <c r="D58" s="3"/>
      <c r="E58" s="4"/>
      <c r="F58" s="4"/>
      <c r="G58" s="1"/>
      <c r="H58" s="1"/>
      <c r="I58" s="3"/>
      <c r="J58" s="8"/>
      <c r="K58" s="5"/>
      <c r="L58" s="23"/>
      <c r="M58" s="5"/>
      <c r="N58" s="5"/>
      <c r="O58" s="42"/>
      <c r="P58" s="5"/>
      <c r="Q58" s="24"/>
      <c r="R58" s="2"/>
      <c r="S58" s="3"/>
      <c r="T58" s="9"/>
      <c r="U58" s="9"/>
      <c r="V58" s="55"/>
      <c r="W58" s="1"/>
      <c r="X58" s="36"/>
      <c r="Y58" s="36"/>
    </row>
    <row r="59" spans="2:25" x14ac:dyDescent="0.25">
      <c r="B59" s="1"/>
      <c r="C59" s="3"/>
      <c r="D59" s="3"/>
      <c r="E59" s="4"/>
      <c r="F59" s="4"/>
      <c r="G59" s="1"/>
      <c r="H59" s="1"/>
      <c r="I59" s="3"/>
      <c r="J59" s="8"/>
      <c r="K59" s="5"/>
      <c r="L59" s="23"/>
      <c r="M59" s="5"/>
      <c r="N59" s="5"/>
      <c r="O59" s="45"/>
      <c r="P59" s="5"/>
      <c r="Q59" s="24"/>
      <c r="R59" s="3"/>
      <c r="S59" s="3"/>
      <c r="T59" s="70">
        <f>SUM(T46:T58)</f>
        <v>74254.491200000004</v>
      </c>
      <c r="W59" s="29"/>
      <c r="X59" s="37"/>
      <c r="Y59" s="37"/>
    </row>
    <row r="60" spans="2:25" x14ac:dyDescent="0.25">
      <c r="B60" s="16" t="s">
        <v>38</v>
      </c>
      <c r="C60" s="17" t="s">
        <v>39</v>
      </c>
      <c r="D60" s="17" t="s">
        <v>40</v>
      </c>
      <c r="E60" s="18" t="s">
        <v>41</v>
      </c>
      <c r="F60" s="18"/>
      <c r="G60" s="16" t="s">
        <v>42</v>
      </c>
      <c r="H60" s="16" t="s">
        <v>43</v>
      </c>
      <c r="I60" s="17" t="s">
        <v>77</v>
      </c>
      <c r="J60" s="19" t="s">
        <v>44</v>
      </c>
      <c r="K60" s="17" t="s">
        <v>45</v>
      </c>
      <c r="L60" s="17" t="s">
        <v>46</v>
      </c>
      <c r="M60" s="17" t="s">
        <v>47</v>
      </c>
      <c r="N60" s="17" t="s">
        <v>48</v>
      </c>
      <c r="O60" s="43" t="s">
        <v>49</v>
      </c>
      <c r="P60" s="17" t="s">
        <v>50</v>
      </c>
      <c r="Q60" s="20" t="s">
        <v>160</v>
      </c>
      <c r="R60" s="17" t="s">
        <v>51</v>
      </c>
      <c r="S60" s="16" t="s">
        <v>52</v>
      </c>
      <c r="T60" s="21" t="s">
        <v>76</v>
      </c>
      <c r="U60" s="21" t="s">
        <v>75</v>
      </c>
      <c r="V60" s="53" t="s">
        <v>161</v>
      </c>
      <c r="W60" s="58"/>
      <c r="X60" s="36"/>
      <c r="Y60" s="36"/>
    </row>
    <row r="61" spans="2:25" ht="11.25" customHeight="1" x14ac:dyDescent="0.25">
      <c r="B61" s="1"/>
      <c r="C61" s="3" t="s">
        <v>379</v>
      </c>
      <c r="D61" s="3"/>
      <c r="E61" s="4"/>
      <c r="F61" s="4" t="s">
        <v>380</v>
      </c>
      <c r="G61" s="1"/>
      <c r="H61" s="1"/>
      <c r="I61" s="3"/>
      <c r="J61" s="8"/>
      <c r="K61" s="5"/>
      <c r="L61" s="23"/>
      <c r="M61" s="5"/>
      <c r="N61" s="5"/>
      <c r="O61" s="42"/>
      <c r="P61" s="5"/>
      <c r="Q61" s="24"/>
      <c r="R61" s="2"/>
      <c r="S61" s="3"/>
      <c r="T61" s="9"/>
      <c r="U61" s="9"/>
      <c r="V61" s="55"/>
      <c r="W61" s="1"/>
      <c r="X61" s="36"/>
      <c r="Y61" s="36"/>
    </row>
    <row r="62" spans="2:25" x14ac:dyDescent="0.25">
      <c r="B62" s="16" t="s">
        <v>38</v>
      </c>
      <c r="C62" s="17" t="s">
        <v>39</v>
      </c>
      <c r="D62" s="17" t="s">
        <v>40</v>
      </c>
      <c r="E62" s="18" t="s">
        <v>41</v>
      </c>
      <c r="F62" s="18"/>
      <c r="G62" s="16" t="s">
        <v>42</v>
      </c>
      <c r="H62" s="16" t="s">
        <v>43</v>
      </c>
      <c r="I62" s="17" t="s">
        <v>77</v>
      </c>
      <c r="J62" s="19" t="s">
        <v>44</v>
      </c>
      <c r="K62" s="17" t="s">
        <v>45</v>
      </c>
      <c r="L62" s="17" t="s">
        <v>46</v>
      </c>
      <c r="M62" s="17" t="s">
        <v>47</v>
      </c>
      <c r="N62" s="17" t="s">
        <v>48</v>
      </c>
      <c r="O62" s="43" t="s">
        <v>49</v>
      </c>
      <c r="P62" s="17" t="s">
        <v>50</v>
      </c>
      <c r="Q62" s="20" t="s">
        <v>160</v>
      </c>
      <c r="R62" s="17" t="s">
        <v>51</v>
      </c>
      <c r="S62" s="16" t="s">
        <v>52</v>
      </c>
      <c r="T62" s="21" t="s">
        <v>76</v>
      </c>
      <c r="U62" s="21" t="s">
        <v>75</v>
      </c>
      <c r="V62" s="53" t="s">
        <v>161</v>
      </c>
      <c r="W62" s="58">
        <f>+W12</f>
        <v>0</v>
      </c>
      <c r="X62" s="36"/>
      <c r="Y62" s="36"/>
    </row>
    <row r="63" spans="2:25" s="61" customFormat="1" x14ac:dyDescent="0.25">
      <c r="B63" s="1" t="s">
        <v>162</v>
      </c>
      <c r="C63" s="3" t="s">
        <v>123</v>
      </c>
      <c r="D63" s="3" t="s">
        <v>122</v>
      </c>
      <c r="E63" s="4">
        <v>36220</v>
      </c>
      <c r="F63" s="4">
        <v>36707</v>
      </c>
      <c r="G63" s="1" t="s">
        <v>126</v>
      </c>
      <c r="H63" s="1" t="s">
        <v>124</v>
      </c>
      <c r="I63" s="3" t="s">
        <v>125</v>
      </c>
      <c r="J63" s="8">
        <v>0.30330000000000001</v>
      </c>
      <c r="K63" s="5">
        <v>0</v>
      </c>
      <c r="L63" s="5">
        <v>2.2000000000000001E-3</v>
      </c>
      <c r="M63" s="5">
        <v>0</v>
      </c>
      <c r="N63" s="5">
        <v>0</v>
      </c>
      <c r="O63" s="42">
        <v>0</v>
      </c>
      <c r="P63" s="5">
        <f>SUM(J63:N63)</f>
        <v>0.30549999999999999</v>
      </c>
      <c r="Q63" s="24" t="s">
        <v>170</v>
      </c>
      <c r="R63" s="3">
        <v>0</v>
      </c>
      <c r="S63" s="1" t="s">
        <v>168</v>
      </c>
      <c r="T63" s="9">
        <f>J63*J$1*R63</f>
        <v>0</v>
      </c>
      <c r="U63" s="9"/>
      <c r="V63" s="55">
        <v>157260</v>
      </c>
      <c r="W63" s="1" t="s">
        <v>378</v>
      </c>
      <c r="X63" s="36"/>
      <c r="Y63" s="36"/>
    </row>
    <row r="64" spans="2:25" s="61" customFormat="1" x14ac:dyDescent="0.25">
      <c r="B64" s="1" t="s">
        <v>162</v>
      </c>
      <c r="C64" s="3" t="s">
        <v>123</v>
      </c>
      <c r="D64" s="3" t="s">
        <v>122</v>
      </c>
      <c r="E64" s="4">
        <v>36220</v>
      </c>
      <c r="F64" s="4">
        <v>36707</v>
      </c>
      <c r="G64" s="1" t="s">
        <v>127</v>
      </c>
      <c r="H64" s="1" t="s">
        <v>124</v>
      </c>
      <c r="I64" s="3" t="s">
        <v>125</v>
      </c>
      <c r="J64" s="8">
        <v>0.30330000000000001</v>
      </c>
      <c r="K64" s="5">
        <v>0</v>
      </c>
      <c r="L64" s="5">
        <v>2.2000000000000001E-3</v>
      </c>
      <c r="M64" s="5">
        <v>0</v>
      </c>
      <c r="N64" s="5">
        <v>0</v>
      </c>
      <c r="O64" s="42">
        <v>0</v>
      </c>
      <c r="P64" s="5">
        <f>SUM(J64:N64)</f>
        <v>0.30549999999999999</v>
      </c>
      <c r="Q64" s="24" t="s">
        <v>170</v>
      </c>
      <c r="R64" s="3">
        <v>0</v>
      </c>
      <c r="S64" s="1" t="s">
        <v>168</v>
      </c>
      <c r="T64" s="9">
        <f>J64*J$1*R64</f>
        <v>0</v>
      </c>
      <c r="U64" s="9"/>
      <c r="V64" s="55">
        <v>157260</v>
      </c>
      <c r="W64" s="1" t="s">
        <v>378</v>
      </c>
      <c r="X64" s="36"/>
      <c r="Y64" s="36"/>
    </row>
    <row r="65" spans="2:25" x14ac:dyDescent="0.25">
      <c r="B65" s="1"/>
      <c r="C65" s="3"/>
      <c r="D65" s="3"/>
      <c r="E65" s="4" t="s">
        <v>37</v>
      </c>
      <c r="F65" s="4"/>
      <c r="G65" s="1"/>
      <c r="H65" s="1"/>
      <c r="I65" s="3"/>
      <c r="J65" s="8"/>
      <c r="K65" s="5"/>
      <c r="L65" s="23"/>
      <c r="M65" s="5"/>
      <c r="N65" s="5"/>
      <c r="O65" s="42"/>
      <c r="P65" s="5"/>
      <c r="Q65" s="48"/>
      <c r="R65" s="49">
        <f>SUM(R63:R64)</f>
        <v>0</v>
      </c>
      <c r="S65" s="40"/>
      <c r="T65" s="39">
        <f>SUM(T63:T64)</f>
        <v>0</v>
      </c>
      <c r="U65" s="39"/>
      <c r="V65" s="56"/>
      <c r="W65" s="59"/>
      <c r="X65" s="35"/>
      <c r="Y65" s="35"/>
    </row>
    <row r="66" spans="2:25" ht="11.25" customHeight="1" x14ac:dyDescent="0.25">
      <c r="B66" s="16" t="s">
        <v>38</v>
      </c>
      <c r="C66" s="17" t="s">
        <v>39</v>
      </c>
      <c r="D66" s="17" t="s">
        <v>40</v>
      </c>
      <c r="E66" s="18" t="s">
        <v>41</v>
      </c>
      <c r="F66" s="18"/>
      <c r="G66" s="16" t="s">
        <v>42</v>
      </c>
      <c r="H66" s="16" t="s">
        <v>43</v>
      </c>
      <c r="I66" s="17" t="s">
        <v>77</v>
      </c>
      <c r="J66" s="19" t="s">
        <v>44</v>
      </c>
      <c r="K66" s="17" t="s">
        <v>45</v>
      </c>
      <c r="L66" s="17" t="s">
        <v>46</v>
      </c>
      <c r="M66" s="17" t="s">
        <v>47</v>
      </c>
      <c r="N66" s="17" t="s">
        <v>48</v>
      </c>
      <c r="O66" s="43" t="s">
        <v>49</v>
      </c>
      <c r="P66" s="17" t="s">
        <v>50</v>
      </c>
      <c r="Q66" s="20" t="s">
        <v>160</v>
      </c>
      <c r="R66" s="17" t="s">
        <v>51</v>
      </c>
      <c r="S66" s="16" t="s">
        <v>52</v>
      </c>
      <c r="T66" s="21" t="s">
        <v>76</v>
      </c>
      <c r="U66" s="21" t="s">
        <v>75</v>
      </c>
      <c r="V66" s="53" t="s">
        <v>161</v>
      </c>
      <c r="W66" s="58" t="e">
        <f>+#REF!</f>
        <v>#REF!</v>
      </c>
      <c r="X66" s="36"/>
      <c r="Y66" s="36"/>
    </row>
    <row r="67" spans="2:25" s="129" customFormat="1" x14ac:dyDescent="0.25">
      <c r="B67" s="118" t="s">
        <v>162</v>
      </c>
      <c r="C67" s="119" t="s">
        <v>35</v>
      </c>
      <c r="D67" s="119" t="s">
        <v>116</v>
      </c>
      <c r="E67" s="120">
        <v>36770</v>
      </c>
      <c r="F67" s="120">
        <v>37894</v>
      </c>
      <c r="G67" s="118" t="s">
        <v>60</v>
      </c>
      <c r="H67" s="121" t="s">
        <v>131</v>
      </c>
      <c r="I67" s="119" t="s">
        <v>128</v>
      </c>
      <c r="J67" s="122">
        <f>7.5654/J$1</f>
        <v>0.25218000000000002</v>
      </c>
      <c r="K67" s="123">
        <v>0</v>
      </c>
      <c r="L67" s="123">
        <v>2.2000000000000001E-3</v>
      </c>
      <c r="M67" s="123">
        <v>0</v>
      </c>
      <c r="N67" s="123">
        <v>0</v>
      </c>
      <c r="O67" s="124">
        <v>0</v>
      </c>
      <c r="P67" s="123">
        <f t="shared" ref="P67:P76" si="3">SUM(J67:N67)</f>
        <v>0.25438</v>
      </c>
      <c r="Q67" s="133">
        <v>3.6673</v>
      </c>
      <c r="R67" s="119">
        <v>764</v>
      </c>
      <c r="S67" s="118" t="s">
        <v>403</v>
      </c>
      <c r="T67" s="126">
        <f t="shared" ref="T67:T76" si="4">J67*J$1*R67</f>
        <v>5779.9656000000004</v>
      </c>
      <c r="U67" s="126"/>
      <c r="V67" s="127">
        <v>375520</v>
      </c>
      <c r="W67" s="118"/>
      <c r="X67" s="128"/>
      <c r="Y67" s="128"/>
    </row>
    <row r="68" spans="2:25" s="129" customFormat="1" x14ac:dyDescent="0.25">
      <c r="B68" s="118" t="s">
        <v>162</v>
      </c>
      <c r="C68" s="119" t="s">
        <v>35</v>
      </c>
      <c r="D68" s="119" t="s">
        <v>116</v>
      </c>
      <c r="E68" s="120">
        <v>36770</v>
      </c>
      <c r="F68" s="120">
        <v>37894</v>
      </c>
      <c r="G68" s="118" t="s">
        <v>129</v>
      </c>
      <c r="H68" s="121" t="s">
        <v>131</v>
      </c>
      <c r="I68" s="119" t="s">
        <v>128</v>
      </c>
      <c r="J68" s="122">
        <f>+J67</f>
        <v>0.25218000000000002</v>
      </c>
      <c r="K68" s="123">
        <v>0</v>
      </c>
      <c r="L68" s="123">
        <v>2.2000000000000001E-3</v>
      </c>
      <c r="M68" s="123">
        <v>0</v>
      </c>
      <c r="N68" s="123">
        <v>0</v>
      </c>
      <c r="O68" s="124">
        <v>0</v>
      </c>
      <c r="P68" s="123">
        <f t="shared" si="3"/>
        <v>0.25438</v>
      </c>
      <c r="Q68" s="133">
        <f>+Q67</f>
        <v>3.6673</v>
      </c>
      <c r="R68" s="119">
        <v>1123</v>
      </c>
      <c r="S68" s="118" t="str">
        <f>+S67</f>
        <v>#021351</v>
      </c>
      <c r="T68" s="126">
        <f t="shared" si="4"/>
        <v>8495.9441999999999</v>
      </c>
      <c r="U68" s="126"/>
      <c r="V68" s="127">
        <f>+V67</f>
        <v>375520</v>
      </c>
      <c r="W68" s="118"/>
      <c r="X68" s="128"/>
      <c r="Y68" s="128"/>
    </row>
    <row r="69" spans="2:25" s="129" customFormat="1" x14ac:dyDescent="0.25">
      <c r="B69" s="118" t="s">
        <v>162</v>
      </c>
      <c r="C69" s="119" t="s">
        <v>35</v>
      </c>
      <c r="D69" s="119" t="s">
        <v>116</v>
      </c>
      <c r="E69" s="120">
        <v>36770</v>
      </c>
      <c r="F69" s="120">
        <v>37894</v>
      </c>
      <c r="G69" s="118" t="s">
        <v>130</v>
      </c>
      <c r="H69" s="121" t="s">
        <v>131</v>
      </c>
      <c r="I69" s="119" t="s">
        <v>128</v>
      </c>
      <c r="J69" s="122">
        <f>+J68</f>
        <v>0.25218000000000002</v>
      </c>
      <c r="K69" s="123">
        <v>0</v>
      </c>
      <c r="L69" s="123">
        <v>2.2000000000000001E-3</v>
      </c>
      <c r="M69" s="123">
        <v>0</v>
      </c>
      <c r="N69" s="123">
        <v>0</v>
      </c>
      <c r="O69" s="124">
        <v>0</v>
      </c>
      <c r="P69" s="123">
        <f t="shared" si="3"/>
        <v>0.25438</v>
      </c>
      <c r="Q69" s="133">
        <f>+Q68</f>
        <v>3.6673</v>
      </c>
      <c r="R69" s="119">
        <f>853+1752</f>
        <v>2605</v>
      </c>
      <c r="S69" s="118" t="str">
        <f>+S68</f>
        <v>#021351</v>
      </c>
      <c r="T69" s="126">
        <f t="shared" si="4"/>
        <v>19707.867000000002</v>
      </c>
      <c r="U69" s="126"/>
      <c r="V69" s="127">
        <f>+V68</f>
        <v>375520</v>
      </c>
      <c r="W69" s="118"/>
      <c r="X69" s="128"/>
      <c r="Y69" s="128"/>
    </row>
    <row r="70" spans="2:25" s="129" customFormat="1" x14ac:dyDescent="0.25">
      <c r="B70" s="118" t="s">
        <v>162</v>
      </c>
      <c r="C70" s="119" t="s">
        <v>35</v>
      </c>
      <c r="D70" s="119" t="s">
        <v>116</v>
      </c>
      <c r="E70" s="120">
        <v>36770</v>
      </c>
      <c r="F70" s="120">
        <v>36799</v>
      </c>
      <c r="G70" s="118" t="s">
        <v>60</v>
      </c>
      <c r="H70" s="121" t="s">
        <v>131</v>
      </c>
      <c r="I70" s="119" t="s">
        <v>128</v>
      </c>
      <c r="J70" s="122">
        <f t="shared" ref="J70:J75" si="5">7.5654/J$1</f>
        <v>0.25218000000000002</v>
      </c>
      <c r="K70" s="123">
        <v>0</v>
      </c>
      <c r="L70" s="123">
        <v>2.2000000000000001E-3</v>
      </c>
      <c r="M70" s="123">
        <v>0</v>
      </c>
      <c r="N70" s="123">
        <v>0</v>
      </c>
      <c r="O70" s="124">
        <v>0</v>
      </c>
      <c r="P70" s="123">
        <f>SUM(J70:N70)</f>
        <v>0.25438</v>
      </c>
      <c r="Q70" s="133">
        <v>3.6751999999999998</v>
      </c>
      <c r="R70" s="134">
        <v>20</v>
      </c>
      <c r="S70" s="118" t="s">
        <v>408</v>
      </c>
      <c r="T70" s="126">
        <f>J70*J$1*R70</f>
        <v>151.30799999999999</v>
      </c>
      <c r="U70" s="126"/>
      <c r="V70" s="127">
        <v>379552</v>
      </c>
      <c r="W70" s="118"/>
      <c r="X70" s="128"/>
      <c r="Y70" s="128"/>
    </row>
    <row r="71" spans="2:25" s="129" customFormat="1" x14ac:dyDescent="0.25">
      <c r="B71" s="118" t="s">
        <v>162</v>
      </c>
      <c r="C71" s="119" t="s">
        <v>35</v>
      </c>
      <c r="D71" s="119" t="s">
        <v>116</v>
      </c>
      <c r="E71" s="120">
        <v>36770</v>
      </c>
      <c r="F71" s="120">
        <v>36799</v>
      </c>
      <c r="G71" s="118" t="s">
        <v>129</v>
      </c>
      <c r="H71" s="121" t="s">
        <v>131</v>
      </c>
      <c r="I71" s="119" t="s">
        <v>128</v>
      </c>
      <c r="J71" s="122">
        <f t="shared" si="5"/>
        <v>0.25218000000000002</v>
      </c>
      <c r="K71" s="123">
        <v>0</v>
      </c>
      <c r="L71" s="123">
        <v>2.2000000000000001E-3</v>
      </c>
      <c r="M71" s="123">
        <v>0</v>
      </c>
      <c r="N71" s="123">
        <v>0</v>
      </c>
      <c r="O71" s="124">
        <v>0</v>
      </c>
      <c r="P71" s="123">
        <f>SUM(J71:N71)</f>
        <v>0.25438</v>
      </c>
      <c r="Q71" s="133">
        <f>+Q70</f>
        <v>3.6751999999999998</v>
      </c>
      <c r="R71" s="119">
        <v>29</v>
      </c>
      <c r="S71" s="118" t="str">
        <f>+S70</f>
        <v>#021461</v>
      </c>
      <c r="T71" s="126">
        <f>J71*J$1*R71</f>
        <v>219.39660000000001</v>
      </c>
      <c r="U71" s="126"/>
      <c r="V71" s="127">
        <v>375532</v>
      </c>
      <c r="W71" s="118"/>
      <c r="X71" s="128"/>
      <c r="Y71" s="128"/>
    </row>
    <row r="72" spans="2:25" s="129" customFormat="1" x14ac:dyDescent="0.25">
      <c r="B72" s="118" t="s">
        <v>162</v>
      </c>
      <c r="C72" s="119" t="s">
        <v>35</v>
      </c>
      <c r="D72" s="119" t="s">
        <v>116</v>
      </c>
      <c r="E72" s="120">
        <v>36770</v>
      </c>
      <c r="F72" s="120">
        <v>36799</v>
      </c>
      <c r="G72" s="118" t="s">
        <v>130</v>
      </c>
      <c r="H72" s="121" t="s">
        <v>131</v>
      </c>
      <c r="I72" s="119" t="s">
        <v>128</v>
      </c>
      <c r="J72" s="122">
        <f t="shared" si="5"/>
        <v>0.25218000000000002</v>
      </c>
      <c r="K72" s="123">
        <v>0</v>
      </c>
      <c r="L72" s="123">
        <v>2.2000000000000001E-3</v>
      </c>
      <c r="M72" s="123">
        <v>0</v>
      </c>
      <c r="N72" s="123">
        <v>0</v>
      </c>
      <c r="O72" s="124">
        <v>0</v>
      </c>
      <c r="P72" s="123">
        <f>SUM(J72:N72)</f>
        <v>0.25438</v>
      </c>
      <c r="Q72" s="133">
        <f>+Q71</f>
        <v>3.6751999999999998</v>
      </c>
      <c r="R72" s="119">
        <f>22+45</f>
        <v>67</v>
      </c>
      <c r="S72" s="118" t="str">
        <f>+S71</f>
        <v>#021461</v>
      </c>
      <c r="T72" s="126">
        <f>J72*J$1*R72</f>
        <v>506.8818</v>
      </c>
      <c r="U72" s="126"/>
      <c r="V72" s="127">
        <v>375532</v>
      </c>
      <c r="W72" s="118"/>
      <c r="X72" s="128"/>
      <c r="Y72" s="128"/>
    </row>
    <row r="73" spans="2:25" s="129" customFormat="1" x14ac:dyDescent="0.25">
      <c r="B73" s="118" t="s">
        <v>162</v>
      </c>
      <c r="C73" s="119" t="s">
        <v>35</v>
      </c>
      <c r="D73" s="119" t="s">
        <v>116</v>
      </c>
      <c r="E73" s="120">
        <v>36770</v>
      </c>
      <c r="F73" s="120">
        <v>37864</v>
      </c>
      <c r="G73" s="118" t="s">
        <v>60</v>
      </c>
      <c r="H73" s="121" t="s">
        <v>131</v>
      </c>
      <c r="I73" s="119" t="s">
        <v>128</v>
      </c>
      <c r="J73" s="122">
        <f t="shared" si="5"/>
        <v>0.25218000000000002</v>
      </c>
      <c r="K73" s="123">
        <v>0</v>
      </c>
      <c r="L73" s="123">
        <v>2.2000000000000001E-3</v>
      </c>
      <c r="M73" s="123">
        <v>0</v>
      </c>
      <c r="N73" s="123">
        <v>0</v>
      </c>
      <c r="O73" s="124">
        <v>0</v>
      </c>
      <c r="P73" s="123">
        <f t="shared" si="3"/>
        <v>0.25438</v>
      </c>
      <c r="Q73" s="133">
        <v>3.6675</v>
      </c>
      <c r="R73" s="134">
        <v>46</v>
      </c>
      <c r="S73" s="118" t="s">
        <v>401</v>
      </c>
      <c r="T73" s="126">
        <f t="shared" si="4"/>
        <v>348.00839999999999</v>
      </c>
      <c r="U73" s="126"/>
      <c r="V73" s="127">
        <v>375532</v>
      </c>
      <c r="W73" s="118"/>
      <c r="X73" s="128"/>
      <c r="Y73" s="128"/>
    </row>
    <row r="74" spans="2:25" s="129" customFormat="1" x14ac:dyDescent="0.25">
      <c r="B74" s="118" t="s">
        <v>162</v>
      </c>
      <c r="C74" s="119" t="s">
        <v>35</v>
      </c>
      <c r="D74" s="119" t="s">
        <v>116</v>
      </c>
      <c r="E74" s="120">
        <v>36770</v>
      </c>
      <c r="F74" s="120">
        <v>37864</v>
      </c>
      <c r="G74" s="118" t="s">
        <v>129</v>
      </c>
      <c r="H74" s="121" t="s">
        <v>131</v>
      </c>
      <c r="I74" s="119" t="s">
        <v>128</v>
      </c>
      <c r="J74" s="122">
        <f t="shared" si="5"/>
        <v>0.25218000000000002</v>
      </c>
      <c r="K74" s="123">
        <v>0</v>
      </c>
      <c r="L74" s="123">
        <v>2.2000000000000001E-3</v>
      </c>
      <c r="M74" s="123">
        <v>0</v>
      </c>
      <c r="N74" s="123">
        <v>0</v>
      </c>
      <c r="O74" s="124">
        <v>0</v>
      </c>
      <c r="P74" s="123">
        <f t="shared" si="3"/>
        <v>0.25438</v>
      </c>
      <c r="Q74" s="133">
        <f>+Q73</f>
        <v>3.6675</v>
      </c>
      <c r="R74" s="119">
        <v>68</v>
      </c>
      <c r="S74" s="118" t="str">
        <f>+S73</f>
        <v>#021349</v>
      </c>
      <c r="T74" s="126">
        <f t="shared" si="4"/>
        <v>514.44720000000007</v>
      </c>
      <c r="U74" s="126"/>
      <c r="V74" s="127">
        <v>375532</v>
      </c>
      <c r="W74" s="118"/>
      <c r="X74" s="128"/>
      <c r="Y74" s="128"/>
    </row>
    <row r="75" spans="2:25" s="129" customFormat="1" x14ac:dyDescent="0.25">
      <c r="B75" s="118" t="s">
        <v>162</v>
      </c>
      <c r="C75" s="119" t="s">
        <v>35</v>
      </c>
      <c r="D75" s="119" t="s">
        <v>116</v>
      </c>
      <c r="E75" s="120">
        <v>36770</v>
      </c>
      <c r="F75" s="120">
        <v>37864</v>
      </c>
      <c r="G75" s="118" t="s">
        <v>130</v>
      </c>
      <c r="H75" s="121" t="s">
        <v>131</v>
      </c>
      <c r="I75" s="119" t="s">
        <v>128</v>
      </c>
      <c r="J75" s="122">
        <f t="shared" si="5"/>
        <v>0.25218000000000002</v>
      </c>
      <c r="K75" s="123">
        <v>0</v>
      </c>
      <c r="L75" s="123">
        <v>2.2000000000000001E-3</v>
      </c>
      <c r="M75" s="123">
        <v>0</v>
      </c>
      <c r="N75" s="123">
        <v>0</v>
      </c>
      <c r="O75" s="124">
        <v>0</v>
      </c>
      <c r="P75" s="123">
        <f t="shared" si="3"/>
        <v>0.25438</v>
      </c>
      <c r="Q75" s="133">
        <f>+Q74</f>
        <v>3.6675</v>
      </c>
      <c r="R75" s="119">
        <f>51+105</f>
        <v>156</v>
      </c>
      <c r="S75" s="118" t="str">
        <f>+S74</f>
        <v>#021349</v>
      </c>
      <c r="T75" s="126">
        <f t="shared" si="4"/>
        <v>1180.2024000000001</v>
      </c>
      <c r="U75" s="126"/>
      <c r="V75" s="127">
        <v>375532</v>
      </c>
      <c r="W75" s="118"/>
      <c r="X75" s="128"/>
      <c r="Y75" s="128"/>
    </row>
    <row r="76" spans="2:25" s="129" customFormat="1" x14ac:dyDescent="0.25">
      <c r="B76" s="118" t="s">
        <v>162</v>
      </c>
      <c r="C76" s="119" t="s">
        <v>35</v>
      </c>
      <c r="D76" s="119" t="s">
        <v>116</v>
      </c>
      <c r="E76" s="120">
        <v>36770</v>
      </c>
      <c r="F76" s="120">
        <v>37864</v>
      </c>
      <c r="G76" s="118" t="s">
        <v>132</v>
      </c>
      <c r="H76" s="121" t="s">
        <v>131</v>
      </c>
      <c r="I76" s="119" t="s">
        <v>133</v>
      </c>
      <c r="J76" s="122">
        <f>14.1875/30</f>
        <v>0.47291666666666665</v>
      </c>
      <c r="K76" s="123">
        <v>0</v>
      </c>
      <c r="L76" s="123">
        <v>2.2000000000000001E-3</v>
      </c>
      <c r="M76" s="123">
        <v>0</v>
      </c>
      <c r="N76" s="123">
        <v>0</v>
      </c>
      <c r="O76" s="124">
        <v>0</v>
      </c>
      <c r="P76" s="123">
        <f t="shared" si="3"/>
        <v>0.47511666666666663</v>
      </c>
      <c r="Q76" s="135">
        <v>3.6674000000000002</v>
      </c>
      <c r="R76" s="119">
        <v>3575</v>
      </c>
      <c r="S76" s="118" t="s">
        <v>402</v>
      </c>
      <c r="T76" s="126">
        <f t="shared" si="4"/>
        <v>50720.3125</v>
      </c>
      <c r="U76" s="126"/>
      <c r="V76" s="127">
        <v>375527</v>
      </c>
      <c r="W76" s="118"/>
      <c r="X76" s="128"/>
      <c r="Y76" s="128"/>
    </row>
    <row r="77" spans="2:25" s="129" customFormat="1" x14ac:dyDescent="0.25">
      <c r="B77" s="118" t="s">
        <v>162</v>
      </c>
      <c r="C77" s="119" t="s">
        <v>35</v>
      </c>
      <c r="D77" s="119" t="s">
        <v>116</v>
      </c>
      <c r="E77" s="120">
        <v>36770</v>
      </c>
      <c r="F77" s="120">
        <v>36799</v>
      </c>
      <c r="G77" s="118" t="s">
        <v>132</v>
      </c>
      <c r="H77" s="121" t="s">
        <v>131</v>
      </c>
      <c r="I77" s="119" t="s">
        <v>133</v>
      </c>
      <c r="J77" s="122">
        <f>14.1875/30</f>
        <v>0.47291666666666665</v>
      </c>
      <c r="K77" s="123">
        <v>0</v>
      </c>
      <c r="L77" s="123">
        <v>2.2000000000000001E-3</v>
      </c>
      <c r="M77" s="123">
        <v>0</v>
      </c>
      <c r="N77" s="123">
        <v>0</v>
      </c>
      <c r="O77" s="124">
        <v>0</v>
      </c>
      <c r="P77" s="123">
        <f t="shared" ref="P77:P88" si="6">SUM(J77:N77)</f>
        <v>0.47511666666666663</v>
      </c>
      <c r="Q77" s="135">
        <v>3.6751</v>
      </c>
      <c r="R77" s="119">
        <v>3575</v>
      </c>
      <c r="S77" s="118" t="s">
        <v>407</v>
      </c>
      <c r="T77" s="126">
        <f>J77*J$1*R77</f>
        <v>50720.3125</v>
      </c>
      <c r="U77" s="126"/>
      <c r="V77" s="127">
        <v>379349</v>
      </c>
      <c r="W77" s="118"/>
      <c r="X77" s="128"/>
      <c r="Y77" s="128"/>
    </row>
    <row r="78" spans="2:25" s="129" customFormat="1" x14ac:dyDescent="0.25">
      <c r="B78" s="118" t="s">
        <v>162</v>
      </c>
      <c r="C78" s="119" t="s">
        <v>35</v>
      </c>
      <c r="D78" s="119" t="s">
        <v>116</v>
      </c>
      <c r="E78" s="120">
        <v>36770</v>
      </c>
      <c r="F78" s="120">
        <v>36799</v>
      </c>
      <c r="G78" s="118" t="s">
        <v>60</v>
      </c>
      <c r="H78" s="121" t="s">
        <v>131</v>
      </c>
      <c r="I78" s="119" t="s">
        <v>128</v>
      </c>
      <c r="J78" s="122">
        <f>7.5654/J$1</f>
        <v>0.25218000000000002</v>
      </c>
      <c r="K78" s="123">
        <v>0</v>
      </c>
      <c r="L78" s="123">
        <v>2.2000000000000001E-3</v>
      </c>
      <c r="M78" s="123">
        <v>0</v>
      </c>
      <c r="N78" s="123">
        <v>0</v>
      </c>
      <c r="O78" s="124">
        <v>0</v>
      </c>
      <c r="P78" s="123">
        <f t="shared" si="6"/>
        <v>0.25438</v>
      </c>
      <c r="Q78" s="133">
        <v>3.6749999999999998</v>
      </c>
      <c r="R78" s="134">
        <v>327</v>
      </c>
      <c r="S78" s="118" t="s">
        <v>406</v>
      </c>
      <c r="T78" s="126">
        <f>J78*J$1*R78</f>
        <v>2473.8858</v>
      </c>
      <c r="U78" s="126"/>
      <c r="V78" s="127">
        <v>379308</v>
      </c>
      <c r="W78" s="118"/>
      <c r="X78" s="128"/>
      <c r="Y78" s="128"/>
    </row>
    <row r="79" spans="2:25" s="129" customFormat="1" x14ac:dyDescent="0.25">
      <c r="B79" s="118" t="s">
        <v>162</v>
      </c>
      <c r="C79" s="119" t="s">
        <v>35</v>
      </c>
      <c r="D79" s="119" t="s">
        <v>116</v>
      </c>
      <c r="E79" s="120">
        <v>36770</v>
      </c>
      <c r="F79" s="120">
        <v>36799</v>
      </c>
      <c r="G79" s="118" t="s">
        <v>129</v>
      </c>
      <c r="H79" s="121" t="s">
        <v>131</v>
      </c>
      <c r="I79" s="119" t="s">
        <v>128</v>
      </c>
      <c r="J79" s="122">
        <f>7.5654/J$1</f>
        <v>0.25218000000000002</v>
      </c>
      <c r="K79" s="123">
        <v>0</v>
      </c>
      <c r="L79" s="123">
        <v>2.2000000000000001E-3</v>
      </c>
      <c r="M79" s="123">
        <v>0</v>
      </c>
      <c r="N79" s="123">
        <v>0</v>
      </c>
      <c r="O79" s="124">
        <v>0</v>
      </c>
      <c r="P79" s="123">
        <f t="shared" si="6"/>
        <v>0.25438</v>
      </c>
      <c r="Q79" s="133">
        <f>+Q78</f>
        <v>3.6749999999999998</v>
      </c>
      <c r="R79" s="119">
        <v>481</v>
      </c>
      <c r="S79" s="118" t="str">
        <f>+S78</f>
        <v>#021463</v>
      </c>
      <c r="T79" s="126">
        <f>J79*J$1*R79</f>
        <v>3638.9574000000002</v>
      </c>
      <c r="U79" s="126"/>
      <c r="V79" s="127">
        <f>+V78</f>
        <v>379308</v>
      </c>
      <c r="W79" s="118"/>
      <c r="X79" s="128"/>
      <c r="Y79" s="128"/>
    </row>
    <row r="80" spans="2:25" s="129" customFormat="1" x14ac:dyDescent="0.25">
      <c r="B80" s="118" t="s">
        <v>162</v>
      </c>
      <c r="C80" s="119" t="s">
        <v>35</v>
      </c>
      <c r="D80" s="119" t="s">
        <v>116</v>
      </c>
      <c r="E80" s="120">
        <v>36770</v>
      </c>
      <c r="F80" s="120">
        <v>36799</v>
      </c>
      <c r="G80" s="118" t="s">
        <v>130</v>
      </c>
      <c r="H80" s="121" t="s">
        <v>131</v>
      </c>
      <c r="I80" s="119" t="s">
        <v>128</v>
      </c>
      <c r="J80" s="122">
        <f>7.5654/J$1</f>
        <v>0.25218000000000002</v>
      </c>
      <c r="K80" s="123">
        <v>0</v>
      </c>
      <c r="L80" s="123">
        <v>2.2000000000000001E-3</v>
      </c>
      <c r="M80" s="123">
        <v>0</v>
      </c>
      <c r="N80" s="123">
        <v>0</v>
      </c>
      <c r="O80" s="124">
        <v>0</v>
      </c>
      <c r="P80" s="123">
        <f t="shared" si="6"/>
        <v>0.25438</v>
      </c>
      <c r="Q80" s="133">
        <f>+Q79</f>
        <v>3.6749999999999998</v>
      </c>
      <c r="R80" s="119">
        <f>366+751</f>
        <v>1117</v>
      </c>
      <c r="S80" s="118" t="str">
        <f>+S79</f>
        <v>#021463</v>
      </c>
      <c r="T80" s="126">
        <f>J80*J$1*R80</f>
        <v>8450.5518000000011</v>
      </c>
      <c r="U80" s="126"/>
      <c r="V80" s="127">
        <f>+V79</f>
        <v>379308</v>
      </c>
      <c r="W80" s="118"/>
      <c r="X80" s="128"/>
      <c r="Y80" s="128"/>
    </row>
    <row r="81" spans="2:25" s="129" customFormat="1" x14ac:dyDescent="0.25">
      <c r="B81" s="118" t="s">
        <v>162</v>
      </c>
      <c r="C81" s="119" t="s">
        <v>35</v>
      </c>
      <c r="D81" s="119" t="s">
        <v>116</v>
      </c>
      <c r="E81" s="120">
        <v>36770</v>
      </c>
      <c r="F81" s="120">
        <v>36799</v>
      </c>
      <c r="G81" s="118" t="s">
        <v>137</v>
      </c>
      <c r="H81" s="121"/>
      <c r="I81" s="119" t="s">
        <v>136</v>
      </c>
      <c r="J81" s="122">
        <v>7.9000000000000008E-3</v>
      </c>
      <c r="K81" s="123">
        <v>0</v>
      </c>
      <c r="L81" s="123">
        <v>2.2000000000000001E-3</v>
      </c>
      <c r="M81" s="123">
        <v>0</v>
      </c>
      <c r="N81" s="123">
        <v>0</v>
      </c>
      <c r="O81" s="124">
        <v>0</v>
      </c>
      <c r="P81" s="123">
        <f t="shared" si="6"/>
        <v>1.0100000000000001E-2</v>
      </c>
      <c r="Q81" s="136"/>
      <c r="R81" s="119">
        <v>5687</v>
      </c>
      <c r="S81" s="118" t="s">
        <v>391</v>
      </c>
      <c r="T81" s="131">
        <f>+R81*J81</f>
        <v>44.927300000000002</v>
      </c>
      <c r="U81" s="126"/>
      <c r="V81" s="127">
        <v>384211</v>
      </c>
      <c r="W81" s="118"/>
      <c r="X81" s="128"/>
      <c r="Y81" s="128"/>
    </row>
    <row r="82" spans="2:25" s="129" customFormat="1" x14ac:dyDescent="0.25">
      <c r="B82" s="118" t="s">
        <v>162</v>
      </c>
      <c r="C82" s="119" t="s">
        <v>35</v>
      </c>
      <c r="D82" s="119" t="s">
        <v>116</v>
      </c>
      <c r="E82" s="120">
        <v>36770</v>
      </c>
      <c r="F82" s="120">
        <v>36799</v>
      </c>
      <c r="G82" s="118" t="s">
        <v>135</v>
      </c>
      <c r="H82" s="121"/>
      <c r="I82" s="119" t="s">
        <v>136</v>
      </c>
      <c r="J82" s="122">
        <v>0.6673</v>
      </c>
      <c r="K82" s="123">
        <v>0</v>
      </c>
      <c r="L82" s="123">
        <v>2.2000000000000001E-3</v>
      </c>
      <c r="M82" s="123">
        <v>0</v>
      </c>
      <c r="N82" s="123">
        <v>0</v>
      </c>
      <c r="O82" s="124">
        <v>0</v>
      </c>
      <c r="P82" s="123">
        <f t="shared" si="6"/>
        <v>0.66949999999999998</v>
      </c>
      <c r="Q82" s="136"/>
      <c r="R82" s="119">
        <v>565</v>
      </c>
      <c r="S82" s="118" t="s">
        <v>391</v>
      </c>
      <c r="T82" s="131">
        <f>+R82*J82</f>
        <v>377.02449999999999</v>
      </c>
      <c r="U82" s="126"/>
      <c r="V82" s="127">
        <v>384211</v>
      </c>
      <c r="W82" s="118"/>
      <c r="X82" s="128"/>
      <c r="Y82" s="128"/>
    </row>
    <row r="83" spans="2:25" s="129" customFormat="1" x14ac:dyDescent="0.25">
      <c r="B83" s="118" t="s">
        <v>162</v>
      </c>
      <c r="C83" s="119" t="s">
        <v>35</v>
      </c>
      <c r="D83" s="119" t="s">
        <v>116</v>
      </c>
      <c r="E83" s="120">
        <v>36770</v>
      </c>
      <c r="F83" s="120">
        <v>37864</v>
      </c>
      <c r="G83" s="118" t="s">
        <v>137</v>
      </c>
      <c r="H83" s="121"/>
      <c r="I83" s="119" t="s">
        <v>136</v>
      </c>
      <c r="J83" s="122">
        <v>7.9000000000000008E-3</v>
      </c>
      <c r="K83" s="123">
        <v>0</v>
      </c>
      <c r="L83" s="123">
        <v>2.2000000000000001E-3</v>
      </c>
      <c r="M83" s="123">
        <v>0</v>
      </c>
      <c r="N83" s="123">
        <v>0</v>
      </c>
      <c r="O83" s="124">
        <v>0</v>
      </c>
      <c r="P83" s="123">
        <f t="shared" si="6"/>
        <v>1.0100000000000001E-2</v>
      </c>
      <c r="Q83" s="133">
        <v>3.6686000000000001</v>
      </c>
      <c r="R83" s="119">
        <v>261182</v>
      </c>
      <c r="S83" s="118" t="s">
        <v>400</v>
      </c>
      <c r="T83" s="131">
        <f>+R83*J83</f>
        <v>2063.3378000000002</v>
      </c>
      <c r="U83" s="126"/>
      <c r="V83" s="127">
        <v>377146</v>
      </c>
      <c r="W83" s="118"/>
      <c r="X83" s="128"/>
      <c r="Y83" s="128"/>
    </row>
    <row r="84" spans="2:25" s="129" customFormat="1" x14ac:dyDescent="0.25">
      <c r="B84" s="118" t="s">
        <v>162</v>
      </c>
      <c r="C84" s="119" t="s">
        <v>35</v>
      </c>
      <c r="D84" s="119" t="s">
        <v>116</v>
      </c>
      <c r="E84" s="120">
        <v>36770</v>
      </c>
      <c r="F84" s="120">
        <v>37864</v>
      </c>
      <c r="G84" s="118" t="s">
        <v>135</v>
      </c>
      <c r="H84" s="121"/>
      <c r="I84" s="119" t="s">
        <v>136</v>
      </c>
      <c r="J84" s="122">
        <v>0.6673</v>
      </c>
      <c r="K84" s="123">
        <v>0</v>
      </c>
      <c r="L84" s="123">
        <v>2.2000000000000001E-3</v>
      </c>
      <c r="M84" s="123">
        <v>0</v>
      </c>
      <c r="N84" s="123">
        <v>0</v>
      </c>
      <c r="O84" s="124">
        <v>0</v>
      </c>
      <c r="P84" s="123">
        <f t="shared" si="6"/>
        <v>0.66949999999999998</v>
      </c>
      <c r="Q84" s="133">
        <v>3.6686000000000001</v>
      </c>
      <c r="R84" s="119">
        <v>3073</v>
      </c>
      <c r="S84" s="118" t="s">
        <v>400</v>
      </c>
      <c r="T84" s="131">
        <f>+R84*J84</f>
        <v>2050.6129000000001</v>
      </c>
      <c r="U84" s="126"/>
      <c r="V84" s="127">
        <v>377146</v>
      </c>
      <c r="W84" s="118"/>
      <c r="X84" s="128"/>
      <c r="Y84" s="128"/>
    </row>
    <row r="85" spans="2:25" s="129" customFormat="1" x14ac:dyDescent="0.25">
      <c r="B85" s="118" t="s">
        <v>162</v>
      </c>
      <c r="C85" s="119" t="s">
        <v>35</v>
      </c>
      <c r="D85" s="119" t="s">
        <v>116</v>
      </c>
      <c r="E85" s="120">
        <v>36770</v>
      </c>
      <c r="F85" s="120" t="s">
        <v>404</v>
      </c>
      <c r="G85" s="118" t="s">
        <v>138</v>
      </c>
      <c r="H85" s="121"/>
      <c r="I85" s="119" t="s">
        <v>140</v>
      </c>
      <c r="J85" s="122">
        <v>4.8099999999999997E-2</v>
      </c>
      <c r="K85" s="123">
        <v>0</v>
      </c>
      <c r="L85" s="123">
        <v>2.2000000000000001E-3</v>
      </c>
      <c r="M85" s="123">
        <v>0</v>
      </c>
      <c r="N85" s="123">
        <v>0</v>
      </c>
      <c r="O85" s="124">
        <v>0</v>
      </c>
      <c r="P85" s="123">
        <f t="shared" si="6"/>
        <v>5.0299999999999997E-2</v>
      </c>
      <c r="Q85" s="135">
        <v>3.6684999999999999</v>
      </c>
      <c r="R85" s="119">
        <v>13269</v>
      </c>
      <c r="S85" s="118" t="s">
        <v>405</v>
      </c>
      <c r="T85" s="131">
        <f>+J85*R85</f>
        <v>638.23889999999994</v>
      </c>
      <c r="U85" s="126"/>
      <c r="V85" s="127">
        <v>377157</v>
      </c>
      <c r="W85" s="118"/>
      <c r="X85" s="128"/>
      <c r="Y85" s="128"/>
    </row>
    <row r="86" spans="2:25" s="129" customFormat="1" x14ac:dyDescent="0.25">
      <c r="B86" s="118" t="s">
        <v>162</v>
      </c>
      <c r="C86" s="119" t="s">
        <v>35</v>
      </c>
      <c r="D86" s="119" t="s">
        <v>116</v>
      </c>
      <c r="E86" s="120">
        <v>36770</v>
      </c>
      <c r="F86" s="120" t="s">
        <v>404</v>
      </c>
      <c r="G86" s="118" t="s">
        <v>139</v>
      </c>
      <c r="H86" s="121"/>
      <c r="I86" s="119" t="s">
        <v>140</v>
      </c>
      <c r="J86" s="122">
        <v>0.48399999999999999</v>
      </c>
      <c r="K86" s="123">
        <v>0</v>
      </c>
      <c r="L86" s="123">
        <v>2.2000000000000001E-3</v>
      </c>
      <c r="M86" s="123">
        <v>0</v>
      </c>
      <c r="N86" s="123">
        <v>0</v>
      </c>
      <c r="O86" s="124">
        <v>0</v>
      </c>
      <c r="P86" s="123">
        <f t="shared" si="6"/>
        <v>0.48619999999999997</v>
      </c>
      <c r="Q86" s="135">
        <v>3.6684999999999999</v>
      </c>
      <c r="R86" s="119">
        <v>1319</v>
      </c>
      <c r="S86" s="118" t="s">
        <v>405</v>
      </c>
      <c r="T86" s="131">
        <f>+J86*R86</f>
        <v>638.39599999999996</v>
      </c>
      <c r="U86" s="126"/>
      <c r="V86" s="127">
        <v>377157</v>
      </c>
      <c r="W86" s="118"/>
      <c r="X86" s="128"/>
      <c r="Y86" s="128"/>
    </row>
    <row r="87" spans="2:25" s="61" customFormat="1" x14ac:dyDescent="0.25">
      <c r="B87" s="1" t="s">
        <v>162</v>
      </c>
      <c r="C87" s="3" t="s">
        <v>35</v>
      </c>
      <c r="D87" s="3" t="s">
        <v>116</v>
      </c>
      <c r="E87" s="4">
        <v>36739</v>
      </c>
      <c r="F87" s="4">
        <v>36769</v>
      </c>
      <c r="G87" s="1" t="s">
        <v>138</v>
      </c>
      <c r="H87" s="29"/>
      <c r="I87" s="3" t="s">
        <v>140</v>
      </c>
      <c r="J87" s="8">
        <v>4.8099999999999997E-2</v>
      </c>
      <c r="K87" s="5">
        <v>0</v>
      </c>
      <c r="L87" s="5">
        <v>2.2000000000000001E-3</v>
      </c>
      <c r="M87" s="5">
        <v>0</v>
      </c>
      <c r="N87" s="5">
        <v>0</v>
      </c>
      <c r="O87" s="42">
        <v>0</v>
      </c>
      <c r="P87" s="5">
        <f t="shared" si="6"/>
        <v>5.0299999999999997E-2</v>
      </c>
      <c r="Q87" s="137"/>
      <c r="R87" s="3">
        <v>18997</v>
      </c>
      <c r="S87" s="1" t="s">
        <v>0</v>
      </c>
      <c r="T87" s="107">
        <f>+J87*R87</f>
        <v>913.75569999999993</v>
      </c>
      <c r="U87" s="9"/>
      <c r="V87" s="55">
        <v>345192</v>
      </c>
      <c r="W87" s="1"/>
      <c r="X87" s="36"/>
      <c r="Y87" s="36"/>
    </row>
    <row r="88" spans="2:25" s="61" customFormat="1" x14ac:dyDescent="0.25">
      <c r="B88" s="1" t="s">
        <v>162</v>
      </c>
      <c r="C88" s="3" t="s">
        <v>35</v>
      </c>
      <c r="D88" s="3" t="s">
        <v>116</v>
      </c>
      <c r="E88" s="4">
        <v>36739</v>
      </c>
      <c r="F88" s="4">
        <v>36769</v>
      </c>
      <c r="G88" s="1" t="s">
        <v>139</v>
      </c>
      <c r="H88" s="29"/>
      <c r="I88" s="3" t="s">
        <v>140</v>
      </c>
      <c r="J88" s="8">
        <v>0.48399999999999999</v>
      </c>
      <c r="K88" s="5">
        <v>0</v>
      </c>
      <c r="L88" s="5">
        <v>2.2000000000000001E-3</v>
      </c>
      <c r="M88" s="5">
        <v>0</v>
      </c>
      <c r="N88" s="5">
        <v>0</v>
      </c>
      <c r="O88" s="42">
        <v>0</v>
      </c>
      <c r="P88" s="5">
        <f t="shared" si="6"/>
        <v>0.48619999999999997</v>
      </c>
      <c r="Q88" s="137"/>
      <c r="R88" s="3">
        <v>1888</v>
      </c>
      <c r="S88" s="1" t="s">
        <v>1</v>
      </c>
      <c r="T88" s="107">
        <f>+J88*R88</f>
        <v>913.79199999999992</v>
      </c>
      <c r="U88" s="9"/>
      <c r="V88" s="55">
        <v>345192</v>
      </c>
      <c r="W88" s="1"/>
      <c r="X88" s="36"/>
      <c r="Y88" s="36"/>
    </row>
    <row r="89" spans="2:25" x14ac:dyDescent="0.25">
      <c r="B89" s="27"/>
      <c r="C89" s="3"/>
      <c r="D89" s="3"/>
      <c r="E89" s="4"/>
      <c r="F89" s="4"/>
      <c r="G89" s="1"/>
      <c r="H89" s="1"/>
      <c r="I89" s="3"/>
      <c r="J89" s="8"/>
      <c r="K89" s="5"/>
      <c r="L89" s="5"/>
      <c r="M89" s="5"/>
      <c r="N89" s="5"/>
      <c r="O89" s="42"/>
      <c r="P89" s="5"/>
      <c r="Q89" s="48"/>
      <c r="R89" s="49"/>
      <c r="S89" s="28"/>
      <c r="T89" s="28">
        <f>SUM(T67:T88)</f>
        <v>160548.12630000006</v>
      </c>
      <c r="U89" s="28"/>
      <c r="V89" s="51"/>
      <c r="W89" s="57"/>
      <c r="X89" s="35"/>
      <c r="Y89" s="35"/>
    </row>
    <row r="90" spans="2:25" x14ac:dyDescent="0.25">
      <c r="B90" s="27"/>
      <c r="C90" s="3"/>
      <c r="D90" s="3"/>
      <c r="E90" s="4"/>
      <c r="F90" s="4"/>
      <c r="G90" s="1"/>
      <c r="H90" s="1"/>
      <c r="I90" s="3"/>
      <c r="J90" s="5"/>
      <c r="K90" s="5"/>
      <c r="L90" s="5"/>
      <c r="M90" s="5"/>
      <c r="N90" s="5"/>
      <c r="O90" s="42"/>
      <c r="P90" s="5"/>
      <c r="Q90" s="48"/>
      <c r="R90" s="49"/>
      <c r="S90" s="28"/>
      <c r="T90" s="28"/>
      <c r="U90" s="28"/>
      <c r="V90" s="51"/>
      <c r="W90" s="57"/>
      <c r="X90" s="35"/>
      <c r="Y90" s="35"/>
    </row>
    <row r="91" spans="2:25" x14ac:dyDescent="0.25">
      <c r="B91" s="27"/>
      <c r="C91" s="3"/>
      <c r="D91" s="3"/>
      <c r="E91" s="4"/>
      <c r="F91" s="4"/>
      <c r="G91" s="1"/>
      <c r="H91" s="1"/>
      <c r="I91" s="3"/>
      <c r="J91" s="8"/>
      <c r="K91" s="5"/>
      <c r="L91" s="5"/>
      <c r="M91" s="5"/>
      <c r="N91" s="5"/>
      <c r="O91" s="42"/>
      <c r="P91" s="5"/>
      <c r="Q91" s="48"/>
      <c r="R91" s="49"/>
      <c r="S91" s="28"/>
      <c r="T91" s="28"/>
      <c r="U91" s="28"/>
      <c r="V91" s="51"/>
      <c r="W91" s="57"/>
      <c r="X91" s="35"/>
      <c r="Y91" s="35"/>
    </row>
    <row r="92" spans="2:25" ht="13.8" thickBot="1" x14ac:dyDescent="0.3">
      <c r="B92" s="27"/>
      <c r="C92" s="3"/>
      <c r="D92" s="3"/>
      <c r="E92" s="4"/>
      <c r="F92" s="4"/>
      <c r="G92" s="1"/>
      <c r="H92" s="1"/>
      <c r="I92" s="3"/>
      <c r="J92" s="5"/>
      <c r="K92" s="5"/>
      <c r="L92" s="5"/>
      <c r="M92" s="5"/>
      <c r="N92" s="5"/>
      <c r="O92" s="42"/>
      <c r="P92" s="5"/>
      <c r="Q92" s="48"/>
      <c r="R92" s="49"/>
      <c r="S92" s="28"/>
      <c r="T92" s="83">
        <f>SUM(T89,T65,T61,T59,T44,T30)</f>
        <v>379697.24601225817</v>
      </c>
      <c r="U92" s="28" t="s">
        <v>175</v>
      </c>
      <c r="V92" s="51"/>
      <c r="W92" s="57"/>
      <c r="X92" s="35"/>
      <c r="Y92" s="35"/>
    </row>
    <row r="93" spans="2:25" ht="13.8" thickTop="1" x14ac:dyDescent="0.25">
      <c r="B93" s="27"/>
      <c r="C93" s="3"/>
      <c r="D93" s="3"/>
      <c r="E93" s="4"/>
      <c r="F93" s="4"/>
      <c r="G93" s="1"/>
      <c r="H93" s="1"/>
      <c r="I93" s="3"/>
      <c r="J93" s="5"/>
      <c r="K93" s="5"/>
      <c r="L93" s="5"/>
      <c r="M93" s="5"/>
      <c r="N93" s="5"/>
      <c r="O93" s="42"/>
      <c r="P93" s="5"/>
      <c r="Q93" s="48"/>
      <c r="R93" s="49"/>
      <c r="S93" s="28"/>
      <c r="T93" s="28"/>
      <c r="U93" s="57" t="s">
        <v>225</v>
      </c>
      <c r="V93" s="51"/>
      <c r="W93" s="57"/>
      <c r="X93" s="40"/>
      <c r="Y93" s="35"/>
    </row>
    <row r="94" spans="2:25" x14ac:dyDescent="0.25">
      <c r="B94" s="27"/>
      <c r="C94" s="3"/>
      <c r="D94" s="3"/>
      <c r="E94" s="4"/>
      <c r="F94" s="4"/>
      <c r="G94" s="1"/>
      <c r="H94" s="1"/>
      <c r="I94" s="3"/>
      <c r="J94" s="5"/>
      <c r="K94" s="5"/>
      <c r="L94" s="5"/>
      <c r="M94" s="5"/>
      <c r="N94" s="5"/>
      <c r="O94" s="42"/>
      <c r="P94" s="5"/>
      <c r="Q94" s="48"/>
      <c r="R94" s="49"/>
      <c r="S94" s="28"/>
      <c r="T94" s="28"/>
      <c r="U94" s="28"/>
      <c r="V94" s="51"/>
      <c r="W94" s="57"/>
      <c r="X94" s="35"/>
      <c r="Y94" s="35"/>
    </row>
    <row r="95" spans="2:25" x14ac:dyDescent="0.25">
      <c r="B95" s="27"/>
      <c r="C95" s="3"/>
      <c r="D95" s="3"/>
      <c r="E95" s="4"/>
      <c r="F95" s="4"/>
      <c r="G95" s="1"/>
      <c r="H95" s="1"/>
      <c r="I95" s="3"/>
      <c r="J95" s="5"/>
      <c r="K95" s="5"/>
      <c r="L95" s="5"/>
      <c r="M95" s="5"/>
      <c r="N95" s="5"/>
      <c r="O95" s="42"/>
      <c r="P95" s="5"/>
      <c r="Q95" s="48"/>
      <c r="R95" s="49"/>
      <c r="S95" s="28"/>
      <c r="T95" s="28"/>
      <c r="U95" s="28"/>
      <c r="V95" s="51"/>
      <c r="W95" s="57"/>
      <c r="X95" s="35"/>
      <c r="Y95" s="35"/>
    </row>
    <row r="96" spans="2:25" x14ac:dyDescent="0.25">
      <c r="B96" s="27"/>
      <c r="C96" s="3"/>
      <c r="D96" s="3"/>
      <c r="E96" s="36"/>
      <c r="F96" s="4"/>
      <c r="G96" s="1"/>
      <c r="H96" s="1"/>
      <c r="I96" s="3"/>
      <c r="J96" s="8"/>
      <c r="K96" s="5"/>
      <c r="L96" s="5"/>
      <c r="M96" s="5"/>
      <c r="N96" s="5"/>
      <c r="O96" s="42"/>
      <c r="P96" s="5"/>
      <c r="Q96" s="48"/>
      <c r="R96" s="49"/>
      <c r="S96" s="40"/>
      <c r="T96" s="28"/>
      <c r="U96" s="28"/>
      <c r="V96" s="51"/>
      <c r="W96" s="57"/>
      <c r="X96" s="35"/>
      <c r="Y96" s="35"/>
    </row>
    <row r="97" spans="2:25" x14ac:dyDescent="0.25">
      <c r="B97" s="27"/>
      <c r="C97" s="3"/>
      <c r="D97" s="3"/>
      <c r="E97" s="36"/>
      <c r="F97" s="4"/>
      <c r="G97" s="1"/>
      <c r="H97" s="1"/>
      <c r="I97" s="3"/>
      <c r="J97" s="8"/>
      <c r="K97" s="5"/>
      <c r="L97" s="5"/>
      <c r="M97" s="5"/>
      <c r="N97" s="5"/>
      <c r="O97" s="42"/>
      <c r="P97" s="5"/>
      <c r="Q97" s="48"/>
      <c r="R97" s="49"/>
      <c r="S97" s="40"/>
      <c r="T97" s="28"/>
      <c r="U97" s="28"/>
      <c r="V97" s="51"/>
      <c r="W97" s="57"/>
      <c r="X97" s="35"/>
      <c r="Y97" s="35"/>
    </row>
    <row r="98" spans="2:25" x14ac:dyDescent="0.25">
      <c r="E98" s="38"/>
      <c r="Q98" s="34"/>
      <c r="R98" s="34"/>
      <c r="S98" s="34"/>
      <c r="T98" s="34"/>
      <c r="U98" s="34"/>
      <c r="V98" s="50"/>
      <c r="W98" s="60"/>
      <c r="X98" s="50"/>
    </row>
    <row r="99" spans="2:25" x14ac:dyDescent="0.25">
      <c r="E99" s="38"/>
      <c r="Q99" s="34"/>
      <c r="R99" s="34"/>
      <c r="S99" s="34"/>
      <c r="T99" s="34"/>
      <c r="U99" s="34"/>
      <c r="V99" s="50"/>
      <c r="W99" s="60"/>
      <c r="X99" s="50"/>
    </row>
    <row r="100" spans="2:25" x14ac:dyDescent="0.25">
      <c r="E100" s="38"/>
    </row>
    <row r="101" spans="2:25" x14ac:dyDescent="0.25">
      <c r="E101" s="38"/>
    </row>
    <row r="102" spans="2:25" x14ac:dyDescent="0.25">
      <c r="E102" s="38"/>
    </row>
  </sheetData>
  <pageMargins left="0.75" right="0.75" top="1" bottom="1" header="0.5" footer="0.5"/>
  <pageSetup scale="33" fitToHeight="3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81"/>
  <sheetViews>
    <sheetView topLeftCell="A31" workbookViewId="0">
      <selection activeCell="A36" sqref="A36"/>
    </sheetView>
  </sheetViews>
  <sheetFormatPr defaultColWidth="9.109375" defaultRowHeight="13.2" x14ac:dyDescent="0.25"/>
  <cols>
    <col min="1" max="1" width="9.109375" style="25"/>
    <col min="2" max="2" width="10" style="25" customWidth="1"/>
    <col min="3" max="3" width="9.109375" style="25"/>
    <col min="4" max="4" width="10.5546875" style="25" customWidth="1"/>
    <col min="5" max="5" width="9.33203125" style="25" customWidth="1"/>
    <col min="6" max="6" width="9.5546875" style="25" customWidth="1"/>
    <col min="7" max="7" width="12.44140625" style="27" customWidth="1"/>
    <col min="8" max="8" width="16.44140625" style="27" customWidth="1"/>
    <col min="9" max="9" width="16.5546875" style="25" customWidth="1"/>
    <col min="10" max="10" width="7.6640625" style="25" customWidth="1"/>
    <col min="11" max="14" width="0" style="25" hidden="1" customWidth="1"/>
    <col min="15" max="15" width="0" style="46" hidden="1" customWidth="1"/>
    <col min="16" max="16" width="0" style="25" hidden="1" customWidth="1"/>
    <col min="17" max="17" width="14.33203125" style="25" customWidth="1"/>
    <col min="18" max="18" width="10.88671875" style="25" customWidth="1"/>
    <col min="19" max="19" width="12.33203125" style="25" customWidth="1"/>
    <col min="20" max="20" width="10.6640625" style="25" customWidth="1"/>
    <col min="21" max="21" width="11.88671875" style="25" customWidth="1"/>
    <col min="22" max="22" width="14.88671875" style="38" customWidth="1"/>
    <col min="23" max="23" width="42.33203125" style="27" customWidth="1"/>
    <col min="24" max="25" width="9.109375" style="38"/>
    <col min="26" max="26" width="12.44140625" style="25" customWidth="1"/>
    <col min="27" max="16384" width="9.109375" style="25"/>
  </cols>
  <sheetData>
    <row r="1" spans="2:25" x14ac:dyDescent="0.25">
      <c r="B1" s="41" t="s">
        <v>388</v>
      </c>
      <c r="C1" s="3"/>
      <c r="D1" s="3"/>
      <c r="E1" s="4"/>
      <c r="F1" s="4"/>
      <c r="G1" s="1"/>
      <c r="H1" s="1"/>
      <c r="I1" s="3" t="s">
        <v>53</v>
      </c>
      <c r="J1" s="7">
        <v>30</v>
      </c>
      <c r="K1" s="47" t="s">
        <v>66</v>
      </c>
      <c r="L1" s="5"/>
      <c r="M1" s="5"/>
      <c r="N1" s="5"/>
      <c r="O1" s="42"/>
      <c r="P1" s="5"/>
      <c r="Q1" s="24"/>
      <c r="R1" s="2"/>
      <c r="S1" s="28"/>
      <c r="T1" s="28"/>
      <c r="U1" s="28"/>
      <c r="V1" s="51"/>
      <c r="W1" s="57"/>
      <c r="X1" s="35"/>
      <c r="Y1" s="35"/>
    </row>
    <row r="2" spans="2:25" x14ac:dyDescent="0.25">
      <c r="B2" s="1" t="s">
        <v>61</v>
      </c>
      <c r="C2" s="1"/>
      <c r="D2" s="1"/>
      <c r="E2" s="4"/>
      <c r="F2" s="4"/>
      <c r="G2" s="1"/>
      <c r="H2" s="1"/>
      <c r="I2" s="3"/>
      <c r="J2" s="7"/>
      <c r="K2" s="47" t="s">
        <v>67</v>
      </c>
      <c r="L2" s="5"/>
      <c r="M2" s="5"/>
      <c r="N2" s="5"/>
      <c r="O2" s="42"/>
      <c r="P2" s="5"/>
      <c r="Q2" s="24"/>
      <c r="R2" s="2"/>
      <c r="S2" s="28"/>
      <c r="T2" s="28"/>
      <c r="U2" s="28"/>
      <c r="V2" s="51"/>
      <c r="W2" s="57"/>
      <c r="X2" s="35"/>
      <c r="Y2" s="35"/>
    </row>
    <row r="3" spans="2:25" x14ac:dyDescent="0.25">
      <c r="B3" s="1" t="s">
        <v>62</v>
      </c>
      <c r="C3" s="1"/>
      <c r="D3" s="1"/>
      <c r="E3" s="4"/>
      <c r="F3" s="4"/>
      <c r="G3" s="6" t="s">
        <v>37</v>
      </c>
      <c r="H3" s="1" t="s">
        <v>37</v>
      </c>
      <c r="I3" s="2" t="s">
        <v>37</v>
      </c>
      <c r="J3" s="8"/>
      <c r="K3" s="31" t="s">
        <v>37</v>
      </c>
      <c r="L3" s="5"/>
      <c r="M3" s="31" t="s">
        <v>37</v>
      </c>
      <c r="N3" s="5"/>
      <c r="O3" s="42"/>
      <c r="P3" s="31" t="s">
        <v>37</v>
      </c>
      <c r="Q3" s="24"/>
      <c r="R3" s="2"/>
      <c r="S3" s="28"/>
      <c r="T3" s="28"/>
      <c r="U3" s="28"/>
      <c r="V3" s="51"/>
      <c r="W3" s="57"/>
      <c r="X3" s="35"/>
      <c r="Y3" s="35"/>
    </row>
    <row r="4" spans="2:25" x14ac:dyDescent="0.25">
      <c r="B4" s="1"/>
      <c r="C4" s="3"/>
      <c r="D4" s="3"/>
      <c r="E4" s="4"/>
      <c r="F4" s="4"/>
      <c r="G4" s="32"/>
      <c r="H4" s="1"/>
      <c r="I4" s="32"/>
      <c r="J4" s="8"/>
      <c r="K4" s="32"/>
      <c r="L4" s="5"/>
      <c r="M4" s="32"/>
      <c r="N4" s="2"/>
      <c r="O4" s="42"/>
      <c r="P4" s="2"/>
      <c r="Q4" s="24"/>
      <c r="R4" s="2"/>
      <c r="S4" s="28"/>
      <c r="T4" s="33"/>
      <c r="U4" s="33"/>
      <c r="V4" s="52"/>
      <c r="W4" s="57"/>
      <c r="X4" s="35"/>
      <c r="Y4" s="35"/>
    </row>
    <row r="5" spans="2:25" x14ac:dyDescent="0.25">
      <c r="B5" s="1" t="s">
        <v>68</v>
      </c>
      <c r="C5" s="3"/>
      <c r="D5" s="1"/>
      <c r="E5" s="4"/>
      <c r="F5" s="4"/>
      <c r="G5" s="32"/>
      <c r="H5" s="1"/>
      <c r="I5" s="32"/>
      <c r="J5" s="8"/>
      <c r="K5" s="32"/>
      <c r="L5" s="5"/>
      <c r="M5" s="32"/>
      <c r="N5" s="2"/>
      <c r="O5" s="42"/>
      <c r="P5" s="2"/>
      <c r="Q5" s="24"/>
      <c r="R5" s="2"/>
      <c r="S5" s="28"/>
      <c r="T5" s="33"/>
      <c r="U5" s="33"/>
      <c r="V5" s="52"/>
      <c r="W5" s="57"/>
      <c r="X5" s="35"/>
      <c r="Y5" s="35"/>
    </row>
    <row r="6" spans="2:25" x14ac:dyDescent="0.25">
      <c r="B6" s="1"/>
      <c r="C6" s="3" t="s">
        <v>163</v>
      </c>
      <c r="D6" s="3"/>
      <c r="E6" s="4"/>
      <c r="F6" s="4"/>
      <c r="G6" s="32"/>
      <c r="H6" s="1"/>
      <c r="I6" s="32"/>
      <c r="J6" s="8"/>
      <c r="K6" s="32"/>
      <c r="L6" s="5"/>
      <c r="M6" s="32"/>
      <c r="N6" s="2"/>
      <c r="O6" s="42"/>
      <c r="P6" s="2"/>
      <c r="Q6" s="24"/>
      <c r="R6" s="2"/>
      <c r="S6" s="28"/>
      <c r="T6" s="33"/>
      <c r="U6" s="33"/>
      <c r="V6" s="52"/>
      <c r="W6" s="57"/>
      <c r="X6" s="35"/>
      <c r="Y6" s="35"/>
    </row>
    <row r="7" spans="2:25" x14ac:dyDescent="0.25">
      <c r="B7" s="1"/>
      <c r="C7" s="3"/>
      <c r="D7" s="3"/>
      <c r="E7" s="4"/>
      <c r="F7" s="4"/>
      <c r="G7" s="32"/>
      <c r="H7" s="1"/>
      <c r="I7" s="32"/>
      <c r="J7" s="8"/>
      <c r="K7" s="32"/>
      <c r="L7" s="5"/>
      <c r="M7" s="32"/>
      <c r="N7" s="2"/>
      <c r="O7" s="42"/>
      <c r="P7" s="2"/>
      <c r="Q7" s="24"/>
      <c r="R7" s="2"/>
      <c r="S7" s="28"/>
      <c r="T7" s="33"/>
      <c r="U7" s="33"/>
      <c r="V7" s="52"/>
      <c r="W7" s="57"/>
      <c r="X7" s="35"/>
      <c r="Y7" s="35"/>
    </row>
    <row r="8" spans="2:25" x14ac:dyDescent="0.25">
      <c r="B8" s="1"/>
      <c r="C8" s="3"/>
      <c r="D8" s="3"/>
      <c r="E8" s="4"/>
      <c r="F8" s="4"/>
      <c r="G8" s="32"/>
      <c r="H8" s="1"/>
      <c r="I8" s="32"/>
      <c r="J8" s="8"/>
      <c r="K8" s="32"/>
      <c r="L8" s="5"/>
      <c r="M8" s="32"/>
      <c r="N8" s="2"/>
      <c r="O8" s="42"/>
      <c r="P8" s="2"/>
      <c r="Q8" s="24"/>
      <c r="R8" s="2"/>
      <c r="S8" s="28"/>
      <c r="T8" s="33"/>
      <c r="U8" s="33"/>
      <c r="V8" s="52"/>
      <c r="W8" s="57"/>
      <c r="X8" s="35"/>
      <c r="Y8" s="35"/>
    </row>
    <row r="9" spans="2:25" x14ac:dyDescent="0.25">
      <c r="B9" s="1"/>
      <c r="C9" s="3"/>
      <c r="D9" s="3"/>
      <c r="E9" s="4"/>
      <c r="F9" s="4"/>
      <c r="G9" s="32"/>
      <c r="H9" s="1"/>
      <c r="I9" s="32"/>
      <c r="J9" s="8"/>
      <c r="K9" s="32"/>
      <c r="L9" s="5"/>
      <c r="M9" s="32"/>
      <c r="N9" s="2"/>
      <c r="O9" s="42"/>
      <c r="P9" s="2"/>
      <c r="Q9" s="24"/>
      <c r="R9" s="2"/>
      <c r="S9" s="28"/>
      <c r="T9" s="33"/>
      <c r="U9" s="33"/>
      <c r="V9" s="52"/>
      <c r="W9" s="57"/>
      <c r="X9" s="35"/>
      <c r="Y9" s="35"/>
    </row>
    <row r="10" spans="2:25" x14ac:dyDescent="0.25">
      <c r="B10" s="1"/>
      <c r="C10" s="3"/>
      <c r="D10" s="3"/>
      <c r="E10" s="4"/>
      <c r="F10" s="4"/>
      <c r="G10" s="32"/>
      <c r="H10" s="1"/>
      <c r="I10" s="32"/>
      <c r="J10" s="8"/>
      <c r="K10" s="32"/>
      <c r="L10" s="5"/>
      <c r="M10" s="32"/>
      <c r="N10" s="2"/>
      <c r="O10" s="42"/>
      <c r="P10" s="2"/>
      <c r="Q10" s="24"/>
      <c r="R10" s="2"/>
      <c r="S10" s="28"/>
      <c r="T10" s="33"/>
      <c r="U10" s="33"/>
      <c r="V10" s="52"/>
      <c r="W10" s="57"/>
      <c r="X10" s="35"/>
      <c r="Y10" s="35"/>
    </row>
    <row r="11" spans="2:25" x14ac:dyDescent="0.25">
      <c r="B11" s="16" t="s">
        <v>38</v>
      </c>
      <c r="C11" s="17" t="s">
        <v>39</v>
      </c>
      <c r="D11" s="17" t="s">
        <v>105</v>
      </c>
      <c r="E11" s="18" t="s">
        <v>41</v>
      </c>
      <c r="F11" s="18"/>
      <c r="G11" s="16" t="s">
        <v>42</v>
      </c>
      <c r="H11" s="16" t="s">
        <v>43</v>
      </c>
      <c r="I11" s="17" t="s">
        <v>77</v>
      </c>
      <c r="J11" s="19" t="s">
        <v>44</v>
      </c>
      <c r="K11" s="17" t="s">
        <v>45</v>
      </c>
      <c r="L11" s="17" t="s">
        <v>46</v>
      </c>
      <c r="M11" s="17" t="s">
        <v>47</v>
      </c>
      <c r="N11" s="17" t="s">
        <v>48</v>
      </c>
      <c r="O11" s="43" t="s">
        <v>49</v>
      </c>
      <c r="P11" s="17" t="s">
        <v>50</v>
      </c>
      <c r="Q11" s="20" t="s">
        <v>160</v>
      </c>
      <c r="R11" s="17" t="s">
        <v>51</v>
      </c>
      <c r="S11" s="16" t="s">
        <v>52</v>
      </c>
      <c r="T11" s="21" t="s">
        <v>76</v>
      </c>
      <c r="U11" s="21" t="s">
        <v>75</v>
      </c>
      <c r="V11" s="53" t="s">
        <v>161</v>
      </c>
      <c r="W11" s="58" t="s">
        <v>69</v>
      </c>
      <c r="X11" s="36"/>
      <c r="Y11" s="36"/>
    </row>
    <row r="12" spans="2:25" x14ac:dyDescent="0.25">
      <c r="B12" s="16" t="s">
        <v>38</v>
      </c>
      <c r="C12" s="17" t="s">
        <v>39</v>
      </c>
      <c r="D12" s="17" t="s">
        <v>105</v>
      </c>
      <c r="E12" s="18" t="s">
        <v>41</v>
      </c>
      <c r="F12" s="18"/>
      <c r="G12" s="16" t="s">
        <v>42</v>
      </c>
      <c r="H12" s="16" t="s">
        <v>43</v>
      </c>
      <c r="I12" s="17" t="s">
        <v>77</v>
      </c>
      <c r="J12" s="19" t="s">
        <v>44</v>
      </c>
      <c r="K12" s="17" t="s">
        <v>45</v>
      </c>
      <c r="L12" s="17" t="s">
        <v>46</v>
      </c>
      <c r="M12" s="17" t="s">
        <v>47</v>
      </c>
      <c r="N12" s="17" t="s">
        <v>48</v>
      </c>
      <c r="O12" s="43" t="s">
        <v>49</v>
      </c>
      <c r="P12" s="17" t="s">
        <v>50</v>
      </c>
      <c r="Q12" s="20" t="s">
        <v>160</v>
      </c>
      <c r="R12" s="17" t="s">
        <v>51</v>
      </c>
      <c r="S12" s="16" t="s">
        <v>52</v>
      </c>
      <c r="T12" s="21" t="s">
        <v>76</v>
      </c>
      <c r="U12" s="21" t="s">
        <v>75</v>
      </c>
      <c r="V12" s="53" t="s">
        <v>161</v>
      </c>
      <c r="W12" s="58" t="s">
        <v>69</v>
      </c>
      <c r="X12" s="36"/>
      <c r="Y12" s="36"/>
    </row>
    <row r="13" spans="2:25" s="129" customFormat="1" x14ac:dyDescent="0.25">
      <c r="B13" s="118" t="s">
        <v>162</v>
      </c>
      <c r="C13" s="119" t="s">
        <v>56</v>
      </c>
      <c r="D13" s="119" t="s">
        <v>116</v>
      </c>
      <c r="E13" s="120">
        <v>36770</v>
      </c>
      <c r="F13" s="120">
        <v>36981</v>
      </c>
      <c r="G13" s="130">
        <v>10001</v>
      </c>
      <c r="H13" s="130">
        <v>10001</v>
      </c>
      <c r="I13" s="119" t="s">
        <v>106</v>
      </c>
      <c r="J13" s="122">
        <v>1.37E-2</v>
      </c>
      <c r="K13" s="123"/>
      <c r="L13" s="123"/>
      <c r="M13" s="123"/>
      <c r="N13" s="123"/>
      <c r="O13" s="124"/>
      <c r="P13" s="123"/>
      <c r="Q13" s="125">
        <v>530750</v>
      </c>
      <c r="R13" s="119">
        <v>9374</v>
      </c>
      <c r="S13" s="118" t="s">
        <v>390</v>
      </c>
      <c r="T13" s="126">
        <f>J13*1*R13</f>
        <v>128.4238</v>
      </c>
      <c r="U13" s="126"/>
      <c r="V13" s="127">
        <v>384260</v>
      </c>
      <c r="W13" s="118"/>
      <c r="X13" s="128"/>
      <c r="Y13" s="128"/>
    </row>
    <row r="14" spans="2:25" s="129" customFormat="1" x14ac:dyDescent="0.25">
      <c r="B14" s="118" t="s">
        <v>162</v>
      </c>
      <c r="C14" s="119" t="s">
        <v>56</v>
      </c>
      <c r="D14" s="119" t="s">
        <v>116</v>
      </c>
      <c r="E14" s="120">
        <v>36770</v>
      </c>
      <c r="F14" s="120">
        <v>36981</v>
      </c>
      <c r="G14" s="130">
        <v>10002</v>
      </c>
      <c r="H14" s="130">
        <v>10002</v>
      </c>
      <c r="I14" s="119" t="s">
        <v>106</v>
      </c>
      <c r="J14" s="122">
        <v>1.0137</v>
      </c>
      <c r="K14" s="123"/>
      <c r="L14" s="123"/>
      <c r="M14" s="123"/>
      <c r="N14" s="123"/>
      <c r="O14" s="124"/>
      <c r="P14" s="123"/>
      <c r="Q14" s="125">
        <v>530750</v>
      </c>
      <c r="R14" s="119">
        <v>153</v>
      </c>
      <c r="S14" s="118" t="s">
        <v>390</v>
      </c>
      <c r="T14" s="126">
        <f>J14*1*R14</f>
        <v>155.09610000000001</v>
      </c>
      <c r="U14" s="126"/>
      <c r="V14" s="127">
        <v>384260</v>
      </c>
      <c r="W14" s="118"/>
      <c r="X14" s="128"/>
      <c r="Y14" s="128"/>
    </row>
    <row r="15" spans="2:25" s="129" customFormat="1" x14ac:dyDescent="0.25">
      <c r="B15" s="118" t="s">
        <v>162</v>
      </c>
      <c r="C15" s="119" t="s">
        <v>56</v>
      </c>
      <c r="D15" s="119" t="s">
        <v>116</v>
      </c>
      <c r="E15" s="120">
        <v>36770</v>
      </c>
      <c r="F15" s="120">
        <v>36799</v>
      </c>
      <c r="G15" s="130">
        <v>10001</v>
      </c>
      <c r="H15" s="130">
        <v>10001</v>
      </c>
      <c r="I15" s="119" t="s">
        <v>106</v>
      </c>
      <c r="J15" s="122">
        <v>1.8372999999999999</v>
      </c>
      <c r="K15" s="123"/>
      <c r="L15" s="123"/>
      <c r="M15" s="123"/>
      <c r="N15" s="123"/>
      <c r="O15" s="124"/>
      <c r="P15" s="123"/>
      <c r="Q15" s="125">
        <v>530769</v>
      </c>
      <c r="R15" s="119">
        <v>66</v>
      </c>
      <c r="S15" s="118" t="s">
        <v>389</v>
      </c>
      <c r="T15" s="126">
        <f>J15*1*R15</f>
        <v>121.26179999999999</v>
      </c>
      <c r="U15" s="126"/>
      <c r="V15" s="127">
        <v>384234</v>
      </c>
      <c r="W15" s="118"/>
      <c r="X15" s="128"/>
      <c r="Y15" s="128"/>
    </row>
    <row r="16" spans="2:25" s="129" customFormat="1" x14ac:dyDescent="0.25">
      <c r="B16" s="118" t="s">
        <v>162</v>
      </c>
      <c r="C16" s="119" t="s">
        <v>56</v>
      </c>
      <c r="D16" s="119" t="s">
        <v>116</v>
      </c>
      <c r="E16" s="120">
        <v>36770</v>
      </c>
      <c r="F16" s="120">
        <v>36799</v>
      </c>
      <c r="G16" s="130">
        <v>10001</v>
      </c>
      <c r="H16" s="130">
        <v>10001</v>
      </c>
      <c r="I16" s="119" t="s">
        <v>106</v>
      </c>
      <c r="J16" s="122">
        <v>1.37E-2</v>
      </c>
      <c r="K16" s="123"/>
      <c r="L16" s="123"/>
      <c r="M16" s="123"/>
      <c r="N16" s="123"/>
      <c r="O16" s="124"/>
      <c r="P16" s="123"/>
      <c r="Q16" s="125">
        <v>530769</v>
      </c>
      <c r="R16" s="119">
        <v>4018</v>
      </c>
      <c r="S16" s="118" t="s">
        <v>389</v>
      </c>
      <c r="T16" s="126">
        <f>J16*1*R16</f>
        <v>55.046599999999998</v>
      </c>
      <c r="U16" s="126"/>
      <c r="V16" s="127">
        <v>384234</v>
      </c>
      <c r="W16" s="118"/>
      <c r="X16" s="128"/>
      <c r="Y16" s="128"/>
    </row>
    <row r="17" spans="2:25" x14ac:dyDescent="0.25">
      <c r="B17" s="10" t="s">
        <v>37</v>
      </c>
      <c r="C17" s="11" t="s">
        <v>37</v>
      </c>
      <c r="D17" s="12" t="s">
        <v>37</v>
      </c>
      <c r="E17" s="13" t="s">
        <v>37</v>
      </c>
      <c r="F17" s="13"/>
      <c r="G17" s="10" t="s">
        <v>37</v>
      </c>
      <c r="H17" s="30" t="s">
        <v>37</v>
      </c>
      <c r="I17" s="11" t="s">
        <v>37</v>
      </c>
      <c r="J17" s="14"/>
      <c r="K17" s="15"/>
      <c r="L17" s="15"/>
      <c r="M17" s="15"/>
      <c r="N17" s="15"/>
      <c r="O17" s="44"/>
      <c r="P17" s="15"/>
      <c r="Q17" s="26" t="s">
        <v>37</v>
      </c>
      <c r="R17" s="11">
        <f>SUM(R13:R16)</f>
        <v>13611</v>
      </c>
      <c r="S17" s="10" t="s">
        <v>37</v>
      </c>
      <c r="T17" s="22">
        <f>SUM(T13:T16)</f>
        <v>459.82830000000001</v>
      </c>
      <c r="U17" s="22"/>
      <c r="V17" s="54"/>
      <c r="W17" s="10"/>
      <c r="X17" s="36"/>
      <c r="Y17" s="36"/>
    </row>
    <row r="18" spans="2:25" x14ac:dyDescent="0.25">
      <c r="B18" s="16" t="s">
        <v>38</v>
      </c>
      <c r="C18" s="17" t="s">
        <v>39</v>
      </c>
      <c r="D18" s="17" t="s">
        <v>40</v>
      </c>
      <c r="E18" s="18" t="s">
        <v>41</v>
      </c>
      <c r="F18" s="18"/>
      <c r="G18" s="16" t="s">
        <v>42</v>
      </c>
      <c r="H18" s="16" t="s">
        <v>43</v>
      </c>
      <c r="I18" s="17" t="s">
        <v>77</v>
      </c>
      <c r="J18" s="19" t="s">
        <v>44</v>
      </c>
      <c r="K18" s="17" t="s">
        <v>45</v>
      </c>
      <c r="L18" s="17" t="s">
        <v>46</v>
      </c>
      <c r="M18" s="17" t="s">
        <v>47</v>
      </c>
      <c r="N18" s="17" t="s">
        <v>48</v>
      </c>
      <c r="O18" s="43" t="s">
        <v>49</v>
      </c>
      <c r="P18" s="17" t="s">
        <v>50</v>
      </c>
      <c r="Q18" s="20" t="s">
        <v>160</v>
      </c>
      <c r="R18" s="17" t="s">
        <v>51</v>
      </c>
      <c r="S18" s="16" t="s">
        <v>52</v>
      </c>
      <c r="T18" s="21" t="s">
        <v>76</v>
      </c>
      <c r="U18" s="21" t="s">
        <v>75</v>
      </c>
      <c r="V18" s="53" t="s">
        <v>161</v>
      </c>
      <c r="W18" s="58" t="str">
        <f>+W12</f>
        <v>Questions</v>
      </c>
      <c r="X18" s="36"/>
      <c r="Y18" s="36"/>
    </row>
    <row r="19" spans="2:25" s="61" customFormat="1" x14ac:dyDescent="0.25">
      <c r="B19" s="1" t="s">
        <v>162</v>
      </c>
      <c r="C19" s="3" t="s">
        <v>72</v>
      </c>
      <c r="D19" s="3" t="s">
        <v>85</v>
      </c>
      <c r="E19" s="4">
        <v>36617</v>
      </c>
      <c r="F19" s="4">
        <v>36830</v>
      </c>
      <c r="G19" s="1" t="s">
        <v>86</v>
      </c>
      <c r="H19" s="1" t="s">
        <v>88</v>
      </c>
      <c r="I19" s="3" t="s">
        <v>87</v>
      </c>
      <c r="J19" s="8">
        <f>6.238/J1</f>
        <v>0.20793333333333336</v>
      </c>
      <c r="K19" s="5">
        <v>0</v>
      </c>
      <c r="L19" s="5">
        <v>0</v>
      </c>
      <c r="M19" s="5">
        <v>0</v>
      </c>
      <c r="N19" s="5">
        <v>0</v>
      </c>
      <c r="O19" s="42">
        <v>0</v>
      </c>
      <c r="P19" s="5">
        <f t="shared" ref="P19:P49" si="0">SUM(J19:N19)</f>
        <v>0.20793333333333336</v>
      </c>
      <c r="Q19" s="24">
        <v>51407</v>
      </c>
      <c r="R19" s="3">
        <v>73754</v>
      </c>
      <c r="S19" s="1" t="s">
        <v>330</v>
      </c>
      <c r="T19" s="9"/>
      <c r="U19" s="9"/>
      <c r="V19" s="55">
        <v>156569</v>
      </c>
      <c r="W19" s="1"/>
      <c r="X19" s="36"/>
      <c r="Y19" s="36"/>
    </row>
    <row r="20" spans="2:25" s="61" customFormat="1" x14ac:dyDescent="0.25">
      <c r="B20" s="1" t="s">
        <v>162</v>
      </c>
      <c r="C20" s="3" t="s">
        <v>72</v>
      </c>
      <c r="D20" s="3" t="s">
        <v>85</v>
      </c>
      <c r="E20" s="4">
        <v>36617</v>
      </c>
      <c r="F20" s="4">
        <v>36830</v>
      </c>
      <c r="G20" s="1" t="s">
        <v>86</v>
      </c>
      <c r="H20" s="1" t="s">
        <v>89</v>
      </c>
      <c r="I20" s="3" t="s">
        <v>87</v>
      </c>
      <c r="J20" s="8">
        <f>1.512/J1</f>
        <v>5.04E-2</v>
      </c>
      <c r="K20" s="5">
        <v>0</v>
      </c>
      <c r="L20" s="5">
        <v>0</v>
      </c>
      <c r="M20" s="5">
        <v>0</v>
      </c>
      <c r="N20" s="5">
        <v>0</v>
      </c>
      <c r="O20" s="42">
        <v>0</v>
      </c>
      <c r="P20" s="5">
        <f t="shared" si="0"/>
        <v>5.04E-2</v>
      </c>
      <c r="Q20" s="24">
        <v>51407</v>
      </c>
      <c r="R20" s="3">
        <v>73754</v>
      </c>
      <c r="S20" s="1" t="s">
        <v>330</v>
      </c>
      <c r="T20" s="9"/>
      <c r="U20" s="9"/>
      <c r="V20" s="55">
        <v>156569</v>
      </c>
      <c r="W20" s="1"/>
      <c r="X20" s="36"/>
      <c r="Y20" s="36"/>
    </row>
    <row r="21" spans="2:25" s="61" customFormat="1" x14ac:dyDescent="0.25">
      <c r="B21" s="1" t="s">
        <v>162</v>
      </c>
      <c r="C21" s="3" t="s">
        <v>72</v>
      </c>
      <c r="D21" s="3"/>
      <c r="E21" s="4">
        <v>36100</v>
      </c>
      <c r="F21" s="4">
        <v>36830</v>
      </c>
      <c r="G21" s="29" t="s">
        <v>107</v>
      </c>
      <c r="H21" s="1" t="s">
        <v>108</v>
      </c>
      <c r="I21" s="3" t="s">
        <v>81</v>
      </c>
      <c r="J21" s="8">
        <f t="shared" ref="J21:J26" si="1">4.56/J$1</f>
        <v>0.152</v>
      </c>
      <c r="K21" s="5">
        <v>1.32E-2</v>
      </c>
      <c r="L21" s="5">
        <v>2.2000000000000001E-3</v>
      </c>
      <c r="M21" s="5">
        <v>7.1999999999999998E-3</v>
      </c>
      <c r="N21" s="5">
        <v>0</v>
      </c>
      <c r="O21" s="42">
        <v>2.1160000000000002E-2</v>
      </c>
      <c r="P21" s="5">
        <f t="shared" si="0"/>
        <v>0.17460000000000001</v>
      </c>
      <c r="Q21" s="24">
        <v>61822</v>
      </c>
      <c r="R21" s="3">
        <v>4000</v>
      </c>
      <c r="S21" s="1" t="s">
        <v>109</v>
      </c>
      <c r="T21" s="9">
        <f t="shared" ref="T21:T27" si="2">J21*J$1*R21</f>
        <v>18240</v>
      </c>
      <c r="U21" s="9"/>
      <c r="V21" s="55">
        <v>162284</v>
      </c>
      <c r="W21" s="1"/>
      <c r="X21" s="36"/>
      <c r="Y21" s="36"/>
    </row>
    <row r="22" spans="2:25" s="61" customFormat="1" x14ac:dyDescent="0.25">
      <c r="B22" s="1" t="s">
        <v>162</v>
      </c>
      <c r="C22" s="3" t="s">
        <v>72</v>
      </c>
      <c r="D22" s="3" t="s">
        <v>63</v>
      </c>
      <c r="E22" s="4">
        <v>36526</v>
      </c>
      <c r="F22" s="4">
        <v>36830</v>
      </c>
      <c r="G22" s="1" t="s">
        <v>110</v>
      </c>
      <c r="H22" s="1" t="s">
        <v>146</v>
      </c>
      <c r="I22" s="3" t="s">
        <v>81</v>
      </c>
      <c r="J22" s="8">
        <f t="shared" si="1"/>
        <v>0.152</v>
      </c>
      <c r="K22" s="5">
        <v>1.32E-2</v>
      </c>
      <c r="L22" s="5">
        <v>2.2000000000000001E-3</v>
      </c>
      <c r="M22" s="5">
        <v>7.4999999999999997E-3</v>
      </c>
      <c r="N22" s="5">
        <v>0</v>
      </c>
      <c r="O22" s="42">
        <v>2.1160000000000002E-2</v>
      </c>
      <c r="P22" s="5">
        <f>SUM(J22:N22)</f>
        <v>0.1749</v>
      </c>
      <c r="Q22" s="24">
        <v>61825</v>
      </c>
      <c r="R22" s="3">
        <v>2000</v>
      </c>
      <c r="S22" s="29" t="s">
        <v>144</v>
      </c>
      <c r="T22" s="9">
        <f t="shared" si="2"/>
        <v>9120</v>
      </c>
      <c r="U22" s="9"/>
      <c r="V22" s="55">
        <v>156570</v>
      </c>
      <c r="W22" s="9"/>
      <c r="X22" s="36"/>
      <c r="Y22" s="36"/>
    </row>
    <row r="23" spans="2:25" s="61" customFormat="1" x14ac:dyDescent="0.25">
      <c r="B23" s="1" t="s">
        <v>162</v>
      </c>
      <c r="C23" s="3" t="s">
        <v>72</v>
      </c>
      <c r="D23" s="3" t="s">
        <v>63</v>
      </c>
      <c r="E23" s="4">
        <v>36526</v>
      </c>
      <c r="F23" s="4">
        <v>36830</v>
      </c>
      <c r="G23" s="1" t="s">
        <v>113</v>
      </c>
      <c r="H23" s="1" t="s">
        <v>146</v>
      </c>
      <c r="I23" s="3" t="s">
        <v>81</v>
      </c>
      <c r="J23" s="8">
        <f t="shared" si="1"/>
        <v>0.152</v>
      </c>
      <c r="K23" s="5">
        <v>1.32E-2</v>
      </c>
      <c r="L23" s="5">
        <v>2.2000000000000001E-3</v>
      </c>
      <c r="M23" s="5">
        <v>7.4999999999999997E-3</v>
      </c>
      <c r="N23" s="5">
        <v>0</v>
      </c>
      <c r="O23" s="42">
        <v>2.1160000000000002E-2</v>
      </c>
      <c r="P23" s="5">
        <f>SUM(J23:N23)</f>
        <v>0.1749</v>
      </c>
      <c r="Q23" s="24">
        <v>61825</v>
      </c>
      <c r="R23" s="3">
        <v>5000</v>
      </c>
      <c r="S23" s="29" t="s">
        <v>144</v>
      </c>
      <c r="T23" s="9">
        <f t="shared" si="2"/>
        <v>22799.999999999996</v>
      </c>
      <c r="U23" s="9"/>
      <c r="V23" s="55">
        <v>156570</v>
      </c>
      <c r="W23" s="9"/>
      <c r="X23" s="36"/>
      <c r="Y23" s="36"/>
    </row>
    <row r="24" spans="2:25" s="61" customFormat="1" x14ac:dyDescent="0.25">
      <c r="B24" s="1" t="s">
        <v>162</v>
      </c>
      <c r="C24" s="3" t="s">
        <v>72</v>
      </c>
      <c r="D24" s="3" t="s">
        <v>63</v>
      </c>
      <c r="E24" s="4">
        <v>36526</v>
      </c>
      <c r="F24" s="4">
        <v>36830</v>
      </c>
      <c r="G24" s="1" t="s">
        <v>145</v>
      </c>
      <c r="H24" s="1" t="s">
        <v>146</v>
      </c>
      <c r="I24" s="3" t="s">
        <v>81</v>
      </c>
      <c r="J24" s="8">
        <f t="shared" si="1"/>
        <v>0.152</v>
      </c>
      <c r="K24" s="5">
        <v>1.32E-2</v>
      </c>
      <c r="L24" s="5">
        <v>2.2000000000000001E-3</v>
      </c>
      <c r="M24" s="5">
        <v>7.4999999999999997E-3</v>
      </c>
      <c r="N24" s="5">
        <v>0</v>
      </c>
      <c r="O24" s="42">
        <v>2.1160000000000002E-2</v>
      </c>
      <c r="P24" s="5">
        <f>SUM(J24:N24)</f>
        <v>0.1749</v>
      </c>
      <c r="Q24" s="24">
        <v>61825</v>
      </c>
      <c r="R24" s="3">
        <v>1000</v>
      </c>
      <c r="S24" s="29" t="s">
        <v>144</v>
      </c>
      <c r="T24" s="9">
        <f t="shared" si="2"/>
        <v>4560</v>
      </c>
      <c r="U24" s="9"/>
      <c r="V24" s="55">
        <v>156570</v>
      </c>
      <c r="W24" s="9"/>
      <c r="X24" s="36"/>
      <c r="Y24" s="36"/>
    </row>
    <row r="25" spans="2:25" s="61" customFormat="1" x14ac:dyDescent="0.25">
      <c r="B25" s="1" t="s">
        <v>162</v>
      </c>
      <c r="C25" s="3" t="s">
        <v>72</v>
      </c>
      <c r="D25" s="3"/>
      <c r="E25" s="4">
        <v>36100</v>
      </c>
      <c r="F25" s="4">
        <v>36830</v>
      </c>
      <c r="G25" s="1" t="s">
        <v>110</v>
      </c>
      <c r="H25" s="29" t="s">
        <v>111</v>
      </c>
      <c r="I25" s="3" t="s">
        <v>81</v>
      </c>
      <c r="J25" s="8">
        <f t="shared" si="1"/>
        <v>0.152</v>
      </c>
      <c r="K25" s="5">
        <v>1.32E-2</v>
      </c>
      <c r="L25" s="5">
        <v>2.2000000000000001E-3</v>
      </c>
      <c r="M25" s="5">
        <v>7.1999999999999998E-3</v>
      </c>
      <c r="N25" s="5">
        <v>0</v>
      </c>
      <c r="O25" s="42">
        <v>2.1160000000000002E-2</v>
      </c>
      <c r="P25" s="5">
        <f t="shared" si="0"/>
        <v>0.17460000000000001</v>
      </c>
      <c r="Q25" s="24">
        <v>61838</v>
      </c>
      <c r="R25" s="3">
        <v>1000</v>
      </c>
      <c r="S25" s="1" t="s">
        <v>112</v>
      </c>
      <c r="T25" s="9">
        <f t="shared" si="2"/>
        <v>4560</v>
      </c>
      <c r="U25" s="9"/>
      <c r="V25" s="55">
        <v>156571</v>
      </c>
      <c r="W25" s="1"/>
      <c r="X25" s="36"/>
      <c r="Y25" s="36"/>
    </row>
    <row r="26" spans="2:25" s="61" customFormat="1" x14ac:dyDescent="0.25">
      <c r="B26" s="1" t="s">
        <v>162</v>
      </c>
      <c r="C26" s="3" t="s">
        <v>72</v>
      </c>
      <c r="D26" s="3" t="s">
        <v>63</v>
      </c>
      <c r="E26" s="4">
        <v>36526</v>
      </c>
      <c r="F26" s="4">
        <v>36830</v>
      </c>
      <c r="G26" s="1" t="s">
        <v>110</v>
      </c>
      <c r="H26" s="1" t="s">
        <v>148</v>
      </c>
      <c r="I26" s="3" t="s">
        <v>81</v>
      </c>
      <c r="J26" s="8">
        <f t="shared" si="1"/>
        <v>0.152</v>
      </c>
      <c r="K26" s="5">
        <v>1.32E-2</v>
      </c>
      <c r="L26" s="5">
        <v>2.2000000000000001E-3</v>
      </c>
      <c r="M26" s="5">
        <v>7.4999999999999997E-3</v>
      </c>
      <c r="N26" s="5">
        <v>0</v>
      </c>
      <c r="O26" s="42">
        <v>2.1160000000000002E-2</v>
      </c>
      <c r="P26" s="5">
        <f>SUM(J26:N26)</f>
        <v>0.1749</v>
      </c>
      <c r="Q26" s="24">
        <v>61990</v>
      </c>
      <c r="R26" s="3">
        <v>2000</v>
      </c>
      <c r="S26" s="29" t="s">
        <v>147</v>
      </c>
      <c r="T26" s="9">
        <f t="shared" si="2"/>
        <v>9120</v>
      </c>
      <c r="U26" s="9"/>
      <c r="V26" s="55">
        <v>156573</v>
      </c>
      <c r="W26" s="9"/>
      <c r="X26" s="36"/>
      <c r="Y26" s="36"/>
    </row>
    <row r="27" spans="2:25" s="61" customFormat="1" x14ac:dyDescent="0.25">
      <c r="B27" s="1" t="s">
        <v>162</v>
      </c>
      <c r="C27" s="3" t="s">
        <v>72</v>
      </c>
      <c r="D27" s="3" t="s">
        <v>63</v>
      </c>
      <c r="E27" s="4">
        <v>36465</v>
      </c>
      <c r="F27" s="4">
        <v>36891</v>
      </c>
      <c r="G27" s="1"/>
      <c r="H27" s="1" t="s">
        <v>363</v>
      </c>
      <c r="I27" s="3" t="s">
        <v>81</v>
      </c>
      <c r="J27" s="8">
        <f>3.0417/30.417</f>
        <v>9.9999999999999992E-2</v>
      </c>
      <c r="K27" s="5">
        <v>1.32E-2</v>
      </c>
      <c r="L27" s="5">
        <v>2.2000000000000001E-3</v>
      </c>
      <c r="M27" s="5">
        <v>7.4999999999999997E-3</v>
      </c>
      <c r="N27" s="5">
        <v>0</v>
      </c>
      <c r="O27" s="42">
        <v>2.1160000000000002E-2</v>
      </c>
      <c r="P27" s="5">
        <f>SUM(J27:N27)</f>
        <v>0.12289999999999998</v>
      </c>
      <c r="Q27" s="24">
        <v>62164</v>
      </c>
      <c r="R27" s="108">
        <v>2000</v>
      </c>
      <c r="S27" s="29" t="s">
        <v>252</v>
      </c>
      <c r="T27" s="9">
        <f t="shared" si="2"/>
        <v>5999.9999999999991</v>
      </c>
      <c r="U27" s="55"/>
      <c r="V27" s="36" t="s">
        <v>253</v>
      </c>
      <c r="W27" s="36"/>
    </row>
    <row r="28" spans="2:25" s="61" customFormat="1" x14ac:dyDescent="0.25">
      <c r="B28" s="1" t="s">
        <v>162</v>
      </c>
      <c r="C28" s="3" t="s">
        <v>72</v>
      </c>
      <c r="D28" s="3" t="s">
        <v>85</v>
      </c>
      <c r="E28" s="4">
        <v>36617</v>
      </c>
      <c r="F28" s="4">
        <v>36799</v>
      </c>
      <c r="G28" s="1" t="s">
        <v>86</v>
      </c>
      <c r="H28" s="1" t="s">
        <v>104</v>
      </c>
      <c r="I28" s="3" t="s">
        <v>103</v>
      </c>
      <c r="J28" s="8">
        <f>6.029/J$1</f>
        <v>0.20096666666666665</v>
      </c>
      <c r="K28" s="5">
        <v>1.2999999999999999E-2</v>
      </c>
      <c r="L28" s="5">
        <v>2.2000000000000001E-3</v>
      </c>
      <c r="M28" s="5">
        <v>7.1999999999999998E-3</v>
      </c>
      <c r="N28" s="5">
        <v>0</v>
      </c>
      <c r="O28" s="42">
        <v>2.1160000000000002E-2</v>
      </c>
      <c r="P28" s="5">
        <f t="shared" si="0"/>
        <v>0.22336666666666669</v>
      </c>
      <c r="Q28" s="24">
        <v>67693</v>
      </c>
      <c r="R28" s="3">
        <v>54327</v>
      </c>
      <c r="S28" s="1" t="s">
        <v>322</v>
      </c>
      <c r="T28" s="9">
        <f>J28*J$1*R28</f>
        <v>327537.48300000001</v>
      </c>
      <c r="U28" s="9"/>
      <c r="V28" s="55">
        <v>231378</v>
      </c>
      <c r="W28" s="1"/>
      <c r="X28" s="36"/>
      <c r="Y28" s="36"/>
    </row>
    <row r="29" spans="2:25" s="61" customFormat="1" x14ac:dyDescent="0.25">
      <c r="B29" s="1" t="s">
        <v>162</v>
      </c>
      <c r="C29" s="3" t="s">
        <v>72</v>
      </c>
      <c r="D29" s="3" t="s">
        <v>85</v>
      </c>
      <c r="E29" s="4">
        <v>36617</v>
      </c>
      <c r="F29" s="4">
        <v>36981</v>
      </c>
      <c r="G29" s="1" t="s">
        <v>86</v>
      </c>
      <c r="H29" s="1" t="s">
        <v>88</v>
      </c>
      <c r="I29" s="3" t="s">
        <v>87</v>
      </c>
      <c r="J29" s="8">
        <v>2.93E-2</v>
      </c>
      <c r="K29" s="5">
        <v>0</v>
      </c>
      <c r="L29" s="5">
        <v>0</v>
      </c>
      <c r="M29" s="5">
        <v>0</v>
      </c>
      <c r="N29" s="5">
        <v>0</v>
      </c>
      <c r="O29" s="42">
        <v>0</v>
      </c>
      <c r="P29" s="5">
        <f>SUM(J29:N29)</f>
        <v>2.93E-2</v>
      </c>
      <c r="Q29" s="24">
        <v>67712</v>
      </c>
      <c r="R29" s="3">
        <v>6050607</v>
      </c>
      <c r="S29" s="1" t="s">
        <v>323</v>
      </c>
      <c r="T29" s="9">
        <f>J29*R29</f>
        <v>177282.78510000001</v>
      </c>
      <c r="U29" s="9"/>
      <c r="V29" s="55">
        <v>235876</v>
      </c>
      <c r="W29" s="1">
        <v>231698</v>
      </c>
      <c r="X29" s="36"/>
      <c r="Y29" s="36"/>
    </row>
    <row r="30" spans="2:25" s="61" customFormat="1" x14ac:dyDescent="0.25">
      <c r="B30" s="1" t="s">
        <v>162</v>
      </c>
      <c r="C30" s="3" t="s">
        <v>72</v>
      </c>
      <c r="D30" s="3" t="s">
        <v>85</v>
      </c>
      <c r="E30" s="4">
        <v>36617</v>
      </c>
      <c r="F30" s="4">
        <v>36981</v>
      </c>
      <c r="G30" s="1" t="s">
        <v>86</v>
      </c>
      <c r="H30" s="1" t="s">
        <v>89</v>
      </c>
      <c r="I30" s="3" t="s">
        <v>87</v>
      </c>
      <c r="J30" s="8">
        <v>1.524</v>
      </c>
      <c r="K30" s="5">
        <v>0</v>
      </c>
      <c r="L30" s="5">
        <v>0</v>
      </c>
      <c r="M30" s="5">
        <v>0</v>
      </c>
      <c r="N30" s="5">
        <v>0</v>
      </c>
      <c r="O30" s="42">
        <v>0</v>
      </c>
      <c r="P30" s="5">
        <f>SUM(J30:N30)</f>
        <v>1.524</v>
      </c>
      <c r="Q30" s="24">
        <v>67712</v>
      </c>
      <c r="R30" s="3">
        <v>108648</v>
      </c>
      <c r="S30" s="1" t="s">
        <v>323</v>
      </c>
      <c r="T30" s="9">
        <f>J30*R30</f>
        <v>165579.552</v>
      </c>
      <c r="U30" s="9"/>
      <c r="V30" s="55">
        <v>235876</v>
      </c>
      <c r="W30" s="1">
        <v>231698</v>
      </c>
      <c r="X30" s="36"/>
      <c r="Y30" s="36"/>
    </row>
    <row r="31" spans="2:25" s="61" customFormat="1" x14ac:dyDescent="0.25">
      <c r="B31" s="1" t="s">
        <v>162</v>
      </c>
      <c r="C31" s="3" t="s">
        <v>72</v>
      </c>
      <c r="D31" s="3" t="s">
        <v>85</v>
      </c>
      <c r="E31" s="4">
        <v>36617</v>
      </c>
      <c r="F31" s="4">
        <v>36981</v>
      </c>
      <c r="G31" s="1" t="s">
        <v>86</v>
      </c>
      <c r="H31" s="1" t="s">
        <v>88</v>
      </c>
      <c r="I31" s="3" t="s">
        <v>87</v>
      </c>
      <c r="J31" s="8">
        <v>0</v>
      </c>
      <c r="K31" s="5">
        <v>0</v>
      </c>
      <c r="L31" s="5">
        <v>0</v>
      </c>
      <c r="M31" s="5">
        <v>0</v>
      </c>
      <c r="N31" s="5">
        <v>0</v>
      </c>
      <c r="O31" s="42">
        <v>0</v>
      </c>
      <c r="P31" s="5">
        <f t="shared" si="0"/>
        <v>0</v>
      </c>
      <c r="Q31" s="24">
        <v>67713</v>
      </c>
      <c r="R31" s="3">
        <v>0</v>
      </c>
      <c r="S31" s="1" t="s">
        <v>364</v>
      </c>
      <c r="T31" s="9">
        <f>J31*R31</f>
        <v>0</v>
      </c>
      <c r="U31" s="9"/>
      <c r="V31" s="55">
        <v>235876</v>
      </c>
      <c r="W31" s="1"/>
      <c r="X31" s="36"/>
      <c r="Y31" s="36"/>
    </row>
    <row r="32" spans="2:25" s="61" customFormat="1" x14ac:dyDescent="0.25">
      <c r="B32" s="1" t="s">
        <v>162</v>
      </c>
      <c r="C32" s="3" t="s">
        <v>72</v>
      </c>
      <c r="D32" s="3" t="s">
        <v>85</v>
      </c>
      <c r="E32" s="4">
        <v>36617</v>
      </c>
      <c r="F32" s="4">
        <v>36981</v>
      </c>
      <c r="G32" s="1" t="s">
        <v>86</v>
      </c>
      <c r="H32" s="1" t="s">
        <v>89</v>
      </c>
      <c r="I32" s="3" t="s">
        <v>87</v>
      </c>
      <c r="J32" s="8">
        <v>0</v>
      </c>
      <c r="K32" s="5">
        <v>0</v>
      </c>
      <c r="L32" s="5">
        <v>0</v>
      </c>
      <c r="M32" s="5">
        <v>0</v>
      </c>
      <c r="N32" s="5">
        <v>0</v>
      </c>
      <c r="O32" s="42">
        <v>0</v>
      </c>
      <c r="P32" s="5">
        <f t="shared" si="0"/>
        <v>0</v>
      </c>
      <c r="Q32" s="24">
        <v>67713</v>
      </c>
      <c r="R32" s="3">
        <v>0</v>
      </c>
      <c r="S32" s="1" t="s">
        <v>364</v>
      </c>
      <c r="T32" s="9">
        <f>J32*R32</f>
        <v>0</v>
      </c>
      <c r="U32" s="9"/>
      <c r="V32" s="55">
        <v>235876</v>
      </c>
      <c r="W32" s="1"/>
      <c r="X32" s="36"/>
      <c r="Y32" s="36"/>
    </row>
    <row r="33" spans="2:25" s="61" customFormat="1" x14ac:dyDescent="0.25">
      <c r="B33" s="1" t="s">
        <v>162</v>
      </c>
      <c r="C33" s="3" t="s">
        <v>72</v>
      </c>
      <c r="D33" s="3" t="s">
        <v>79</v>
      </c>
      <c r="E33" s="4">
        <v>36678</v>
      </c>
      <c r="F33" s="4">
        <v>37042</v>
      </c>
      <c r="G33" s="1" t="s">
        <v>80</v>
      </c>
      <c r="H33" s="1" t="s">
        <v>83</v>
      </c>
      <c r="I33" s="3" t="s">
        <v>81</v>
      </c>
      <c r="J33" s="8">
        <f>6.401/J$1</f>
        <v>0.21336666666666665</v>
      </c>
      <c r="K33" s="5">
        <v>1.32E-2</v>
      </c>
      <c r="L33" s="5">
        <v>2.2000000000000001E-3</v>
      </c>
      <c r="M33" s="5">
        <v>7.1999999999999998E-3</v>
      </c>
      <c r="N33" s="5">
        <v>0</v>
      </c>
      <c r="O33" s="42">
        <v>2.1160000000000002E-2</v>
      </c>
      <c r="P33" s="5">
        <f t="shared" si="0"/>
        <v>0.23596666666666666</v>
      </c>
      <c r="Q33" s="24">
        <v>68359</v>
      </c>
      <c r="R33" s="3">
        <v>285</v>
      </c>
      <c r="S33" s="1" t="s">
        <v>362</v>
      </c>
      <c r="T33" s="9">
        <f t="shared" ref="T33:T51" si="3">J33*J$1*R33</f>
        <v>1824.2849999999999</v>
      </c>
      <c r="U33" s="9"/>
      <c r="V33" s="55">
        <v>271307</v>
      </c>
      <c r="W33" s="1"/>
      <c r="X33" s="36"/>
      <c r="Y33" s="36"/>
    </row>
    <row r="34" spans="2:25" s="61" customFormat="1" x14ac:dyDescent="0.25">
      <c r="B34" s="1" t="s">
        <v>162</v>
      </c>
      <c r="C34" s="3" t="s">
        <v>72</v>
      </c>
      <c r="D34" s="3" t="s">
        <v>78</v>
      </c>
      <c r="E34" s="4">
        <v>36678</v>
      </c>
      <c r="F34" s="4">
        <v>37042</v>
      </c>
      <c r="G34" s="1" t="s">
        <v>80</v>
      </c>
      <c r="H34" s="1" t="s">
        <v>84</v>
      </c>
      <c r="I34" s="3" t="s">
        <v>81</v>
      </c>
      <c r="J34" s="8">
        <f>6.401/J$1</f>
        <v>0.21336666666666665</v>
      </c>
      <c r="K34" s="5">
        <v>1.32E-2</v>
      </c>
      <c r="L34" s="5">
        <v>2.2000000000000001E-3</v>
      </c>
      <c r="M34" s="5">
        <v>7.1999999999999998E-3</v>
      </c>
      <c r="N34" s="5">
        <v>0</v>
      </c>
      <c r="O34" s="42">
        <v>2.1160000000000002E-2</v>
      </c>
      <c r="P34" s="5">
        <f t="shared" si="0"/>
        <v>0.23596666666666666</v>
      </c>
      <c r="Q34" s="24">
        <v>68384</v>
      </c>
      <c r="R34" s="3">
        <v>218</v>
      </c>
      <c r="S34" s="1" t="s">
        <v>361</v>
      </c>
      <c r="T34" s="9">
        <f t="shared" si="3"/>
        <v>1395.4179999999999</v>
      </c>
      <c r="U34" s="9"/>
      <c r="V34" s="55">
        <v>280570</v>
      </c>
      <c r="W34" s="1"/>
      <c r="X34" s="36"/>
      <c r="Y34" s="36"/>
    </row>
    <row r="35" spans="2:25" s="61" customFormat="1" x14ac:dyDescent="0.25">
      <c r="B35" s="1" t="s">
        <v>162</v>
      </c>
      <c r="C35" s="3" t="s">
        <v>72</v>
      </c>
      <c r="D35" s="3" t="s">
        <v>79</v>
      </c>
      <c r="E35" s="4">
        <v>36708</v>
      </c>
      <c r="F35" s="4">
        <v>37072</v>
      </c>
      <c r="G35" s="1" t="s">
        <v>80</v>
      </c>
      <c r="H35" s="1" t="s">
        <v>83</v>
      </c>
      <c r="I35" s="3" t="s">
        <v>81</v>
      </c>
      <c r="J35" s="8">
        <f t="shared" ref="J35:J40" si="4">6.449/J$1</f>
        <v>0.21496666666666667</v>
      </c>
      <c r="K35" s="5">
        <v>1.32E-2</v>
      </c>
      <c r="L35" s="5">
        <v>2.2000000000000001E-3</v>
      </c>
      <c r="M35" s="5">
        <v>7.1999999999999998E-3</v>
      </c>
      <c r="N35" s="5">
        <v>0</v>
      </c>
      <c r="O35" s="42">
        <v>2.1160000000000002E-2</v>
      </c>
      <c r="P35" s="5">
        <f t="shared" si="0"/>
        <v>0.23756666666666668</v>
      </c>
      <c r="Q35" s="24">
        <v>68616</v>
      </c>
      <c r="R35" s="3">
        <v>900</v>
      </c>
      <c r="S35" s="1" t="s">
        <v>365</v>
      </c>
      <c r="T35" s="9">
        <f t="shared" si="3"/>
        <v>5804.0999999999995</v>
      </c>
      <c r="U35" s="9"/>
      <c r="V35" s="55">
        <v>309723</v>
      </c>
      <c r="W35" s="1" t="s">
        <v>366</v>
      </c>
      <c r="X35" s="36"/>
      <c r="Y35" s="36"/>
    </row>
    <row r="36" spans="2:25" s="61" customFormat="1" x14ac:dyDescent="0.25">
      <c r="B36" s="1" t="s">
        <v>162</v>
      </c>
      <c r="C36" s="3" t="s">
        <v>72</v>
      </c>
      <c r="D36" s="3" t="s">
        <v>78</v>
      </c>
      <c r="E36" s="4">
        <v>36708</v>
      </c>
      <c r="F36" s="4">
        <v>37072</v>
      </c>
      <c r="G36" s="1" t="s">
        <v>80</v>
      </c>
      <c r="H36" s="1" t="s">
        <v>82</v>
      </c>
      <c r="I36" s="3" t="s">
        <v>81</v>
      </c>
      <c r="J36" s="8">
        <f t="shared" si="4"/>
        <v>0.21496666666666667</v>
      </c>
      <c r="K36" s="5">
        <v>1.32E-2</v>
      </c>
      <c r="L36" s="5">
        <v>2.2000000000000001E-3</v>
      </c>
      <c r="M36" s="5">
        <v>7.1999999999999998E-3</v>
      </c>
      <c r="N36" s="5">
        <v>0</v>
      </c>
      <c r="O36" s="42">
        <v>2.1160000000000002E-2</v>
      </c>
      <c r="P36" s="5">
        <f t="shared" si="0"/>
        <v>0.23756666666666668</v>
      </c>
      <c r="Q36" s="24">
        <v>68635</v>
      </c>
      <c r="R36" s="3">
        <v>1</v>
      </c>
      <c r="S36" s="1" t="s">
        <v>367</v>
      </c>
      <c r="T36" s="9">
        <f t="shared" si="3"/>
        <v>6.4489999999999998</v>
      </c>
      <c r="U36" s="9"/>
      <c r="V36" s="55">
        <v>312333</v>
      </c>
      <c r="W36" s="1"/>
      <c r="X36" s="36"/>
      <c r="Y36" s="36"/>
    </row>
    <row r="37" spans="2:25" s="61" customFormat="1" x14ac:dyDescent="0.25">
      <c r="B37" s="1" t="s">
        <v>162</v>
      </c>
      <c r="C37" s="3" t="s">
        <v>72</v>
      </c>
      <c r="D37" s="3" t="s">
        <v>78</v>
      </c>
      <c r="E37" s="4">
        <v>36739</v>
      </c>
      <c r="F37" s="4">
        <v>37103</v>
      </c>
      <c r="G37" s="1" t="s">
        <v>80</v>
      </c>
      <c r="H37" s="1" t="s">
        <v>83</v>
      </c>
      <c r="I37" s="3" t="s">
        <v>81</v>
      </c>
      <c r="J37" s="8">
        <f t="shared" si="4"/>
        <v>0.21496666666666667</v>
      </c>
      <c r="K37" s="5">
        <v>1.32E-2</v>
      </c>
      <c r="L37" s="5">
        <v>2.2000000000000001E-3</v>
      </c>
      <c r="M37" s="5">
        <v>7.1999999999999998E-3</v>
      </c>
      <c r="N37" s="5">
        <v>0</v>
      </c>
      <c r="O37" s="42">
        <v>2.1160000000000002E-2</v>
      </c>
      <c r="P37" s="5">
        <f t="shared" si="0"/>
        <v>0.23756666666666668</v>
      </c>
      <c r="Q37" s="24">
        <v>64328</v>
      </c>
      <c r="R37" s="3">
        <v>4</v>
      </c>
      <c r="S37" s="1" t="s">
        <v>5</v>
      </c>
      <c r="T37" s="9">
        <f t="shared" si="3"/>
        <v>25.795999999999999</v>
      </c>
      <c r="U37" s="9"/>
      <c r="V37" s="55">
        <v>345108</v>
      </c>
      <c r="W37" s="1"/>
      <c r="X37" s="36"/>
      <c r="Y37" s="36"/>
    </row>
    <row r="38" spans="2:25" s="61" customFormat="1" x14ac:dyDescent="0.25">
      <c r="B38" s="1" t="s">
        <v>162</v>
      </c>
      <c r="C38" s="3" t="s">
        <v>72</v>
      </c>
      <c r="D38" s="3" t="s">
        <v>78</v>
      </c>
      <c r="E38" s="4">
        <v>36739</v>
      </c>
      <c r="F38" s="4">
        <v>37103</v>
      </c>
      <c r="G38" s="1" t="s">
        <v>80</v>
      </c>
      <c r="H38" s="1" t="s">
        <v>84</v>
      </c>
      <c r="I38" s="3" t="s">
        <v>81</v>
      </c>
      <c r="J38" s="8">
        <f>6.401/J$1</f>
        <v>0.21336666666666665</v>
      </c>
      <c r="K38" s="5">
        <v>1.32E-2</v>
      </c>
      <c r="L38" s="5">
        <v>2.2000000000000001E-3</v>
      </c>
      <c r="M38" s="5">
        <v>7.1999999999999998E-3</v>
      </c>
      <c r="N38" s="5">
        <v>0</v>
      </c>
      <c r="O38" s="42">
        <v>2.1160000000000002E-2</v>
      </c>
      <c r="P38" s="5">
        <f t="shared" si="0"/>
        <v>0.23596666666666666</v>
      </c>
      <c r="Q38" s="24">
        <v>68926</v>
      </c>
      <c r="R38" s="3">
        <v>4</v>
      </c>
      <c r="S38" s="1" t="s">
        <v>2</v>
      </c>
      <c r="T38" s="9">
        <f t="shared" si="3"/>
        <v>25.603999999999999</v>
      </c>
      <c r="U38" s="9"/>
      <c r="V38" s="55">
        <v>345125</v>
      </c>
      <c r="W38" s="1"/>
      <c r="X38" s="36"/>
      <c r="Y38" s="36"/>
    </row>
    <row r="39" spans="2:25" s="61" customFormat="1" x14ac:dyDescent="0.25">
      <c r="B39" s="1" t="s">
        <v>162</v>
      </c>
      <c r="C39" s="3" t="s">
        <v>72</v>
      </c>
      <c r="D39" s="3" t="s">
        <v>78</v>
      </c>
      <c r="E39" s="4">
        <v>36404</v>
      </c>
      <c r="F39" s="4">
        <v>36769</v>
      </c>
      <c r="G39" s="1" t="s">
        <v>80</v>
      </c>
      <c r="H39" s="1" t="s">
        <v>84</v>
      </c>
      <c r="I39" s="3" t="s">
        <v>81</v>
      </c>
      <c r="J39" s="8">
        <f t="shared" si="4"/>
        <v>0.21496666666666667</v>
      </c>
      <c r="K39" s="5">
        <v>1.32E-2</v>
      </c>
      <c r="L39" s="5">
        <v>2.2000000000000001E-3</v>
      </c>
      <c r="M39" s="5">
        <v>7.1999999999999998E-3</v>
      </c>
      <c r="N39" s="5">
        <v>0</v>
      </c>
      <c r="O39" s="42">
        <v>2.1160000000000002E-2</v>
      </c>
      <c r="P39" s="5">
        <f t="shared" si="0"/>
        <v>0.23756666666666668</v>
      </c>
      <c r="Q39" s="24">
        <v>64651</v>
      </c>
      <c r="R39" s="3">
        <v>64</v>
      </c>
      <c r="S39" s="1" t="s">
        <v>90</v>
      </c>
      <c r="T39" s="9">
        <f t="shared" si="3"/>
        <v>412.73599999999999</v>
      </c>
      <c r="U39" s="9"/>
      <c r="V39" s="55">
        <v>156591</v>
      </c>
      <c r="W39" s="1"/>
      <c r="X39" s="36"/>
      <c r="Y39" s="36"/>
    </row>
    <row r="40" spans="2:25" s="61" customFormat="1" x14ac:dyDescent="0.25">
      <c r="B40" s="1" t="s">
        <v>162</v>
      </c>
      <c r="C40" s="3" t="s">
        <v>72</v>
      </c>
      <c r="D40" s="3" t="s">
        <v>78</v>
      </c>
      <c r="E40" s="4">
        <v>36434</v>
      </c>
      <c r="F40" s="4">
        <v>36799</v>
      </c>
      <c r="G40" s="1" t="s">
        <v>80</v>
      </c>
      <c r="H40" s="1" t="s">
        <v>82</v>
      </c>
      <c r="I40" s="3" t="s">
        <v>81</v>
      </c>
      <c r="J40" s="8">
        <f t="shared" si="4"/>
        <v>0.21496666666666667</v>
      </c>
      <c r="K40" s="5">
        <v>1.32E-2</v>
      </c>
      <c r="L40" s="5">
        <v>2.2000000000000001E-3</v>
      </c>
      <c r="M40" s="5">
        <v>7.1999999999999998E-3</v>
      </c>
      <c r="N40" s="5">
        <v>0</v>
      </c>
      <c r="O40" s="42">
        <v>2.1160000000000002E-2</v>
      </c>
      <c r="P40" s="5">
        <f t="shared" si="0"/>
        <v>0.23756666666666668</v>
      </c>
      <c r="Q40" s="24">
        <v>64862</v>
      </c>
      <c r="R40" s="3">
        <v>13</v>
      </c>
      <c r="S40" s="1" t="s">
        <v>91</v>
      </c>
      <c r="T40" s="9">
        <f t="shared" si="3"/>
        <v>83.837000000000003</v>
      </c>
      <c r="U40" s="9"/>
      <c r="V40" s="55">
        <v>156592</v>
      </c>
      <c r="W40" s="1"/>
      <c r="X40" s="36"/>
      <c r="Y40" s="36"/>
    </row>
    <row r="41" spans="2:25" s="61" customFormat="1" x14ac:dyDescent="0.25">
      <c r="B41" s="1" t="s">
        <v>162</v>
      </c>
      <c r="C41" s="3" t="s">
        <v>72</v>
      </c>
      <c r="D41" s="3" t="s">
        <v>85</v>
      </c>
      <c r="E41" s="4">
        <v>36434</v>
      </c>
      <c r="F41" s="4">
        <v>36799</v>
      </c>
      <c r="G41" s="1" t="s">
        <v>80</v>
      </c>
      <c r="H41" s="1" t="s">
        <v>92</v>
      </c>
      <c r="I41" s="3" t="s">
        <v>81</v>
      </c>
      <c r="J41" s="8">
        <f>6.372/J$1</f>
        <v>0.21240000000000001</v>
      </c>
      <c r="K41" s="5">
        <v>1.32E-2</v>
      </c>
      <c r="L41" s="5">
        <v>2.2000000000000001E-3</v>
      </c>
      <c r="M41" s="5">
        <v>7.1999999999999998E-3</v>
      </c>
      <c r="N41" s="5">
        <v>0</v>
      </c>
      <c r="O41" s="42">
        <v>2.1160000000000002E-2</v>
      </c>
      <c r="P41" s="5">
        <f t="shared" si="0"/>
        <v>0.23500000000000001</v>
      </c>
      <c r="Q41" s="24">
        <v>64939</v>
      </c>
      <c r="R41" s="3">
        <v>2300</v>
      </c>
      <c r="S41" s="1" t="s">
        <v>93</v>
      </c>
      <c r="T41" s="9">
        <f t="shared" si="3"/>
        <v>14655.6</v>
      </c>
      <c r="U41" s="9"/>
      <c r="V41" s="55">
        <v>156593</v>
      </c>
      <c r="W41" s="1"/>
      <c r="X41" s="36"/>
      <c r="Y41" s="36"/>
    </row>
    <row r="42" spans="2:25" s="61" customFormat="1" x14ac:dyDescent="0.25">
      <c r="B42" s="1" t="s">
        <v>162</v>
      </c>
      <c r="C42" s="3" t="s">
        <v>72</v>
      </c>
      <c r="D42" s="3" t="s">
        <v>85</v>
      </c>
      <c r="E42" s="4">
        <v>36708</v>
      </c>
      <c r="F42" s="4">
        <v>36799</v>
      </c>
      <c r="G42" s="1" t="s">
        <v>80</v>
      </c>
      <c r="H42" s="1" t="s">
        <v>92</v>
      </c>
      <c r="I42" s="3" t="s">
        <v>81</v>
      </c>
      <c r="J42" s="8">
        <f>6.372/J$1</f>
        <v>0.21240000000000001</v>
      </c>
      <c r="K42" s="5">
        <v>1.32E-2</v>
      </c>
      <c r="L42" s="5">
        <v>2.2000000000000001E-3</v>
      </c>
      <c r="M42" s="5">
        <v>7.1999999999999998E-3</v>
      </c>
      <c r="N42" s="5">
        <v>0</v>
      </c>
      <c r="O42" s="42">
        <v>2.1160000000000002E-2</v>
      </c>
      <c r="P42" s="5">
        <f>SUM(J42:N42)</f>
        <v>0.23500000000000001</v>
      </c>
      <c r="Q42" s="24">
        <v>64939</v>
      </c>
      <c r="R42" s="3">
        <v>-2300</v>
      </c>
      <c r="S42" s="1" t="s">
        <v>376</v>
      </c>
      <c r="T42" s="9">
        <f>J42*J$1*R42</f>
        <v>-14655.6</v>
      </c>
      <c r="U42" s="9"/>
      <c r="V42" s="55">
        <v>319306</v>
      </c>
      <c r="W42" s="1" t="s">
        <v>377</v>
      </c>
      <c r="X42" s="36"/>
      <c r="Y42" s="36"/>
    </row>
    <row r="43" spans="2:25" s="61" customFormat="1" x14ac:dyDescent="0.25">
      <c r="B43" s="1" t="s">
        <v>162</v>
      </c>
      <c r="C43" s="3" t="s">
        <v>72</v>
      </c>
      <c r="D43" s="3" t="s">
        <v>78</v>
      </c>
      <c r="E43" s="4">
        <v>36465</v>
      </c>
      <c r="F43" s="4">
        <v>36830</v>
      </c>
      <c r="G43" s="1" t="s">
        <v>80</v>
      </c>
      <c r="H43" s="1" t="s">
        <v>84</v>
      </c>
      <c r="I43" s="3" t="s">
        <v>81</v>
      </c>
      <c r="J43" s="8">
        <f>6.449/J$1</f>
        <v>0.21496666666666667</v>
      </c>
      <c r="K43" s="5">
        <v>1.32E-2</v>
      </c>
      <c r="L43" s="5">
        <v>2.2000000000000001E-3</v>
      </c>
      <c r="M43" s="5">
        <v>7.1999999999999998E-3</v>
      </c>
      <c r="N43" s="5">
        <v>0</v>
      </c>
      <c r="O43" s="42">
        <v>2.1160000000000002E-2</v>
      </c>
      <c r="P43" s="5">
        <f t="shared" si="0"/>
        <v>0.23756666666666668</v>
      </c>
      <c r="Q43" s="24">
        <v>65026</v>
      </c>
      <c r="R43" s="3">
        <v>128</v>
      </c>
      <c r="S43" s="1" t="s">
        <v>94</v>
      </c>
      <c r="T43" s="9">
        <f t="shared" si="3"/>
        <v>825.47199999999998</v>
      </c>
      <c r="U43" s="9"/>
      <c r="V43" s="55">
        <v>162286</v>
      </c>
      <c r="W43" s="1"/>
      <c r="X43" s="36"/>
      <c r="Y43" s="36"/>
    </row>
    <row r="44" spans="2:25" s="61" customFormat="1" x14ac:dyDescent="0.25">
      <c r="B44" s="1" t="s">
        <v>162</v>
      </c>
      <c r="C44" s="3" t="s">
        <v>72</v>
      </c>
      <c r="D44" s="3" t="s">
        <v>95</v>
      </c>
      <c r="E44" s="4">
        <v>36465</v>
      </c>
      <c r="F44" s="4">
        <v>36830</v>
      </c>
      <c r="G44" s="1" t="s">
        <v>80</v>
      </c>
      <c r="H44" s="1" t="s">
        <v>96</v>
      </c>
      <c r="I44" s="3" t="s">
        <v>81</v>
      </c>
      <c r="J44" s="8">
        <f>6.449/J$1</f>
        <v>0.21496666666666667</v>
      </c>
      <c r="K44" s="5">
        <v>1.32E-2</v>
      </c>
      <c r="L44" s="5">
        <v>2.2000000000000001E-3</v>
      </c>
      <c r="M44" s="5">
        <v>7.1999999999999998E-3</v>
      </c>
      <c r="N44" s="5">
        <v>0</v>
      </c>
      <c r="O44" s="42">
        <v>2.1160000000000002E-2</v>
      </c>
      <c r="P44" s="5">
        <f t="shared" si="0"/>
        <v>0.23756666666666668</v>
      </c>
      <c r="Q44" s="24">
        <v>65041</v>
      </c>
      <c r="R44" s="3">
        <v>9619</v>
      </c>
      <c r="S44" s="1" t="s">
        <v>97</v>
      </c>
      <c r="T44" s="9">
        <f t="shared" si="3"/>
        <v>62032.930999999997</v>
      </c>
      <c r="U44" s="9"/>
      <c r="V44" s="55">
        <v>162285</v>
      </c>
      <c r="W44" s="1"/>
      <c r="X44" s="36"/>
      <c r="Y44" s="36"/>
    </row>
    <row r="45" spans="2:25" s="61" customFormat="1" x14ac:dyDescent="0.25">
      <c r="B45" s="1" t="s">
        <v>162</v>
      </c>
      <c r="C45" s="3" t="s">
        <v>72</v>
      </c>
      <c r="D45" s="3" t="s">
        <v>95</v>
      </c>
      <c r="E45" s="4">
        <v>36465</v>
      </c>
      <c r="F45" s="4">
        <v>36830</v>
      </c>
      <c r="G45" s="1" t="s">
        <v>80</v>
      </c>
      <c r="H45" s="1" t="s">
        <v>99</v>
      </c>
      <c r="I45" s="3" t="s">
        <v>81</v>
      </c>
      <c r="J45" s="8">
        <f>6.449/J$1</f>
        <v>0.21496666666666667</v>
      </c>
      <c r="K45" s="5">
        <v>1.32E-2</v>
      </c>
      <c r="L45" s="5">
        <v>2.2000000000000001E-3</v>
      </c>
      <c r="M45" s="5">
        <v>7.1999999999999998E-3</v>
      </c>
      <c r="N45" s="5">
        <v>0</v>
      </c>
      <c r="O45" s="42">
        <v>2.1160000000000002E-2</v>
      </c>
      <c r="P45" s="5">
        <f t="shared" si="0"/>
        <v>0.23756666666666668</v>
      </c>
      <c r="Q45" s="24">
        <v>65042</v>
      </c>
      <c r="R45" s="3">
        <v>4427</v>
      </c>
      <c r="S45" s="1" t="s">
        <v>98</v>
      </c>
      <c r="T45" s="9">
        <f t="shared" si="3"/>
        <v>28549.722999999998</v>
      </c>
      <c r="U45" s="9"/>
      <c r="V45" s="55">
        <v>162287</v>
      </c>
      <c r="W45" s="1"/>
      <c r="X45" s="36"/>
      <c r="Y45" s="36"/>
    </row>
    <row r="46" spans="2:25" s="61" customFormat="1" x14ac:dyDescent="0.25">
      <c r="B46" s="1" t="s">
        <v>162</v>
      </c>
      <c r="C46" s="3" t="s">
        <v>72</v>
      </c>
      <c r="D46" s="3" t="s">
        <v>100</v>
      </c>
      <c r="E46" s="4">
        <v>36465</v>
      </c>
      <c r="F46" s="4">
        <v>37011</v>
      </c>
      <c r="G46" s="1" t="s">
        <v>80</v>
      </c>
      <c r="H46" s="1" t="s">
        <v>101</v>
      </c>
      <c r="I46" s="3" t="s">
        <v>81</v>
      </c>
      <c r="J46" s="8">
        <f>6.449/J$1</f>
        <v>0.21496666666666667</v>
      </c>
      <c r="K46" s="5">
        <v>1.32E-2</v>
      </c>
      <c r="L46" s="5">
        <v>2.2000000000000001E-3</v>
      </c>
      <c r="M46" s="5">
        <v>7.1999999999999998E-3</v>
      </c>
      <c r="N46" s="5">
        <v>0</v>
      </c>
      <c r="O46" s="42">
        <v>2.1160000000000002E-2</v>
      </c>
      <c r="P46" s="5">
        <f>SUM(J46:N46)</f>
        <v>0.23756666666666668</v>
      </c>
      <c r="Q46" s="24">
        <v>65108</v>
      </c>
      <c r="R46" s="3">
        <v>5000</v>
      </c>
      <c r="S46" s="1" t="s">
        <v>224</v>
      </c>
      <c r="T46" s="9">
        <f>J46*J$1*R46</f>
        <v>32245</v>
      </c>
      <c r="U46" s="9"/>
      <c r="V46" s="55">
        <v>163001</v>
      </c>
      <c r="W46" s="1"/>
      <c r="X46" s="36"/>
      <c r="Y46" s="36"/>
    </row>
    <row r="47" spans="2:25" s="61" customFormat="1" x14ac:dyDescent="0.25">
      <c r="B47" s="1" t="s">
        <v>162</v>
      </c>
      <c r="C47" s="3" t="s">
        <v>72</v>
      </c>
      <c r="D47" s="3" t="s">
        <v>63</v>
      </c>
      <c r="E47" s="4">
        <v>36734</v>
      </c>
      <c r="F47" s="4">
        <v>36799</v>
      </c>
      <c r="G47" s="1" t="s">
        <v>383</v>
      </c>
      <c r="H47" s="1" t="s">
        <v>384</v>
      </c>
      <c r="I47" s="3" t="s">
        <v>81</v>
      </c>
      <c r="J47" s="8">
        <f>1.0587/J1</f>
        <v>3.5290000000000002E-2</v>
      </c>
      <c r="K47" s="5"/>
      <c r="L47" s="5"/>
      <c r="M47" s="5"/>
      <c r="N47" s="5"/>
      <c r="O47" s="42"/>
      <c r="P47" s="5"/>
      <c r="Q47" s="24">
        <v>68972</v>
      </c>
      <c r="R47" s="3">
        <v>1000</v>
      </c>
      <c r="S47" s="1" t="s">
        <v>385</v>
      </c>
      <c r="T47" s="9">
        <f>J47*J$1*R47</f>
        <v>1058.7</v>
      </c>
      <c r="U47" s="9"/>
      <c r="V47" s="55">
        <v>346509</v>
      </c>
      <c r="W47" s="1"/>
      <c r="X47" s="36"/>
      <c r="Y47" s="36"/>
    </row>
    <row r="48" spans="2:25" s="61" customFormat="1" x14ac:dyDescent="0.25">
      <c r="B48" s="1" t="s">
        <v>162</v>
      </c>
      <c r="C48" s="3" t="s">
        <v>72</v>
      </c>
      <c r="D48" s="3"/>
      <c r="E48" s="4">
        <v>36557</v>
      </c>
      <c r="F48" s="4">
        <v>36830</v>
      </c>
      <c r="G48" s="1" t="s">
        <v>113</v>
      </c>
      <c r="H48" s="1" t="s">
        <v>108</v>
      </c>
      <c r="I48" s="3" t="s">
        <v>81</v>
      </c>
      <c r="J48" s="8">
        <f>4.563/J$1</f>
        <v>0.15209999999999999</v>
      </c>
      <c r="K48" s="5">
        <v>1.32E-2</v>
      </c>
      <c r="L48" s="5">
        <v>2.2000000000000001E-3</v>
      </c>
      <c r="M48" s="5">
        <v>7.1999999999999998E-3</v>
      </c>
      <c r="N48" s="5">
        <v>0</v>
      </c>
      <c r="O48" s="42">
        <v>2.1160000000000002E-2</v>
      </c>
      <c r="P48" s="5">
        <f t="shared" si="0"/>
        <v>0.17469999999999999</v>
      </c>
      <c r="Q48" s="24">
        <v>65418</v>
      </c>
      <c r="R48" s="3">
        <v>500</v>
      </c>
      <c r="S48" s="1" t="s">
        <v>114</v>
      </c>
      <c r="T48" s="9">
        <f t="shared" si="3"/>
        <v>2281.5</v>
      </c>
      <c r="U48" s="9"/>
      <c r="V48" s="55">
        <v>156599</v>
      </c>
      <c r="W48" s="1"/>
      <c r="X48" s="36"/>
      <c r="Y48" s="36"/>
    </row>
    <row r="49" spans="2:25" s="61" customFormat="1" x14ac:dyDescent="0.25">
      <c r="B49" s="1" t="s">
        <v>162</v>
      </c>
      <c r="C49" s="3" t="s">
        <v>72</v>
      </c>
      <c r="D49" s="3" t="s">
        <v>78</v>
      </c>
      <c r="E49" s="4">
        <v>36557</v>
      </c>
      <c r="F49" s="4">
        <v>36860</v>
      </c>
      <c r="G49" s="1" t="s">
        <v>80</v>
      </c>
      <c r="H49" s="1" t="s">
        <v>84</v>
      </c>
      <c r="I49" s="3" t="s">
        <v>81</v>
      </c>
      <c r="J49" s="8">
        <f>6.449/J$1</f>
        <v>0.21496666666666667</v>
      </c>
      <c r="K49" s="5">
        <v>1.32E-2</v>
      </c>
      <c r="L49" s="5">
        <v>2.2000000000000001E-3</v>
      </c>
      <c r="M49" s="5">
        <v>7.1999999999999998E-3</v>
      </c>
      <c r="N49" s="5">
        <v>0</v>
      </c>
      <c r="O49" s="42">
        <v>2.1160000000000002E-2</v>
      </c>
      <c r="P49" s="5">
        <f t="shared" si="0"/>
        <v>0.23756666666666668</v>
      </c>
      <c r="Q49" s="24">
        <v>65556</v>
      </c>
      <c r="R49" s="3">
        <v>3</v>
      </c>
      <c r="S49" s="1" t="s">
        <v>102</v>
      </c>
      <c r="T49" s="9">
        <f t="shared" si="3"/>
        <v>19.347000000000001</v>
      </c>
      <c r="U49" s="9"/>
      <c r="V49" s="55">
        <v>156602</v>
      </c>
      <c r="W49" s="1"/>
      <c r="X49" s="36"/>
      <c r="Y49" s="36"/>
    </row>
    <row r="50" spans="2:25" s="61" customFormat="1" x14ac:dyDescent="0.25">
      <c r="B50" s="1" t="s">
        <v>162</v>
      </c>
      <c r="C50" s="3" t="s">
        <v>72</v>
      </c>
      <c r="D50" s="3" t="s">
        <v>74</v>
      </c>
      <c r="E50" s="4">
        <v>36557</v>
      </c>
      <c r="F50" s="4">
        <v>36922</v>
      </c>
      <c r="G50" s="1" t="s">
        <v>164</v>
      </c>
      <c r="H50" s="1" t="s">
        <v>165</v>
      </c>
      <c r="I50" s="3" t="s">
        <v>81</v>
      </c>
      <c r="J50" s="8">
        <f>6.449/J$1</f>
        <v>0.21496666666666667</v>
      </c>
      <c r="K50" s="5"/>
      <c r="L50" s="5"/>
      <c r="M50" s="5"/>
      <c r="N50" s="5"/>
      <c r="O50" s="42"/>
      <c r="P50" s="5"/>
      <c r="Q50" s="24">
        <v>66280</v>
      </c>
      <c r="R50" s="3">
        <v>1</v>
      </c>
      <c r="S50" s="1" t="s">
        <v>167</v>
      </c>
      <c r="T50" s="9">
        <f t="shared" si="3"/>
        <v>6.4489999999999998</v>
      </c>
      <c r="U50" s="9"/>
      <c r="V50" s="55">
        <v>156606</v>
      </c>
      <c r="W50" s="1"/>
      <c r="X50" s="36"/>
      <c r="Y50" s="36"/>
    </row>
    <row r="51" spans="2:25" s="61" customFormat="1" x14ac:dyDescent="0.25">
      <c r="B51" s="1" t="s">
        <v>162</v>
      </c>
      <c r="C51" s="3" t="s">
        <v>72</v>
      </c>
      <c r="D51" s="3" t="s">
        <v>74</v>
      </c>
      <c r="E51" s="4">
        <v>36557</v>
      </c>
      <c r="F51" s="4">
        <v>36922</v>
      </c>
      <c r="G51" s="1" t="s">
        <v>164</v>
      </c>
      <c r="H51" s="1" t="s">
        <v>166</v>
      </c>
      <c r="I51" s="3" t="s">
        <v>81</v>
      </c>
      <c r="J51" s="8">
        <f>6.449/J$1</f>
        <v>0.21496666666666667</v>
      </c>
      <c r="K51" s="5"/>
      <c r="L51" s="5"/>
      <c r="M51" s="5"/>
      <c r="N51" s="5"/>
      <c r="O51" s="42"/>
      <c r="P51" s="5"/>
      <c r="Q51" s="24">
        <v>66280</v>
      </c>
      <c r="R51" s="3">
        <v>4</v>
      </c>
      <c r="S51" s="1" t="s">
        <v>167</v>
      </c>
      <c r="T51" s="9">
        <f t="shared" si="3"/>
        <v>25.795999999999999</v>
      </c>
      <c r="U51" s="9"/>
      <c r="V51" s="55">
        <v>156606</v>
      </c>
      <c r="W51" s="1"/>
      <c r="X51" s="36"/>
      <c r="Y51" s="36"/>
    </row>
    <row r="52" spans="2:25" s="61" customFormat="1" x14ac:dyDescent="0.25">
      <c r="B52" s="1" t="s">
        <v>162</v>
      </c>
      <c r="C52" s="3" t="s">
        <v>72</v>
      </c>
      <c r="D52" s="3" t="s">
        <v>74</v>
      </c>
      <c r="E52" s="4">
        <v>36656</v>
      </c>
      <c r="F52" s="4">
        <v>36950</v>
      </c>
      <c r="G52" s="1" t="s">
        <v>164</v>
      </c>
      <c r="H52" s="29" t="s">
        <v>165</v>
      </c>
      <c r="I52" s="3" t="s">
        <v>81</v>
      </c>
      <c r="J52" s="8">
        <v>6.4489999999999998</v>
      </c>
      <c r="K52" s="5"/>
      <c r="L52" s="5"/>
      <c r="M52" s="5"/>
      <c r="N52" s="5"/>
      <c r="O52" s="42"/>
      <c r="P52" s="5"/>
      <c r="Q52" s="24">
        <v>68308</v>
      </c>
      <c r="R52" s="3">
        <v>5</v>
      </c>
      <c r="S52" s="1" t="s">
        <v>332</v>
      </c>
      <c r="T52" s="9">
        <f>+R52*J52</f>
        <v>32.244999999999997</v>
      </c>
      <c r="U52" s="9"/>
      <c r="V52" s="55">
        <v>262094</v>
      </c>
      <c r="W52" s="1"/>
      <c r="X52" s="36"/>
      <c r="Y52" s="36"/>
    </row>
    <row r="53" spans="2:25" s="61" customFormat="1" x14ac:dyDescent="0.25">
      <c r="B53" s="1" t="s">
        <v>162</v>
      </c>
      <c r="C53" s="3" t="s">
        <v>72</v>
      </c>
      <c r="D53" s="3" t="s">
        <v>74</v>
      </c>
      <c r="E53" s="4">
        <v>36656</v>
      </c>
      <c r="F53" s="4">
        <v>36950</v>
      </c>
      <c r="G53" s="1" t="s">
        <v>164</v>
      </c>
      <c r="H53" s="29" t="s">
        <v>166</v>
      </c>
      <c r="I53" s="3" t="s">
        <v>81</v>
      </c>
      <c r="J53" s="8">
        <v>6.4489999999999998</v>
      </c>
      <c r="K53" s="5"/>
      <c r="L53" s="5"/>
      <c r="M53" s="5"/>
      <c r="N53" s="5"/>
      <c r="O53" s="42"/>
      <c r="P53" s="5"/>
      <c r="Q53" s="24">
        <v>68308</v>
      </c>
      <c r="R53" s="3">
        <v>4</v>
      </c>
      <c r="S53" s="1" t="s">
        <v>332</v>
      </c>
      <c r="T53" s="9">
        <f>+R53*J53</f>
        <v>25.795999999999999</v>
      </c>
      <c r="U53" s="9"/>
      <c r="V53" s="55">
        <v>262094</v>
      </c>
      <c r="W53" s="1"/>
      <c r="X53" s="36"/>
      <c r="Y53" s="36"/>
    </row>
    <row r="54" spans="2:25" s="61" customFormat="1" x14ac:dyDescent="0.25">
      <c r="B54" s="1" t="s">
        <v>162</v>
      </c>
      <c r="C54" s="3" t="s">
        <v>72</v>
      </c>
      <c r="D54" s="3" t="s">
        <v>74</v>
      </c>
      <c r="E54" s="4">
        <v>36708</v>
      </c>
      <c r="F54" s="4">
        <v>37072</v>
      </c>
      <c r="G54" s="1" t="s">
        <v>65</v>
      </c>
      <c r="H54" s="1" t="s">
        <v>58</v>
      </c>
      <c r="I54" s="3" t="s">
        <v>120</v>
      </c>
      <c r="J54" s="8">
        <f>3.145/J$1</f>
        <v>0.10483333333333333</v>
      </c>
      <c r="K54" s="5">
        <v>1.32E-2</v>
      </c>
      <c r="L54" s="5">
        <v>2.2000000000000001E-3</v>
      </c>
      <c r="M54" s="5">
        <v>0</v>
      </c>
      <c r="N54" s="5">
        <v>0</v>
      </c>
      <c r="O54" s="42">
        <v>2.1160000000000002E-2</v>
      </c>
      <c r="P54" s="5">
        <f>SUM(J54:N54)</f>
        <v>0.12023333333333333</v>
      </c>
      <c r="Q54" s="24">
        <v>68635</v>
      </c>
      <c r="R54" s="3">
        <v>1</v>
      </c>
      <c r="S54" s="1" t="s">
        <v>368</v>
      </c>
      <c r="T54" s="9">
        <f>J54*J$1*R54</f>
        <v>3.145</v>
      </c>
      <c r="U54" s="9"/>
      <c r="V54" s="55">
        <v>312333</v>
      </c>
      <c r="W54" s="1"/>
      <c r="X54" s="36"/>
      <c r="Y54" s="36"/>
    </row>
    <row r="55" spans="2:25" s="61" customFormat="1" x14ac:dyDescent="0.25">
      <c r="B55" s="1" t="s">
        <v>162</v>
      </c>
      <c r="C55" s="3" t="s">
        <v>72</v>
      </c>
      <c r="D55" s="3" t="s">
        <v>255</v>
      </c>
      <c r="E55" s="4">
        <v>36617</v>
      </c>
      <c r="F55" s="4" t="s">
        <v>256</v>
      </c>
      <c r="G55" s="1" t="s">
        <v>257</v>
      </c>
      <c r="H55" s="1"/>
      <c r="I55" s="3" t="s">
        <v>258</v>
      </c>
      <c r="J55" s="8"/>
      <c r="K55" s="5"/>
      <c r="L55" s="5"/>
      <c r="M55" s="5"/>
      <c r="N55" s="5"/>
      <c r="O55" s="42"/>
      <c r="P55" s="5"/>
      <c r="Q55" s="24">
        <v>66917</v>
      </c>
      <c r="R55" s="3"/>
      <c r="S55" s="1"/>
      <c r="T55" s="9"/>
      <c r="U55" s="9"/>
      <c r="V55" s="55">
        <v>228085</v>
      </c>
      <c r="W55" s="1"/>
      <c r="X55" s="36"/>
      <c r="Y55" s="36"/>
    </row>
    <row r="56" spans="2:25" s="61" customFormat="1" x14ac:dyDescent="0.25">
      <c r="B56" s="1" t="s">
        <v>162</v>
      </c>
      <c r="C56" s="3" t="s">
        <v>72</v>
      </c>
      <c r="D56" s="3" t="s">
        <v>74</v>
      </c>
      <c r="E56" s="4">
        <v>36617</v>
      </c>
      <c r="F56" s="4">
        <v>36981</v>
      </c>
      <c r="G56" s="1" t="s">
        <v>164</v>
      </c>
      <c r="H56" s="1" t="s">
        <v>165</v>
      </c>
      <c r="I56" s="3" t="s">
        <v>81</v>
      </c>
      <c r="J56" s="8">
        <v>6.4009999999999998</v>
      </c>
      <c r="K56" s="5"/>
      <c r="L56" s="5"/>
      <c r="M56" s="5"/>
      <c r="N56" s="5"/>
      <c r="O56" s="42"/>
      <c r="P56" s="5"/>
      <c r="Q56" s="24">
        <v>66939</v>
      </c>
      <c r="R56" s="3">
        <v>5</v>
      </c>
      <c r="S56" s="1" t="s">
        <v>33</v>
      </c>
      <c r="T56" s="9">
        <f t="shared" ref="T56:T67" si="5">+R56*J56</f>
        <v>32.004999999999995</v>
      </c>
      <c r="U56" s="9"/>
      <c r="V56" s="55"/>
      <c r="W56" s="1"/>
      <c r="X56" s="36"/>
      <c r="Y56" s="36"/>
    </row>
    <row r="57" spans="2:25" s="61" customFormat="1" x14ac:dyDescent="0.25">
      <c r="B57" s="1" t="s">
        <v>162</v>
      </c>
      <c r="C57" s="3" t="s">
        <v>72</v>
      </c>
      <c r="D57" s="3" t="s">
        <v>74</v>
      </c>
      <c r="E57" s="4">
        <v>36617</v>
      </c>
      <c r="F57" s="4">
        <v>36981</v>
      </c>
      <c r="G57" s="1" t="s">
        <v>164</v>
      </c>
      <c r="H57" s="1" t="s">
        <v>166</v>
      </c>
      <c r="I57" s="3" t="s">
        <v>81</v>
      </c>
      <c r="J57" s="8">
        <v>6.4009999999999998</v>
      </c>
      <c r="K57" s="5"/>
      <c r="L57" s="5"/>
      <c r="M57" s="5"/>
      <c r="N57" s="5"/>
      <c r="O57" s="42"/>
      <c r="P57" s="5"/>
      <c r="Q57" s="24">
        <v>66939</v>
      </c>
      <c r="R57" s="3">
        <v>27</v>
      </c>
      <c r="S57" s="1" t="s">
        <v>33</v>
      </c>
      <c r="T57" s="9">
        <f t="shared" si="5"/>
        <v>172.827</v>
      </c>
      <c r="U57" s="9"/>
      <c r="V57" s="55"/>
      <c r="W57" s="1"/>
      <c r="X57" s="36"/>
      <c r="Y57" s="36"/>
    </row>
    <row r="58" spans="2:25" s="61" customFormat="1" x14ac:dyDescent="0.25">
      <c r="B58" s="1" t="s">
        <v>162</v>
      </c>
      <c r="C58" s="3" t="s">
        <v>72</v>
      </c>
      <c r="D58" s="3" t="s">
        <v>74</v>
      </c>
      <c r="E58" s="4">
        <v>36617</v>
      </c>
      <c r="F58" s="4">
        <v>36981</v>
      </c>
      <c r="G58" s="1" t="s">
        <v>164</v>
      </c>
      <c r="H58" s="1" t="s">
        <v>302</v>
      </c>
      <c r="I58" s="3" t="s">
        <v>81</v>
      </c>
      <c r="J58" s="8">
        <v>6.4009999999999998</v>
      </c>
      <c r="K58" s="5"/>
      <c r="L58" s="5"/>
      <c r="M58" s="5"/>
      <c r="N58" s="5"/>
      <c r="O58" s="42"/>
      <c r="P58" s="5"/>
      <c r="Q58" s="24">
        <v>66939</v>
      </c>
      <c r="R58" s="3">
        <v>3</v>
      </c>
      <c r="S58" s="1" t="s">
        <v>33</v>
      </c>
      <c r="T58" s="9">
        <f t="shared" si="5"/>
        <v>19.202999999999999</v>
      </c>
      <c r="U58" s="9"/>
      <c r="V58" s="55"/>
      <c r="W58" s="1"/>
      <c r="X58" s="36"/>
      <c r="Y58" s="36"/>
    </row>
    <row r="59" spans="2:25" s="61" customFormat="1" x14ac:dyDescent="0.25">
      <c r="B59" s="1" t="s">
        <v>162</v>
      </c>
      <c r="C59" s="3" t="s">
        <v>72</v>
      </c>
      <c r="D59" s="3" t="s">
        <v>74</v>
      </c>
      <c r="E59" s="4">
        <v>36617</v>
      </c>
      <c r="F59" s="4">
        <v>36981</v>
      </c>
      <c r="G59" s="1" t="s">
        <v>164</v>
      </c>
      <c r="H59" s="1" t="s">
        <v>303</v>
      </c>
      <c r="I59" s="3" t="s">
        <v>81</v>
      </c>
      <c r="J59" s="8">
        <v>6.4009999999999998</v>
      </c>
      <c r="K59" s="5"/>
      <c r="L59" s="5"/>
      <c r="M59" s="5"/>
      <c r="N59" s="5"/>
      <c r="O59" s="42"/>
      <c r="P59" s="5"/>
      <c r="Q59" s="24">
        <v>66939</v>
      </c>
      <c r="R59" s="3">
        <v>17</v>
      </c>
      <c r="S59" s="1" t="s">
        <v>33</v>
      </c>
      <c r="T59" s="9">
        <f t="shared" si="5"/>
        <v>108.81699999999999</v>
      </c>
      <c r="U59" s="9"/>
      <c r="V59" s="55"/>
      <c r="W59" s="1"/>
      <c r="X59" s="36"/>
      <c r="Y59" s="36"/>
    </row>
    <row r="60" spans="2:25" s="61" customFormat="1" x14ac:dyDescent="0.25">
      <c r="B60" s="1" t="s">
        <v>162</v>
      </c>
      <c r="C60" s="3" t="s">
        <v>72</v>
      </c>
      <c r="D60" s="3" t="s">
        <v>73</v>
      </c>
      <c r="E60" s="4">
        <v>36617</v>
      </c>
      <c r="F60" s="4">
        <v>36981</v>
      </c>
      <c r="G60" s="1" t="s">
        <v>164</v>
      </c>
      <c r="H60" s="1" t="s">
        <v>304</v>
      </c>
      <c r="I60" s="3" t="s">
        <v>81</v>
      </c>
      <c r="J60" s="8">
        <v>6.4009999999999998</v>
      </c>
      <c r="K60" s="5"/>
      <c r="L60" s="5"/>
      <c r="M60" s="5"/>
      <c r="N60" s="5"/>
      <c r="O60" s="42"/>
      <c r="P60" s="5"/>
      <c r="Q60" s="24">
        <v>66940</v>
      </c>
      <c r="R60" s="3">
        <v>1</v>
      </c>
      <c r="S60" s="29" t="s">
        <v>259</v>
      </c>
      <c r="T60" s="9">
        <f t="shared" si="5"/>
        <v>6.4009999999999998</v>
      </c>
      <c r="U60" s="9"/>
      <c r="V60" s="55">
        <v>228134</v>
      </c>
      <c r="W60" s="1"/>
      <c r="X60" s="36"/>
      <c r="Y60" s="36"/>
    </row>
    <row r="61" spans="2:25" s="61" customFormat="1" x14ac:dyDescent="0.25">
      <c r="B61" s="1" t="s">
        <v>162</v>
      </c>
      <c r="C61" s="3" t="s">
        <v>72</v>
      </c>
      <c r="D61" s="3" t="s">
        <v>73</v>
      </c>
      <c r="E61" s="4">
        <v>36617</v>
      </c>
      <c r="F61" s="4">
        <v>36981</v>
      </c>
      <c r="G61" s="1" t="s">
        <v>164</v>
      </c>
      <c r="H61" s="1" t="s">
        <v>305</v>
      </c>
      <c r="I61" s="3" t="s">
        <v>81</v>
      </c>
      <c r="J61" s="8">
        <v>6.4009999999999998</v>
      </c>
      <c r="K61" s="5"/>
      <c r="L61" s="5"/>
      <c r="M61" s="5"/>
      <c r="N61" s="5"/>
      <c r="O61" s="42"/>
      <c r="P61" s="5"/>
      <c r="Q61" s="24">
        <v>66940</v>
      </c>
      <c r="R61" s="3">
        <v>1</v>
      </c>
      <c r="S61" s="29" t="s">
        <v>259</v>
      </c>
      <c r="T61" s="9">
        <f t="shared" si="5"/>
        <v>6.4009999999999998</v>
      </c>
      <c r="U61" s="9"/>
      <c r="V61" s="55">
        <v>228134</v>
      </c>
      <c r="W61" s="1"/>
      <c r="X61" s="36"/>
      <c r="Y61" s="36"/>
    </row>
    <row r="62" spans="2:25" s="61" customFormat="1" x14ac:dyDescent="0.25">
      <c r="B62" s="1" t="s">
        <v>162</v>
      </c>
      <c r="C62" s="3" t="s">
        <v>72</v>
      </c>
      <c r="D62" s="3" t="s">
        <v>73</v>
      </c>
      <c r="E62" s="4">
        <v>36647</v>
      </c>
      <c r="F62" s="4">
        <v>37011</v>
      </c>
      <c r="G62" s="1" t="s">
        <v>319</v>
      </c>
      <c r="H62" s="1" t="s">
        <v>320</v>
      </c>
      <c r="I62" s="3" t="s">
        <v>81</v>
      </c>
      <c r="J62" s="8">
        <f>6.401/J1</f>
        <v>0.21336666666666665</v>
      </c>
      <c r="K62" s="5"/>
      <c r="L62" s="5"/>
      <c r="M62" s="5"/>
      <c r="N62" s="5"/>
      <c r="O62" s="42"/>
      <c r="P62" s="5"/>
      <c r="Q62" s="24">
        <v>68188</v>
      </c>
      <c r="R62" s="3">
        <v>1</v>
      </c>
      <c r="S62" s="1" t="s">
        <v>321</v>
      </c>
      <c r="T62" s="9">
        <f>+J62*R62*13</f>
        <v>2.7737666666666665</v>
      </c>
      <c r="U62" s="9"/>
      <c r="V62" s="55">
        <v>253195</v>
      </c>
      <c r="W62" s="1"/>
      <c r="X62" s="36"/>
      <c r="Y62" s="36"/>
    </row>
    <row r="63" spans="2:25" s="112" customFormat="1" x14ac:dyDescent="0.25">
      <c r="B63" s="57" t="s">
        <v>162</v>
      </c>
      <c r="C63" s="40" t="s">
        <v>72</v>
      </c>
      <c r="D63" s="40" t="s">
        <v>159</v>
      </c>
      <c r="E63" s="109">
        <v>36312</v>
      </c>
      <c r="F63" s="109">
        <v>37011</v>
      </c>
      <c r="G63" s="59" t="s">
        <v>80</v>
      </c>
      <c r="H63" s="59" t="s">
        <v>347</v>
      </c>
      <c r="I63" s="40" t="s">
        <v>81</v>
      </c>
      <c r="J63" s="110"/>
      <c r="K63" s="23"/>
      <c r="L63" s="23"/>
      <c r="M63" s="23"/>
      <c r="N63" s="23"/>
      <c r="O63" s="111"/>
      <c r="P63" s="23"/>
      <c r="Q63" s="48">
        <v>65403</v>
      </c>
      <c r="R63" s="40"/>
      <c r="S63" s="57" t="s">
        <v>382</v>
      </c>
      <c r="T63" s="28"/>
      <c r="U63" s="28"/>
      <c r="V63" s="51"/>
      <c r="W63" s="57" t="s">
        <v>381</v>
      </c>
      <c r="X63" s="35"/>
      <c r="Y63" s="35"/>
    </row>
    <row r="64" spans="2:25" s="112" customFormat="1" x14ac:dyDescent="0.25">
      <c r="B64" s="57" t="s">
        <v>162</v>
      </c>
      <c r="C64" s="40" t="s">
        <v>72</v>
      </c>
      <c r="D64" s="40" t="s">
        <v>121</v>
      </c>
      <c r="E64" s="109">
        <v>36739</v>
      </c>
      <c r="F64" s="109">
        <v>37103</v>
      </c>
      <c r="G64" s="57" t="s">
        <v>164</v>
      </c>
      <c r="H64" s="57" t="s">
        <v>386</v>
      </c>
      <c r="I64" s="40" t="s">
        <v>81</v>
      </c>
      <c r="J64" s="110">
        <v>6.4009999999999998</v>
      </c>
      <c r="K64" s="23"/>
      <c r="L64" s="23"/>
      <c r="M64" s="23"/>
      <c r="N64" s="23"/>
      <c r="O64" s="111"/>
      <c r="P64" s="23"/>
      <c r="Q64" s="48">
        <v>68928</v>
      </c>
      <c r="R64" s="40">
        <v>47</v>
      </c>
      <c r="S64" s="57" t="s">
        <v>5</v>
      </c>
      <c r="T64" s="28">
        <f>+J64*R64</f>
        <v>300.84699999999998</v>
      </c>
      <c r="U64" s="28"/>
      <c r="V64" s="51">
        <v>351966</v>
      </c>
      <c r="W64" s="57"/>
      <c r="X64" s="35"/>
      <c r="Y64" s="35"/>
    </row>
    <row r="65" spans="2:25" s="112" customFormat="1" x14ac:dyDescent="0.25">
      <c r="B65" s="57" t="s">
        <v>162</v>
      </c>
      <c r="C65" s="40" t="s">
        <v>72</v>
      </c>
      <c r="D65" s="40" t="s">
        <v>74</v>
      </c>
      <c r="E65" s="109">
        <v>36770</v>
      </c>
      <c r="F65" s="109">
        <v>37134</v>
      </c>
      <c r="G65" s="57" t="s">
        <v>164</v>
      </c>
      <c r="H65" s="57" t="s">
        <v>397</v>
      </c>
      <c r="I65" s="40" t="s">
        <v>81</v>
      </c>
      <c r="J65" s="110">
        <v>6.4009999999999998</v>
      </c>
      <c r="K65" s="23"/>
      <c r="L65" s="23"/>
      <c r="M65" s="23"/>
      <c r="N65" s="23"/>
      <c r="O65" s="111"/>
      <c r="P65" s="23"/>
      <c r="Q65" s="48">
        <v>69144</v>
      </c>
      <c r="R65" s="40">
        <v>62</v>
      </c>
      <c r="S65" s="57" t="s">
        <v>398</v>
      </c>
      <c r="T65" s="28">
        <f>+J65*R65</f>
        <v>396.86199999999997</v>
      </c>
      <c r="U65" s="28"/>
      <c r="V65" s="51"/>
      <c r="W65" s="57"/>
      <c r="X65" s="35"/>
      <c r="Y65" s="35"/>
    </row>
    <row r="66" spans="2:25" s="112" customFormat="1" x14ac:dyDescent="0.25">
      <c r="B66" s="57" t="s">
        <v>162</v>
      </c>
      <c r="C66" s="40" t="s">
        <v>72</v>
      </c>
      <c r="D66" s="40" t="s">
        <v>121</v>
      </c>
      <c r="E66" s="109">
        <v>36647</v>
      </c>
      <c r="F66" s="109">
        <v>37011</v>
      </c>
      <c r="G66" s="57" t="s">
        <v>164</v>
      </c>
      <c r="H66" s="57" t="s">
        <v>326</v>
      </c>
      <c r="I66" s="40" t="s">
        <v>81</v>
      </c>
      <c r="J66" s="110">
        <v>6.4009999999999998</v>
      </c>
      <c r="K66" s="23"/>
      <c r="L66" s="23"/>
      <c r="M66" s="23"/>
      <c r="N66" s="23"/>
      <c r="O66" s="111"/>
      <c r="P66" s="23"/>
      <c r="Q66" s="48">
        <v>68257</v>
      </c>
      <c r="R66" s="40">
        <v>21</v>
      </c>
      <c r="S66" s="57" t="s">
        <v>327</v>
      </c>
      <c r="T66" s="28">
        <f t="shared" si="5"/>
        <v>134.42099999999999</v>
      </c>
      <c r="U66" s="28"/>
      <c r="V66" s="51">
        <v>254718</v>
      </c>
      <c r="W66" s="57"/>
      <c r="X66" s="35"/>
      <c r="Y66" s="35"/>
    </row>
    <row r="67" spans="2:25" x14ac:dyDescent="0.25">
      <c r="T67" s="9">
        <f t="shared" si="5"/>
        <v>0</v>
      </c>
    </row>
    <row r="68" spans="2:25" x14ac:dyDescent="0.25">
      <c r="B68" s="10" t="s">
        <v>37</v>
      </c>
      <c r="C68" s="11" t="s">
        <v>37</v>
      </c>
      <c r="D68" s="11" t="s">
        <v>37</v>
      </c>
      <c r="E68" s="13" t="s">
        <v>37</v>
      </c>
      <c r="F68" s="13" t="s">
        <v>37</v>
      </c>
      <c r="G68" s="10" t="s">
        <v>37</v>
      </c>
      <c r="H68" s="30" t="s">
        <v>37</v>
      </c>
      <c r="I68" s="11" t="s">
        <v>37</v>
      </c>
      <c r="J68" s="14"/>
      <c r="K68" s="15"/>
      <c r="L68" s="15"/>
      <c r="M68" s="15"/>
      <c r="N68" s="15"/>
      <c r="O68" s="44"/>
      <c r="P68" s="15"/>
      <c r="Q68" s="26" t="s">
        <v>37</v>
      </c>
      <c r="R68" s="11">
        <f>SUM(R31:R66)</f>
        <v>22366</v>
      </c>
      <c r="S68" s="10" t="s">
        <v>37</v>
      </c>
      <c r="T68" s="22">
        <f>SUM(T19:T66)</f>
        <v>882664.70686666644</v>
      </c>
      <c r="U68" s="22" t="e">
        <f>SUM(#REF!)</f>
        <v>#REF!</v>
      </c>
      <c r="V68" s="54"/>
      <c r="W68" s="30"/>
      <c r="X68" s="36"/>
      <c r="Y68" s="36"/>
    </row>
    <row r="69" spans="2:25" x14ac:dyDescent="0.25">
      <c r="B69" s="16" t="s">
        <v>38</v>
      </c>
      <c r="C69" s="17" t="s">
        <v>39</v>
      </c>
      <c r="D69" s="17" t="s">
        <v>40</v>
      </c>
      <c r="E69" s="18" t="s">
        <v>41</v>
      </c>
      <c r="F69" s="18"/>
      <c r="G69" s="16" t="s">
        <v>42</v>
      </c>
      <c r="H69" s="16" t="s">
        <v>43</v>
      </c>
      <c r="I69" s="17" t="s">
        <v>77</v>
      </c>
      <c r="J69" s="19" t="s">
        <v>44</v>
      </c>
      <c r="K69" s="17" t="s">
        <v>45</v>
      </c>
      <c r="L69" s="17" t="s">
        <v>46</v>
      </c>
      <c r="M69" s="17" t="s">
        <v>47</v>
      </c>
      <c r="N69" s="17" t="s">
        <v>48</v>
      </c>
      <c r="O69" s="43" t="s">
        <v>49</v>
      </c>
      <c r="P69" s="17" t="s">
        <v>50</v>
      </c>
      <c r="Q69" s="20" t="s">
        <v>160</v>
      </c>
      <c r="R69" s="17" t="s">
        <v>51</v>
      </c>
      <c r="S69" s="16" t="s">
        <v>52</v>
      </c>
      <c r="T69" s="21" t="s">
        <v>76</v>
      </c>
      <c r="U69" s="21" t="s">
        <v>75</v>
      </c>
      <c r="V69" s="53" t="s">
        <v>161</v>
      </c>
      <c r="W69" s="58">
        <f>+W38</f>
        <v>0</v>
      </c>
      <c r="X69" s="36"/>
      <c r="Y69" s="36"/>
    </row>
    <row r="70" spans="2:25" s="129" customFormat="1" ht="12" customHeight="1" x14ac:dyDescent="0.25">
      <c r="B70" s="118" t="s">
        <v>162</v>
      </c>
      <c r="C70" s="119" t="s">
        <v>221</v>
      </c>
      <c r="D70" s="119" t="s">
        <v>331</v>
      </c>
      <c r="E70" s="120">
        <v>35612</v>
      </c>
      <c r="F70" s="120">
        <v>37437</v>
      </c>
      <c r="G70" s="121" t="s">
        <v>222</v>
      </c>
      <c r="H70" s="118" t="s">
        <v>223</v>
      </c>
      <c r="I70" s="119" t="s">
        <v>81</v>
      </c>
      <c r="J70" s="122">
        <f>+(5.7625+0.2)/J$1</f>
        <v>0.19875000000000001</v>
      </c>
      <c r="K70" s="123">
        <v>0</v>
      </c>
      <c r="L70" s="123">
        <v>2.2000000000000001E-3</v>
      </c>
      <c r="M70" s="123">
        <v>7.1999999999999998E-3</v>
      </c>
      <c r="N70" s="123">
        <v>0</v>
      </c>
      <c r="O70" s="124">
        <v>0</v>
      </c>
      <c r="P70" s="123">
        <f>SUM(J70:N70)</f>
        <v>0.20815000000000003</v>
      </c>
      <c r="Q70" s="125">
        <v>270</v>
      </c>
      <c r="R70" s="119">
        <v>1000</v>
      </c>
      <c r="S70" s="118"/>
      <c r="T70" s="126">
        <f>J70*J$1*R70</f>
        <v>5962.5</v>
      </c>
      <c r="U70" s="126"/>
      <c r="V70" s="127">
        <v>348630</v>
      </c>
      <c r="W70" s="118"/>
      <c r="X70" s="128"/>
      <c r="Y70" s="128"/>
    </row>
    <row r="71" spans="2:25" s="61" customFormat="1" ht="12" customHeight="1" x14ac:dyDescent="0.25">
      <c r="B71" s="1"/>
      <c r="C71" s="3"/>
      <c r="D71" s="3"/>
      <c r="E71" s="4"/>
      <c r="F71" s="4"/>
      <c r="G71" s="29"/>
      <c r="H71" s="29"/>
      <c r="I71" s="3"/>
      <c r="J71" s="8"/>
      <c r="K71" s="5"/>
      <c r="L71" s="5"/>
      <c r="M71" s="5"/>
      <c r="N71" s="5"/>
      <c r="O71" s="42"/>
      <c r="P71" s="5"/>
      <c r="Q71" s="24"/>
      <c r="R71" s="3"/>
      <c r="S71" s="1"/>
      <c r="T71" s="9">
        <f>SUM(T70)</f>
        <v>5962.5</v>
      </c>
      <c r="U71" s="9"/>
      <c r="V71" s="55"/>
      <c r="W71" s="1"/>
      <c r="X71" s="36"/>
      <c r="Y71" s="36"/>
    </row>
    <row r="72" spans="2:25" x14ac:dyDescent="0.25">
      <c r="B72" s="27"/>
      <c r="C72" s="3"/>
      <c r="D72" s="3"/>
      <c r="E72" s="4"/>
      <c r="F72" s="4"/>
      <c r="G72" s="1"/>
      <c r="H72" s="1"/>
      <c r="I72" s="3"/>
      <c r="J72" s="5"/>
      <c r="K72" s="5"/>
      <c r="L72" s="5"/>
      <c r="M72" s="5"/>
      <c r="N72" s="5"/>
      <c r="O72" s="42"/>
      <c r="P72" s="5"/>
      <c r="Q72" s="48"/>
      <c r="R72" s="49"/>
      <c r="S72" s="28"/>
      <c r="T72" s="28"/>
      <c r="U72" s="28"/>
      <c r="V72" s="51"/>
      <c r="W72" s="57"/>
      <c r="X72" s="35"/>
      <c r="Y72" s="35"/>
    </row>
    <row r="73" spans="2:25" x14ac:dyDescent="0.25">
      <c r="B73" s="27"/>
      <c r="C73" s="3"/>
      <c r="D73" s="3"/>
      <c r="E73" s="4"/>
      <c r="F73" s="4"/>
      <c r="G73" s="1"/>
      <c r="H73" s="1"/>
      <c r="I73" s="3"/>
      <c r="J73" s="8"/>
      <c r="K73" s="5"/>
      <c r="L73" s="5"/>
      <c r="M73" s="5"/>
      <c r="N73" s="5"/>
      <c r="O73" s="42"/>
      <c r="P73" s="5"/>
      <c r="Q73" s="48"/>
      <c r="R73" s="49"/>
      <c r="S73" s="28"/>
      <c r="T73" s="28"/>
      <c r="U73" s="28"/>
      <c r="V73" s="51"/>
      <c r="W73" s="57"/>
      <c r="X73" s="35"/>
      <c r="Y73" s="35"/>
    </row>
    <row r="74" spans="2:25" ht="13.8" thickBot="1" x14ac:dyDescent="0.3">
      <c r="B74" s="27"/>
      <c r="C74" s="3"/>
      <c r="D74" s="3"/>
      <c r="E74" s="4"/>
      <c r="F74" s="4"/>
      <c r="G74" s="1"/>
      <c r="H74" s="1"/>
      <c r="I74" s="3"/>
      <c r="J74" s="5"/>
      <c r="K74" s="5"/>
      <c r="L74" s="5"/>
      <c r="M74" s="5"/>
      <c r="N74" s="5"/>
      <c r="O74" s="42"/>
      <c r="P74" s="5"/>
      <c r="Q74" s="48"/>
      <c r="R74" s="49"/>
      <c r="S74" s="28"/>
      <c r="T74" s="106">
        <f>SUM(T71,T68,T17,)</f>
        <v>889087.03516666649</v>
      </c>
      <c r="U74" s="28" t="s">
        <v>175</v>
      </c>
      <c r="V74" s="51"/>
      <c r="W74" s="57"/>
      <c r="X74" s="35"/>
      <c r="Y74" s="35"/>
    </row>
    <row r="75" spans="2:25" ht="13.8" thickTop="1" x14ac:dyDescent="0.25">
      <c r="B75" s="27"/>
      <c r="C75" s="3"/>
      <c r="D75" s="3"/>
      <c r="E75" s="4"/>
      <c r="F75" s="4"/>
      <c r="G75" s="1"/>
      <c r="H75" s="1"/>
      <c r="I75" s="3"/>
      <c r="J75" s="5"/>
      <c r="K75" s="5"/>
      <c r="L75" s="5"/>
      <c r="M75" s="5"/>
      <c r="N75" s="5"/>
      <c r="O75" s="42"/>
      <c r="P75" s="5"/>
      <c r="Q75" s="48"/>
      <c r="R75" s="49"/>
      <c r="S75" s="28"/>
      <c r="T75" s="28"/>
      <c r="U75" s="57" t="s">
        <v>225</v>
      </c>
      <c r="V75" s="51"/>
      <c r="W75" s="57"/>
      <c r="X75" s="40"/>
      <c r="Y75" s="35"/>
    </row>
    <row r="76" spans="2:25" x14ac:dyDescent="0.25">
      <c r="B76" s="27"/>
      <c r="C76" s="3"/>
      <c r="D76" s="3"/>
      <c r="E76" s="4"/>
      <c r="F76" s="4"/>
      <c r="G76" s="1"/>
      <c r="H76" s="1"/>
      <c r="I76" s="3"/>
      <c r="J76" s="5"/>
      <c r="K76" s="5"/>
      <c r="L76" s="5"/>
      <c r="M76" s="5"/>
      <c r="N76" s="5"/>
      <c r="O76" s="42"/>
      <c r="P76" s="5"/>
      <c r="Q76" s="48"/>
      <c r="R76" s="49"/>
      <c r="S76" s="28"/>
      <c r="T76" s="28"/>
      <c r="U76" s="28"/>
      <c r="V76" s="51"/>
      <c r="W76" s="57"/>
      <c r="X76" s="35"/>
      <c r="Y76" s="35"/>
    </row>
    <row r="77" spans="2:25" x14ac:dyDescent="0.25">
      <c r="B77" s="27"/>
      <c r="C77" s="3"/>
      <c r="D77" s="3"/>
      <c r="E77" s="4"/>
      <c r="F77" s="4"/>
      <c r="G77" s="1"/>
      <c r="H77" s="1"/>
      <c r="I77" s="3"/>
      <c r="J77" s="5"/>
      <c r="K77" s="5"/>
      <c r="L77" s="5"/>
      <c r="M77" s="5"/>
      <c r="N77" s="5"/>
      <c r="O77" s="42"/>
      <c r="P77" s="5"/>
      <c r="Q77" s="48"/>
      <c r="R77" s="49"/>
      <c r="S77" s="28"/>
      <c r="T77" s="28"/>
      <c r="U77" s="28"/>
      <c r="V77" s="51"/>
      <c r="W77" s="57"/>
      <c r="X77" s="35"/>
      <c r="Y77" s="35"/>
    </row>
    <row r="78" spans="2:25" x14ac:dyDescent="0.25">
      <c r="B78" s="27"/>
      <c r="C78" s="3"/>
      <c r="D78" s="3"/>
      <c r="E78" s="4"/>
      <c r="F78" s="4"/>
      <c r="G78" s="1"/>
      <c r="H78" s="1"/>
      <c r="I78" s="3"/>
      <c r="J78" s="8"/>
      <c r="K78" s="5"/>
      <c r="L78" s="5"/>
      <c r="M78" s="5"/>
      <c r="N78" s="5"/>
      <c r="O78" s="42"/>
      <c r="P78" s="5"/>
      <c r="Q78" s="48"/>
      <c r="R78" s="49"/>
      <c r="S78" s="40"/>
      <c r="T78" s="28"/>
      <c r="U78" s="28"/>
      <c r="V78" s="51"/>
      <c r="W78" s="57"/>
      <c r="X78" s="35"/>
      <c r="Y78" s="35"/>
    </row>
    <row r="79" spans="2:25" x14ac:dyDescent="0.25">
      <c r="B79" s="27"/>
      <c r="C79" s="3"/>
      <c r="D79" s="3"/>
      <c r="E79" s="4"/>
      <c r="F79" s="4"/>
      <c r="G79" s="1"/>
      <c r="H79" s="1"/>
      <c r="I79" s="3"/>
      <c r="J79" s="8"/>
      <c r="K79" s="5"/>
      <c r="L79" s="5"/>
      <c r="M79" s="5"/>
      <c r="N79" s="5"/>
      <c r="O79" s="42"/>
      <c r="P79" s="5"/>
      <c r="Q79" s="48"/>
      <c r="R79" s="49"/>
      <c r="S79" s="40"/>
      <c r="T79" s="28"/>
      <c r="U79" s="28"/>
      <c r="V79" s="51"/>
      <c r="W79" s="57"/>
      <c r="X79" s="35"/>
      <c r="Y79" s="35"/>
    </row>
    <row r="80" spans="2:25" x14ac:dyDescent="0.25">
      <c r="Q80" s="34"/>
      <c r="R80" s="34"/>
      <c r="S80" s="34"/>
      <c r="T80" s="34"/>
      <c r="U80" s="34"/>
      <c r="V80" s="50"/>
      <c r="W80" s="60"/>
      <c r="X80" s="50"/>
    </row>
    <row r="81" spans="17:24" x14ac:dyDescent="0.25">
      <c r="Q81" s="34"/>
      <c r="R81" s="34"/>
      <c r="S81" s="34"/>
      <c r="T81" s="34"/>
      <c r="U81" s="34"/>
      <c r="V81" s="50"/>
      <c r="W81" s="60"/>
      <c r="X81" s="50"/>
    </row>
  </sheetData>
  <pageMargins left="0.75" right="0.75" top="1" bottom="1" header="0.5" footer="0.5"/>
  <pageSetup paperSize="5" scale="39" fitToHeight="0" orientation="landscape" r:id="rId1"/>
  <headerFooter alignWithMargins="0">
    <oddFooter>&amp;L&amp;F  &amp;A&amp;R&amp;D   &amp;T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8"/>
  <sheetViews>
    <sheetView topLeftCell="C1" workbookViewId="0">
      <selection activeCell="C1" sqref="A1:IV1"/>
    </sheetView>
  </sheetViews>
  <sheetFormatPr defaultRowHeight="13.2" x14ac:dyDescent="0.25"/>
  <cols>
    <col min="9" max="9" width="11.33203125" customWidth="1"/>
    <col min="11" max="11" width="11.33203125" customWidth="1"/>
    <col min="13" max="13" width="12.5546875" customWidth="1"/>
  </cols>
  <sheetData>
    <row r="1" spans="2:17" x14ac:dyDescent="0.25"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</row>
    <row r="2" spans="2:17" x14ac:dyDescent="0.25">
      <c r="B2" s="96"/>
      <c r="C2" s="96" t="s">
        <v>6</v>
      </c>
      <c r="D2" s="96">
        <v>37147</v>
      </c>
      <c r="E2" s="96" t="s">
        <v>7</v>
      </c>
      <c r="F2" s="96" t="s">
        <v>8</v>
      </c>
      <c r="G2" s="96" t="s">
        <v>8</v>
      </c>
      <c r="H2" s="97">
        <v>35582</v>
      </c>
      <c r="I2" s="96" t="s">
        <v>8</v>
      </c>
      <c r="J2" s="96" t="s">
        <v>8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  <c r="P2" s="96">
        <v>0</v>
      </c>
      <c r="Q2" s="96" t="s">
        <v>8</v>
      </c>
    </row>
    <row r="3" spans="2:17" x14ac:dyDescent="0.25">
      <c r="B3" s="98"/>
      <c r="C3" s="98" t="s">
        <v>6</v>
      </c>
      <c r="D3" s="98">
        <v>39149</v>
      </c>
      <c r="E3" s="98" t="s">
        <v>258</v>
      </c>
      <c r="F3" s="98" t="s">
        <v>8</v>
      </c>
      <c r="G3" s="98" t="s">
        <v>8</v>
      </c>
      <c r="H3" s="99">
        <v>35582</v>
      </c>
      <c r="I3" s="98" t="s">
        <v>8</v>
      </c>
      <c r="J3" s="98" t="s">
        <v>8</v>
      </c>
      <c r="K3" s="100">
        <v>500000</v>
      </c>
      <c r="L3" s="98">
        <v>0</v>
      </c>
      <c r="M3" s="100">
        <v>500000</v>
      </c>
      <c r="N3" s="98">
        <v>0</v>
      </c>
      <c r="O3" s="98">
        <v>0</v>
      </c>
      <c r="P3" s="98">
        <v>0</v>
      </c>
      <c r="Q3" s="98" t="s">
        <v>8</v>
      </c>
    </row>
    <row r="4" spans="2:17" x14ac:dyDescent="0.25">
      <c r="B4" s="96"/>
      <c r="C4" s="96" t="s">
        <v>6</v>
      </c>
      <c r="D4" s="96">
        <v>39607</v>
      </c>
      <c r="E4" s="96" t="s">
        <v>9</v>
      </c>
      <c r="F4" s="96" t="s">
        <v>8</v>
      </c>
      <c r="G4" s="96" t="s">
        <v>8</v>
      </c>
      <c r="H4" s="97">
        <v>35582</v>
      </c>
      <c r="I4" s="96" t="s">
        <v>8</v>
      </c>
      <c r="J4" s="96" t="s">
        <v>8</v>
      </c>
      <c r="K4" s="101">
        <v>10000000</v>
      </c>
      <c r="L4" s="96">
        <v>0</v>
      </c>
      <c r="M4" s="101">
        <v>10000000</v>
      </c>
      <c r="N4" s="96">
        <v>0</v>
      </c>
      <c r="O4" s="96">
        <v>0</v>
      </c>
      <c r="P4" s="96">
        <v>0</v>
      </c>
      <c r="Q4" s="96" t="s">
        <v>8</v>
      </c>
    </row>
    <row r="5" spans="2:17" x14ac:dyDescent="0.25">
      <c r="B5" s="98"/>
      <c r="C5" s="98" t="s">
        <v>6</v>
      </c>
      <c r="D5" s="98">
        <v>39764</v>
      </c>
      <c r="E5" s="98" t="s">
        <v>10</v>
      </c>
      <c r="F5" s="98" t="s">
        <v>8</v>
      </c>
      <c r="G5" s="98" t="s">
        <v>8</v>
      </c>
      <c r="H5" s="99">
        <v>35582</v>
      </c>
      <c r="I5" s="98" t="s">
        <v>8</v>
      </c>
      <c r="J5" s="98" t="s">
        <v>8</v>
      </c>
      <c r="K5" s="100">
        <v>60000</v>
      </c>
      <c r="L5" s="98">
        <v>0</v>
      </c>
      <c r="M5" s="100">
        <v>60000</v>
      </c>
      <c r="N5" s="98">
        <v>0</v>
      </c>
      <c r="O5" s="98">
        <v>0</v>
      </c>
      <c r="P5" s="98">
        <v>0</v>
      </c>
      <c r="Q5" s="98" t="s">
        <v>8</v>
      </c>
    </row>
    <row r="6" spans="2:17" x14ac:dyDescent="0.25">
      <c r="B6" s="96"/>
      <c r="C6" s="96" t="s">
        <v>6</v>
      </c>
      <c r="D6" s="96">
        <v>40998</v>
      </c>
      <c r="E6" s="96" t="s">
        <v>11</v>
      </c>
      <c r="F6" s="96" t="s">
        <v>8</v>
      </c>
      <c r="G6" s="96" t="s">
        <v>8</v>
      </c>
      <c r="H6" s="97">
        <v>34393</v>
      </c>
      <c r="I6" s="96" t="s">
        <v>8</v>
      </c>
      <c r="J6" s="96" t="s">
        <v>8</v>
      </c>
      <c r="K6" s="101">
        <v>250000</v>
      </c>
      <c r="L6" s="96">
        <v>0</v>
      </c>
      <c r="M6" s="101">
        <v>250000</v>
      </c>
      <c r="N6" s="96">
        <v>0</v>
      </c>
      <c r="O6" s="96">
        <v>0</v>
      </c>
      <c r="P6" s="96">
        <v>0</v>
      </c>
      <c r="Q6" s="96" t="s">
        <v>8</v>
      </c>
    </row>
    <row r="7" spans="2:17" x14ac:dyDescent="0.25">
      <c r="B7" s="98"/>
      <c r="C7" s="98" t="s">
        <v>6</v>
      </c>
      <c r="D7" s="98">
        <v>60094</v>
      </c>
      <c r="E7" s="98" t="s">
        <v>12</v>
      </c>
      <c r="F7" s="98" t="s">
        <v>8</v>
      </c>
      <c r="G7" s="98" t="s">
        <v>8</v>
      </c>
      <c r="H7" s="99">
        <v>35916</v>
      </c>
      <c r="I7" s="98" t="s">
        <v>8</v>
      </c>
      <c r="J7" s="98" t="s">
        <v>8</v>
      </c>
      <c r="K7" s="98">
        <v>0</v>
      </c>
      <c r="L7" s="98">
        <v>0</v>
      </c>
      <c r="M7" s="98">
        <v>0</v>
      </c>
      <c r="N7" s="98">
        <v>0</v>
      </c>
      <c r="O7" s="98">
        <v>0</v>
      </c>
      <c r="P7" s="98">
        <v>0</v>
      </c>
      <c r="Q7" s="98" t="s">
        <v>8</v>
      </c>
    </row>
    <row r="8" spans="2:17" x14ac:dyDescent="0.25">
      <c r="B8" s="96"/>
      <c r="C8" s="96" t="s">
        <v>6</v>
      </c>
      <c r="D8" s="96">
        <v>61822</v>
      </c>
      <c r="E8" s="96" t="s">
        <v>81</v>
      </c>
      <c r="F8" s="96" t="s">
        <v>8</v>
      </c>
      <c r="G8" s="96" t="s">
        <v>8</v>
      </c>
      <c r="H8" s="97">
        <v>36557</v>
      </c>
      <c r="I8" s="96" t="s">
        <v>8</v>
      </c>
      <c r="J8" s="96">
        <v>22429</v>
      </c>
      <c r="K8" s="101">
        <v>4000</v>
      </c>
      <c r="L8" s="96">
        <v>0</v>
      </c>
      <c r="M8" s="101">
        <v>4000</v>
      </c>
      <c r="N8" s="96">
        <v>0</v>
      </c>
      <c r="O8" s="96">
        <v>0</v>
      </c>
      <c r="P8" s="96">
        <v>0</v>
      </c>
      <c r="Q8" s="96" t="s">
        <v>8</v>
      </c>
    </row>
    <row r="9" spans="2:17" x14ac:dyDescent="0.25">
      <c r="B9" s="98"/>
      <c r="C9" s="98" t="s">
        <v>6</v>
      </c>
      <c r="D9" s="98">
        <v>61825</v>
      </c>
      <c r="E9" s="98" t="s">
        <v>81</v>
      </c>
      <c r="F9" s="98" t="s">
        <v>8</v>
      </c>
      <c r="G9" s="98" t="s">
        <v>8</v>
      </c>
      <c r="H9" s="99">
        <v>36557</v>
      </c>
      <c r="I9" s="99">
        <v>36830</v>
      </c>
      <c r="J9" s="98">
        <v>22428</v>
      </c>
      <c r="K9" s="100">
        <v>8000</v>
      </c>
      <c r="L9" s="98">
        <v>0</v>
      </c>
      <c r="M9" s="100">
        <v>8000</v>
      </c>
      <c r="N9" s="98">
        <v>0</v>
      </c>
      <c r="O9" s="98">
        <v>0</v>
      </c>
      <c r="P9" s="98">
        <v>0</v>
      </c>
      <c r="Q9" s="98" t="s">
        <v>8</v>
      </c>
    </row>
    <row r="10" spans="2:17" x14ac:dyDescent="0.25">
      <c r="B10" s="96"/>
      <c r="C10" s="96" t="s">
        <v>6</v>
      </c>
      <c r="D10" s="96">
        <v>61838</v>
      </c>
      <c r="E10" s="96" t="s">
        <v>81</v>
      </c>
      <c r="F10" s="96" t="s">
        <v>8</v>
      </c>
      <c r="G10" s="96" t="s">
        <v>8</v>
      </c>
      <c r="H10" s="97">
        <v>36557</v>
      </c>
      <c r="I10" s="96" t="s">
        <v>8</v>
      </c>
      <c r="J10" s="96">
        <v>22422</v>
      </c>
      <c r="K10" s="101">
        <v>1000</v>
      </c>
      <c r="L10" s="96">
        <v>0</v>
      </c>
      <c r="M10" s="101">
        <v>1000</v>
      </c>
      <c r="N10" s="96">
        <v>0</v>
      </c>
      <c r="O10" s="96">
        <v>0</v>
      </c>
      <c r="P10" s="96">
        <v>0</v>
      </c>
      <c r="Q10" s="96" t="s">
        <v>8</v>
      </c>
    </row>
    <row r="11" spans="2:17" x14ac:dyDescent="0.25">
      <c r="B11" s="98"/>
      <c r="C11" s="98" t="s">
        <v>6</v>
      </c>
      <c r="D11" s="98">
        <v>61990</v>
      </c>
      <c r="E11" s="98" t="s">
        <v>81</v>
      </c>
      <c r="F11" s="98" t="s">
        <v>8</v>
      </c>
      <c r="G11" s="98" t="s">
        <v>8</v>
      </c>
      <c r="H11" s="99">
        <v>36557</v>
      </c>
      <c r="I11" s="98" t="s">
        <v>8</v>
      </c>
      <c r="J11" s="98">
        <v>22747</v>
      </c>
      <c r="K11" s="100">
        <v>2000</v>
      </c>
      <c r="L11" s="98">
        <v>0</v>
      </c>
      <c r="M11" s="100">
        <v>2000</v>
      </c>
      <c r="N11" s="98">
        <v>0</v>
      </c>
      <c r="O11" s="98">
        <v>0</v>
      </c>
      <c r="P11" s="98">
        <v>0</v>
      </c>
      <c r="Q11" s="98" t="s">
        <v>8</v>
      </c>
    </row>
    <row r="12" spans="2:17" x14ac:dyDescent="0.25">
      <c r="B12" s="96"/>
      <c r="C12" s="96" t="s">
        <v>6</v>
      </c>
      <c r="D12" s="96">
        <v>62164</v>
      </c>
      <c r="E12" s="96" t="s">
        <v>81</v>
      </c>
      <c r="F12" s="96" t="s">
        <v>8</v>
      </c>
      <c r="G12" s="96" t="s">
        <v>8</v>
      </c>
      <c r="H12" s="97">
        <v>36557</v>
      </c>
      <c r="I12" s="97">
        <v>36891</v>
      </c>
      <c r="J12" s="96">
        <v>23652</v>
      </c>
      <c r="K12" s="101">
        <v>2000</v>
      </c>
      <c r="L12" s="96">
        <v>0</v>
      </c>
      <c r="M12" s="101">
        <v>2000</v>
      </c>
      <c r="N12" s="96">
        <v>0</v>
      </c>
      <c r="O12" s="96">
        <v>0</v>
      </c>
      <c r="P12" s="96">
        <v>0</v>
      </c>
      <c r="Q12" s="96" t="s">
        <v>8</v>
      </c>
    </row>
    <row r="13" spans="2:17" x14ac:dyDescent="0.25">
      <c r="B13" s="98"/>
      <c r="C13" s="98" t="s">
        <v>6</v>
      </c>
      <c r="D13" s="98">
        <v>64034</v>
      </c>
      <c r="E13" s="98" t="s">
        <v>81</v>
      </c>
      <c r="F13" s="98" t="s">
        <v>8</v>
      </c>
      <c r="G13" s="98" t="s">
        <v>8</v>
      </c>
      <c r="H13" s="99">
        <v>36557</v>
      </c>
      <c r="I13" s="99">
        <v>36707</v>
      </c>
      <c r="J13" s="98">
        <v>25699</v>
      </c>
      <c r="K13" s="98">
        <v>911</v>
      </c>
      <c r="L13" s="98">
        <v>0</v>
      </c>
      <c r="M13" s="98">
        <v>911</v>
      </c>
      <c r="N13" s="98">
        <v>0</v>
      </c>
      <c r="O13" s="98">
        <v>0</v>
      </c>
      <c r="P13" s="98">
        <v>0</v>
      </c>
      <c r="Q13" s="98" t="s">
        <v>8</v>
      </c>
    </row>
    <row r="14" spans="2:17" x14ac:dyDescent="0.25">
      <c r="B14" s="96"/>
      <c r="C14" s="96" t="s">
        <v>6</v>
      </c>
      <c r="D14" s="96">
        <v>64036</v>
      </c>
      <c r="E14" s="96" t="s">
        <v>81</v>
      </c>
      <c r="F14" s="96" t="s">
        <v>8</v>
      </c>
      <c r="G14" s="96" t="s">
        <v>8</v>
      </c>
      <c r="H14" s="97">
        <v>36557</v>
      </c>
      <c r="I14" s="97">
        <v>36707</v>
      </c>
      <c r="J14" s="96">
        <v>25712</v>
      </c>
      <c r="K14" s="96">
        <v>1</v>
      </c>
      <c r="L14" s="96">
        <v>0</v>
      </c>
      <c r="M14" s="96">
        <v>1</v>
      </c>
      <c r="N14" s="96">
        <v>0</v>
      </c>
      <c r="O14" s="96">
        <v>0</v>
      </c>
      <c r="P14" s="96">
        <v>0</v>
      </c>
      <c r="Q14" s="96" t="s">
        <v>8</v>
      </c>
    </row>
    <row r="15" spans="2:17" x14ac:dyDescent="0.25">
      <c r="B15" s="98"/>
      <c r="C15" s="98" t="s">
        <v>6</v>
      </c>
      <c r="D15" s="98">
        <v>64328</v>
      </c>
      <c r="E15" s="98" t="s">
        <v>81</v>
      </c>
      <c r="F15" s="98" t="s">
        <v>8</v>
      </c>
      <c r="G15" s="98" t="s">
        <v>8</v>
      </c>
      <c r="H15" s="99">
        <v>36557</v>
      </c>
      <c r="I15" s="99">
        <v>36738</v>
      </c>
      <c r="J15" s="98">
        <v>25955</v>
      </c>
      <c r="K15" s="98">
        <v>51</v>
      </c>
      <c r="L15" s="98">
        <v>0</v>
      </c>
      <c r="M15" s="98">
        <v>51</v>
      </c>
      <c r="N15" s="98">
        <v>0</v>
      </c>
      <c r="O15" s="98">
        <v>0</v>
      </c>
      <c r="P15" s="98">
        <v>0</v>
      </c>
      <c r="Q15" s="98" t="s">
        <v>8</v>
      </c>
    </row>
    <row r="16" spans="2:17" x14ac:dyDescent="0.25">
      <c r="B16" s="96"/>
      <c r="C16" s="96" t="s">
        <v>6</v>
      </c>
      <c r="D16" s="96">
        <v>64329</v>
      </c>
      <c r="E16" s="96" t="s">
        <v>81</v>
      </c>
      <c r="F16" s="96" t="s">
        <v>8</v>
      </c>
      <c r="G16" s="96" t="s">
        <v>8</v>
      </c>
      <c r="H16" s="97">
        <v>36557</v>
      </c>
      <c r="I16" s="97">
        <v>36738</v>
      </c>
      <c r="J16" s="96">
        <v>25965</v>
      </c>
      <c r="K16" s="96">
        <v>12</v>
      </c>
      <c r="L16" s="96">
        <v>0</v>
      </c>
      <c r="M16" s="96">
        <v>12</v>
      </c>
      <c r="N16" s="96">
        <v>0</v>
      </c>
      <c r="O16" s="96">
        <v>0</v>
      </c>
      <c r="P16" s="96">
        <v>0</v>
      </c>
      <c r="Q16" s="96" t="s">
        <v>8</v>
      </c>
    </row>
    <row r="17" spans="2:17" x14ac:dyDescent="0.25">
      <c r="B17" s="98"/>
      <c r="C17" s="98" t="s">
        <v>6</v>
      </c>
      <c r="D17" s="98">
        <v>64356</v>
      </c>
      <c r="E17" s="98" t="s">
        <v>13</v>
      </c>
      <c r="F17" s="98" t="s">
        <v>14</v>
      </c>
      <c r="G17" s="98" t="s">
        <v>8</v>
      </c>
      <c r="H17" s="99">
        <v>36526</v>
      </c>
      <c r="I17" s="99">
        <v>36707</v>
      </c>
      <c r="J17" s="98" t="s">
        <v>8</v>
      </c>
      <c r="K17" s="100">
        <v>310000</v>
      </c>
      <c r="L17" s="98">
        <v>0</v>
      </c>
      <c r="M17" s="100">
        <v>310000</v>
      </c>
      <c r="N17" s="98">
        <v>0</v>
      </c>
      <c r="O17" s="98">
        <v>0</v>
      </c>
      <c r="P17" s="98">
        <v>0</v>
      </c>
      <c r="Q17" s="98"/>
    </row>
    <row r="18" spans="2:17" x14ac:dyDescent="0.25">
      <c r="B18" s="96"/>
      <c r="C18" s="96" t="s">
        <v>6</v>
      </c>
      <c r="D18" s="96">
        <v>64651</v>
      </c>
      <c r="E18" s="96" t="s">
        <v>81</v>
      </c>
      <c r="F18" s="96" t="s">
        <v>8</v>
      </c>
      <c r="G18" s="96" t="s">
        <v>8</v>
      </c>
      <c r="H18" s="97">
        <v>36557</v>
      </c>
      <c r="I18" s="97">
        <v>36769</v>
      </c>
      <c r="J18" s="96">
        <v>26150</v>
      </c>
      <c r="K18" s="96">
        <v>64</v>
      </c>
      <c r="L18" s="96">
        <v>0</v>
      </c>
      <c r="M18" s="96">
        <v>64</v>
      </c>
      <c r="N18" s="96">
        <v>0</v>
      </c>
      <c r="O18" s="96">
        <v>0</v>
      </c>
      <c r="P18" s="96">
        <v>0</v>
      </c>
      <c r="Q18" s="96" t="s">
        <v>8</v>
      </c>
    </row>
    <row r="19" spans="2:17" x14ac:dyDescent="0.25">
      <c r="B19" s="98"/>
      <c r="C19" s="98" t="s">
        <v>6</v>
      </c>
      <c r="D19" s="98">
        <v>64862</v>
      </c>
      <c r="E19" s="98" t="s">
        <v>81</v>
      </c>
      <c r="F19" s="98" t="s">
        <v>8</v>
      </c>
      <c r="G19" s="98" t="s">
        <v>8</v>
      </c>
      <c r="H19" s="99">
        <v>36557</v>
      </c>
      <c r="I19" s="99">
        <v>36799</v>
      </c>
      <c r="J19" s="98">
        <v>26503</v>
      </c>
      <c r="K19" s="98">
        <v>13</v>
      </c>
      <c r="L19" s="98">
        <v>0</v>
      </c>
      <c r="M19" s="98">
        <v>13</v>
      </c>
      <c r="N19" s="98">
        <v>0</v>
      </c>
      <c r="O19" s="98">
        <v>0</v>
      </c>
      <c r="P19" s="98">
        <v>0</v>
      </c>
      <c r="Q19" s="98" t="s">
        <v>8</v>
      </c>
    </row>
    <row r="20" spans="2:17" x14ac:dyDescent="0.25">
      <c r="B20" s="96"/>
      <c r="C20" s="96" t="s">
        <v>6</v>
      </c>
      <c r="D20" s="96">
        <v>64939</v>
      </c>
      <c r="E20" s="96" t="s">
        <v>81</v>
      </c>
      <c r="F20" s="96" t="s">
        <v>8</v>
      </c>
      <c r="G20" s="96" t="s">
        <v>8</v>
      </c>
      <c r="H20" s="97">
        <v>36557</v>
      </c>
      <c r="I20" s="97">
        <v>36799</v>
      </c>
      <c r="J20" s="96">
        <v>26577</v>
      </c>
      <c r="K20" s="101">
        <v>2300</v>
      </c>
      <c r="L20" s="96">
        <v>0</v>
      </c>
      <c r="M20" s="101">
        <v>2300</v>
      </c>
      <c r="N20" s="96">
        <v>0</v>
      </c>
      <c r="O20" s="96">
        <v>0</v>
      </c>
      <c r="P20" s="96">
        <v>0</v>
      </c>
      <c r="Q20" s="96" t="s">
        <v>8</v>
      </c>
    </row>
    <row r="21" spans="2:17" x14ac:dyDescent="0.25">
      <c r="B21" s="98"/>
      <c r="C21" s="98" t="s">
        <v>6</v>
      </c>
      <c r="D21" s="98">
        <v>65026</v>
      </c>
      <c r="E21" s="98" t="s">
        <v>81</v>
      </c>
      <c r="F21" s="98" t="s">
        <v>8</v>
      </c>
      <c r="G21" s="98" t="s">
        <v>8</v>
      </c>
      <c r="H21" s="99">
        <v>36557</v>
      </c>
      <c r="I21" s="99">
        <v>36830</v>
      </c>
      <c r="J21" s="98">
        <v>26726</v>
      </c>
      <c r="K21" s="98">
        <v>128</v>
      </c>
      <c r="L21" s="98">
        <v>0</v>
      </c>
      <c r="M21" s="98">
        <v>128</v>
      </c>
      <c r="N21" s="98">
        <v>0</v>
      </c>
      <c r="O21" s="98">
        <v>0</v>
      </c>
      <c r="P21" s="98">
        <v>0</v>
      </c>
      <c r="Q21" s="98" t="s">
        <v>8</v>
      </c>
    </row>
    <row r="22" spans="2:17" x14ac:dyDescent="0.25">
      <c r="B22" s="96"/>
      <c r="C22" s="96" t="s">
        <v>6</v>
      </c>
      <c r="D22" s="96">
        <v>65041</v>
      </c>
      <c r="E22" s="96" t="s">
        <v>81</v>
      </c>
      <c r="F22" s="96" t="s">
        <v>8</v>
      </c>
      <c r="G22" s="96" t="s">
        <v>8</v>
      </c>
      <c r="H22" s="97">
        <v>36557</v>
      </c>
      <c r="I22" s="97">
        <v>36830</v>
      </c>
      <c r="J22" s="96">
        <v>26754</v>
      </c>
      <c r="K22" s="101">
        <v>9619</v>
      </c>
      <c r="L22" s="96">
        <v>0</v>
      </c>
      <c r="M22" s="101">
        <v>9619</v>
      </c>
      <c r="N22" s="96">
        <v>0</v>
      </c>
      <c r="O22" s="96">
        <v>0</v>
      </c>
      <c r="P22" s="96">
        <v>0</v>
      </c>
      <c r="Q22" s="96" t="s">
        <v>8</v>
      </c>
    </row>
    <row r="23" spans="2:17" x14ac:dyDescent="0.25">
      <c r="B23" s="98"/>
      <c r="C23" s="98" t="s">
        <v>6</v>
      </c>
      <c r="D23" s="98">
        <v>65042</v>
      </c>
      <c r="E23" s="98" t="s">
        <v>81</v>
      </c>
      <c r="F23" s="98" t="s">
        <v>8</v>
      </c>
      <c r="G23" s="98" t="s">
        <v>8</v>
      </c>
      <c r="H23" s="99">
        <v>36557</v>
      </c>
      <c r="I23" s="99">
        <v>36830</v>
      </c>
      <c r="J23" s="98">
        <v>26753</v>
      </c>
      <c r="K23" s="100">
        <v>4427</v>
      </c>
      <c r="L23" s="98">
        <v>0</v>
      </c>
      <c r="M23" s="100">
        <v>4427</v>
      </c>
      <c r="N23" s="98">
        <v>0</v>
      </c>
      <c r="O23" s="98">
        <v>0</v>
      </c>
      <c r="P23" s="98">
        <v>0</v>
      </c>
      <c r="Q23" s="98" t="s">
        <v>8</v>
      </c>
    </row>
    <row r="24" spans="2:17" x14ac:dyDescent="0.25">
      <c r="B24" s="96"/>
      <c r="C24" s="96" t="s">
        <v>6</v>
      </c>
      <c r="D24" s="96">
        <v>65071</v>
      </c>
      <c r="E24" s="96" t="s">
        <v>81</v>
      </c>
      <c r="F24" s="96" t="s">
        <v>8</v>
      </c>
      <c r="G24" s="96" t="s">
        <v>8</v>
      </c>
      <c r="H24" s="97">
        <v>36557</v>
      </c>
      <c r="I24" s="97">
        <v>36830</v>
      </c>
      <c r="J24" s="96">
        <v>26782</v>
      </c>
      <c r="K24" s="101">
        <v>7429</v>
      </c>
      <c r="L24" s="96">
        <v>0</v>
      </c>
      <c r="M24" s="101">
        <v>7035</v>
      </c>
      <c r="N24" s="96">
        <v>394</v>
      </c>
      <c r="O24" s="96">
        <v>0</v>
      </c>
      <c r="P24" s="96">
        <v>0</v>
      </c>
      <c r="Q24" s="96" t="s">
        <v>8</v>
      </c>
    </row>
    <row r="25" spans="2:17" x14ac:dyDescent="0.25">
      <c r="B25" s="98"/>
      <c r="C25" s="98" t="s">
        <v>6</v>
      </c>
      <c r="D25" s="98">
        <v>65108</v>
      </c>
      <c r="E25" s="98" t="s">
        <v>81</v>
      </c>
      <c r="F25" s="98" t="s">
        <v>8</v>
      </c>
      <c r="G25" s="98" t="s">
        <v>8</v>
      </c>
      <c r="H25" s="99">
        <v>36557</v>
      </c>
      <c r="I25" s="99">
        <v>37011</v>
      </c>
      <c r="J25" s="98" t="s">
        <v>8</v>
      </c>
      <c r="K25" s="100">
        <v>5000</v>
      </c>
      <c r="L25" s="98">
        <v>0</v>
      </c>
      <c r="M25" s="100">
        <v>5000</v>
      </c>
      <c r="N25" s="98">
        <v>0</v>
      </c>
      <c r="O25" s="98">
        <v>0</v>
      </c>
      <c r="P25" s="98">
        <v>0</v>
      </c>
      <c r="Q25" s="98" t="s">
        <v>8</v>
      </c>
    </row>
    <row r="26" spans="2:17" x14ac:dyDescent="0.25">
      <c r="B26" s="96"/>
      <c r="C26" s="96" t="s">
        <v>6</v>
      </c>
      <c r="D26" s="96">
        <v>65402</v>
      </c>
      <c r="E26" s="96" t="s">
        <v>81</v>
      </c>
      <c r="F26" s="96" t="s">
        <v>8</v>
      </c>
      <c r="G26" s="96" t="s">
        <v>8</v>
      </c>
      <c r="H26" s="97">
        <v>36557</v>
      </c>
      <c r="I26" s="97">
        <v>36830</v>
      </c>
      <c r="J26" s="96">
        <v>26694</v>
      </c>
      <c r="K26" s="101">
        <v>20000</v>
      </c>
      <c r="L26" s="96">
        <v>0</v>
      </c>
      <c r="M26" s="96">
        <v>0</v>
      </c>
      <c r="N26" s="101">
        <v>20000</v>
      </c>
      <c r="O26" s="96">
        <v>0</v>
      </c>
      <c r="P26" s="96">
        <v>0</v>
      </c>
      <c r="Q26" s="96" t="s">
        <v>8</v>
      </c>
    </row>
    <row r="27" spans="2:17" x14ac:dyDescent="0.25">
      <c r="B27" s="98"/>
      <c r="C27" s="98" t="s">
        <v>6</v>
      </c>
      <c r="D27" s="98">
        <v>65403</v>
      </c>
      <c r="E27" s="98" t="s">
        <v>81</v>
      </c>
      <c r="F27" s="98" t="s">
        <v>8</v>
      </c>
      <c r="G27" s="98" t="s">
        <v>8</v>
      </c>
      <c r="H27" s="99">
        <v>36557</v>
      </c>
      <c r="I27" s="99">
        <v>37011</v>
      </c>
      <c r="J27" s="98">
        <v>26714</v>
      </c>
      <c r="K27" s="100">
        <v>19293</v>
      </c>
      <c r="L27" s="98">
        <v>0</v>
      </c>
      <c r="M27" s="100">
        <v>19293</v>
      </c>
      <c r="N27" s="98">
        <v>0</v>
      </c>
      <c r="O27" s="98">
        <v>0</v>
      </c>
      <c r="P27" s="98">
        <v>0</v>
      </c>
      <c r="Q27" s="98" t="s">
        <v>8</v>
      </c>
    </row>
    <row r="28" spans="2:17" x14ac:dyDescent="0.25">
      <c r="B28" s="96"/>
      <c r="C28" s="96" t="s">
        <v>6</v>
      </c>
      <c r="D28" s="96">
        <v>65418</v>
      </c>
      <c r="E28" s="96" t="s">
        <v>81</v>
      </c>
      <c r="F28" s="96" t="s">
        <v>8</v>
      </c>
      <c r="G28" s="96" t="s">
        <v>8</v>
      </c>
      <c r="H28" s="97">
        <v>36557</v>
      </c>
      <c r="I28" s="96" t="s">
        <v>8</v>
      </c>
      <c r="J28" s="96">
        <v>26722</v>
      </c>
      <c r="K28" s="96">
        <v>500</v>
      </c>
      <c r="L28" s="96">
        <v>0</v>
      </c>
      <c r="M28" s="96">
        <v>500</v>
      </c>
      <c r="N28" s="96">
        <v>0</v>
      </c>
      <c r="O28" s="96">
        <v>0</v>
      </c>
      <c r="P28" s="96">
        <v>0</v>
      </c>
      <c r="Q28" s="96" t="s">
        <v>8</v>
      </c>
    </row>
    <row r="29" spans="2:17" x14ac:dyDescent="0.25">
      <c r="B29" s="98"/>
      <c r="C29" s="98" t="s">
        <v>6</v>
      </c>
      <c r="D29" s="98">
        <v>65556</v>
      </c>
      <c r="E29" s="98" t="s">
        <v>81</v>
      </c>
      <c r="F29" s="98" t="s">
        <v>8</v>
      </c>
      <c r="G29" s="98" t="s">
        <v>8</v>
      </c>
      <c r="H29" s="99">
        <v>36557</v>
      </c>
      <c r="I29" s="99">
        <v>36860</v>
      </c>
      <c r="J29" s="98">
        <v>27127</v>
      </c>
      <c r="K29" s="98">
        <v>3</v>
      </c>
      <c r="L29" s="98">
        <v>0</v>
      </c>
      <c r="M29" s="98">
        <v>3</v>
      </c>
      <c r="N29" s="98">
        <v>0</v>
      </c>
      <c r="O29" s="98">
        <v>0</v>
      </c>
      <c r="P29" s="98">
        <v>0</v>
      </c>
      <c r="Q29" s="98" t="s">
        <v>8</v>
      </c>
    </row>
    <row r="30" spans="2:17" x14ac:dyDescent="0.25">
      <c r="B30" s="96"/>
      <c r="C30" s="96" t="s">
        <v>6</v>
      </c>
      <c r="D30" s="96">
        <v>66280</v>
      </c>
      <c r="E30" s="96" t="s">
        <v>81</v>
      </c>
      <c r="F30" s="96" t="s">
        <v>8</v>
      </c>
      <c r="G30" s="96" t="s">
        <v>8</v>
      </c>
      <c r="H30" s="97">
        <v>36557</v>
      </c>
      <c r="I30" s="97">
        <v>36922</v>
      </c>
      <c r="J30" s="96">
        <v>27772</v>
      </c>
      <c r="K30" s="96">
        <v>5</v>
      </c>
      <c r="L30" s="96">
        <v>0</v>
      </c>
      <c r="M30" s="96">
        <v>5</v>
      </c>
      <c r="N30" s="96">
        <v>0</v>
      </c>
      <c r="O30" s="96">
        <v>0</v>
      </c>
      <c r="P30" s="96">
        <v>0</v>
      </c>
      <c r="Q30" s="96" t="s">
        <v>8</v>
      </c>
    </row>
    <row r="31" spans="2:17" x14ac:dyDescent="0.25">
      <c r="B31" s="98"/>
      <c r="C31" s="98" t="s">
        <v>6</v>
      </c>
      <c r="D31" s="98">
        <v>66917</v>
      </c>
      <c r="E31" s="98" t="s">
        <v>258</v>
      </c>
      <c r="F31" s="98" t="s">
        <v>8</v>
      </c>
      <c r="G31" s="98" t="s">
        <v>8</v>
      </c>
      <c r="H31" s="99">
        <v>36617</v>
      </c>
      <c r="I31" s="98" t="s">
        <v>8</v>
      </c>
      <c r="J31" s="98" t="s">
        <v>8</v>
      </c>
      <c r="K31" s="100">
        <v>50000</v>
      </c>
      <c r="L31" s="98">
        <v>0</v>
      </c>
      <c r="M31" s="100">
        <v>50000</v>
      </c>
      <c r="N31" s="98">
        <v>0</v>
      </c>
      <c r="O31" s="98">
        <v>0</v>
      </c>
      <c r="P31" s="98">
        <v>0</v>
      </c>
      <c r="Q31" s="98" t="s">
        <v>8</v>
      </c>
    </row>
    <row r="32" spans="2:17" x14ac:dyDescent="0.25">
      <c r="B32" s="96"/>
      <c r="C32" s="96" t="s">
        <v>6</v>
      </c>
      <c r="D32" s="96">
        <v>66930</v>
      </c>
      <c r="E32" s="96" t="s">
        <v>81</v>
      </c>
      <c r="F32" s="96" t="s">
        <v>8</v>
      </c>
      <c r="G32" s="96" t="s">
        <v>8</v>
      </c>
      <c r="H32" s="97">
        <v>36617</v>
      </c>
      <c r="I32" s="97">
        <v>36981</v>
      </c>
      <c r="J32" s="96">
        <v>28188</v>
      </c>
      <c r="K32" s="101">
        <v>4000</v>
      </c>
      <c r="L32" s="96">
        <v>0</v>
      </c>
      <c r="M32" s="101">
        <v>4000</v>
      </c>
      <c r="N32" s="96">
        <v>0</v>
      </c>
      <c r="O32" s="96">
        <v>0</v>
      </c>
      <c r="P32" s="96">
        <v>0</v>
      </c>
      <c r="Q32" s="96" t="s">
        <v>8</v>
      </c>
    </row>
    <row r="33" spans="2:17" x14ac:dyDescent="0.25">
      <c r="B33" s="98"/>
      <c r="C33" s="98" t="s">
        <v>6</v>
      </c>
      <c r="D33" s="98">
        <v>66931</v>
      </c>
      <c r="E33" s="98" t="s">
        <v>81</v>
      </c>
      <c r="F33" s="98" t="s">
        <v>8</v>
      </c>
      <c r="G33" s="98" t="s">
        <v>8</v>
      </c>
      <c r="H33" s="99">
        <v>36617</v>
      </c>
      <c r="I33" s="99">
        <v>36981</v>
      </c>
      <c r="J33" s="98">
        <v>28189</v>
      </c>
      <c r="K33" s="100">
        <v>4000</v>
      </c>
      <c r="L33" s="98">
        <v>0</v>
      </c>
      <c r="M33" s="100">
        <v>4000</v>
      </c>
      <c r="N33" s="98">
        <v>0</v>
      </c>
      <c r="O33" s="98">
        <v>0</v>
      </c>
      <c r="P33" s="98">
        <v>0</v>
      </c>
      <c r="Q33" s="98" t="s">
        <v>8</v>
      </c>
    </row>
    <row r="34" spans="2:17" x14ac:dyDescent="0.25">
      <c r="B34" s="96"/>
      <c r="C34" s="96" t="s">
        <v>6</v>
      </c>
      <c r="D34" s="96">
        <v>66932</v>
      </c>
      <c r="E34" s="96" t="s">
        <v>81</v>
      </c>
      <c r="F34" s="96" t="s">
        <v>8</v>
      </c>
      <c r="G34" s="96" t="s">
        <v>8</v>
      </c>
      <c r="H34" s="97">
        <v>36617</v>
      </c>
      <c r="I34" s="97">
        <v>36981</v>
      </c>
      <c r="J34" s="96">
        <v>28176</v>
      </c>
      <c r="K34" s="101">
        <v>4000</v>
      </c>
      <c r="L34" s="96">
        <v>0</v>
      </c>
      <c r="M34" s="101">
        <v>4000</v>
      </c>
      <c r="N34" s="96">
        <v>0</v>
      </c>
      <c r="O34" s="96">
        <v>0</v>
      </c>
      <c r="P34" s="96">
        <v>0</v>
      </c>
      <c r="Q34" s="96" t="s">
        <v>8</v>
      </c>
    </row>
    <row r="35" spans="2:17" x14ac:dyDescent="0.25">
      <c r="B35" s="98"/>
      <c r="C35" s="98" t="s">
        <v>6</v>
      </c>
      <c r="D35" s="98">
        <v>66939</v>
      </c>
      <c r="E35" s="98" t="s">
        <v>81</v>
      </c>
      <c r="F35" s="98" t="s">
        <v>8</v>
      </c>
      <c r="G35" s="98" t="s">
        <v>8</v>
      </c>
      <c r="H35" s="99">
        <v>36617</v>
      </c>
      <c r="I35" s="99">
        <v>36981</v>
      </c>
      <c r="J35" s="98">
        <v>28332</v>
      </c>
      <c r="K35" s="98">
        <v>52</v>
      </c>
      <c r="L35" s="98">
        <v>0</v>
      </c>
      <c r="M35" s="98">
        <v>52</v>
      </c>
      <c r="N35" s="98">
        <v>0</v>
      </c>
      <c r="O35" s="98">
        <v>0</v>
      </c>
      <c r="P35" s="98">
        <v>0</v>
      </c>
      <c r="Q35" s="98" t="s">
        <v>8</v>
      </c>
    </row>
    <row r="36" spans="2:17" x14ac:dyDescent="0.25">
      <c r="B36" s="96"/>
      <c r="C36" s="96" t="s">
        <v>6</v>
      </c>
      <c r="D36" s="96">
        <v>66940</v>
      </c>
      <c r="E36" s="96" t="s">
        <v>81</v>
      </c>
      <c r="F36" s="96" t="s">
        <v>8</v>
      </c>
      <c r="G36" s="96" t="s">
        <v>8</v>
      </c>
      <c r="H36" s="97">
        <v>36617</v>
      </c>
      <c r="I36" s="97">
        <v>36981</v>
      </c>
      <c r="J36" s="96">
        <v>28331</v>
      </c>
      <c r="K36" s="96">
        <v>2</v>
      </c>
      <c r="L36" s="96">
        <v>0</v>
      </c>
      <c r="M36" s="96">
        <v>2</v>
      </c>
      <c r="N36" s="96">
        <v>0</v>
      </c>
      <c r="O36" s="96">
        <v>0</v>
      </c>
      <c r="P36" s="96">
        <v>0</v>
      </c>
      <c r="Q36" s="96" t="s">
        <v>8</v>
      </c>
    </row>
    <row r="37" spans="2:17" x14ac:dyDescent="0.25">
      <c r="B37" s="98"/>
      <c r="C37" s="98" t="s">
        <v>6</v>
      </c>
      <c r="D37" s="98">
        <v>66965</v>
      </c>
      <c r="E37" s="98" t="s">
        <v>103</v>
      </c>
      <c r="F37" s="98" t="s">
        <v>8</v>
      </c>
      <c r="G37" s="98" t="s">
        <v>8</v>
      </c>
      <c r="H37" s="99">
        <v>36617</v>
      </c>
      <c r="I37" s="99">
        <v>36830</v>
      </c>
      <c r="J37" s="98">
        <v>28226</v>
      </c>
      <c r="K37" s="100">
        <v>20000</v>
      </c>
      <c r="L37" s="98">
        <v>0</v>
      </c>
      <c r="M37" s="100">
        <v>20000</v>
      </c>
      <c r="N37" s="98">
        <v>0</v>
      </c>
      <c r="O37" s="98">
        <v>0</v>
      </c>
      <c r="P37" s="98">
        <v>0</v>
      </c>
      <c r="Q37" s="98" t="s">
        <v>8</v>
      </c>
    </row>
    <row r="38" spans="2:17" x14ac:dyDescent="0.25">
      <c r="B38" s="96"/>
      <c r="C38" s="96" t="s">
        <v>6</v>
      </c>
      <c r="D38" s="96">
        <v>67693</v>
      </c>
      <c r="E38" s="96" t="s">
        <v>103</v>
      </c>
      <c r="F38" s="96" t="s">
        <v>8</v>
      </c>
      <c r="G38" s="96" t="s">
        <v>8</v>
      </c>
      <c r="H38" s="97">
        <v>36617</v>
      </c>
      <c r="I38" s="97">
        <v>36799</v>
      </c>
      <c r="J38" s="96">
        <v>28390</v>
      </c>
      <c r="K38" s="101">
        <v>54327</v>
      </c>
      <c r="L38" s="96">
        <v>0</v>
      </c>
      <c r="M38" s="101">
        <v>29827</v>
      </c>
      <c r="N38" s="101">
        <v>24500</v>
      </c>
      <c r="O38" s="96">
        <v>0</v>
      </c>
      <c r="P38" s="96">
        <v>0</v>
      </c>
      <c r="Q38" s="96" t="s">
        <v>8</v>
      </c>
    </row>
    <row r="39" spans="2:17" x14ac:dyDescent="0.25">
      <c r="B39" s="98"/>
      <c r="C39" s="98" t="s">
        <v>6</v>
      </c>
      <c r="D39" s="98">
        <v>67712</v>
      </c>
      <c r="E39" s="98" t="s">
        <v>87</v>
      </c>
      <c r="F39" s="98" t="s">
        <v>8</v>
      </c>
      <c r="G39" s="98" t="s">
        <v>8</v>
      </c>
      <c r="H39" s="99">
        <v>36617</v>
      </c>
      <c r="I39" s="99">
        <v>36981</v>
      </c>
      <c r="J39" s="98">
        <v>28389</v>
      </c>
      <c r="K39" s="100">
        <v>108648</v>
      </c>
      <c r="L39" s="100">
        <v>6050607</v>
      </c>
      <c r="M39" s="100">
        <v>108648</v>
      </c>
      <c r="N39" s="98">
        <v>0</v>
      </c>
      <c r="O39" s="98">
        <v>0</v>
      </c>
      <c r="P39" s="98">
        <v>0</v>
      </c>
      <c r="Q39" s="98">
        <v>67713</v>
      </c>
    </row>
    <row r="40" spans="2:17" x14ac:dyDescent="0.25">
      <c r="B40" s="96"/>
      <c r="C40" s="96" t="s">
        <v>6</v>
      </c>
      <c r="D40" s="96">
        <v>67713</v>
      </c>
      <c r="E40" s="96" t="s">
        <v>87</v>
      </c>
      <c r="F40" s="96" t="s">
        <v>8</v>
      </c>
      <c r="G40" s="96" t="s">
        <v>8</v>
      </c>
      <c r="H40" s="97">
        <v>36617</v>
      </c>
      <c r="I40" s="97">
        <v>36981</v>
      </c>
      <c r="J40" s="96">
        <v>28389</v>
      </c>
      <c r="K40" s="101">
        <v>108648</v>
      </c>
      <c r="L40" s="101">
        <v>6050607</v>
      </c>
      <c r="M40" s="101">
        <v>108648</v>
      </c>
      <c r="N40" s="96">
        <v>0</v>
      </c>
      <c r="O40" s="96">
        <v>0</v>
      </c>
      <c r="P40" s="96">
        <v>0</v>
      </c>
      <c r="Q40" s="96">
        <v>67713</v>
      </c>
    </row>
    <row r="41" spans="2:17" x14ac:dyDescent="0.25">
      <c r="B41" s="98"/>
      <c r="C41" s="98" t="s">
        <v>6</v>
      </c>
      <c r="D41" s="98">
        <v>68188</v>
      </c>
      <c r="E41" s="98" t="s">
        <v>81</v>
      </c>
      <c r="F41" s="98" t="s">
        <v>8</v>
      </c>
      <c r="G41" s="98" t="s">
        <v>8</v>
      </c>
      <c r="H41" s="99">
        <v>36647</v>
      </c>
      <c r="I41" s="99">
        <v>37011</v>
      </c>
      <c r="J41" s="98">
        <v>28742</v>
      </c>
      <c r="K41" s="98">
        <v>1</v>
      </c>
      <c r="L41" s="98">
        <v>0</v>
      </c>
      <c r="M41" s="98">
        <v>1</v>
      </c>
      <c r="N41" s="98">
        <v>0</v>
      </c>
      <c r="O41" s="98">
        <v>0</v>
      </c>
      <c r="P41" s="98">
        <v>0</v>
      </c>
      <c r="Q41" s="98" t="s">
        <v>8</v>
      </c>
    </row>
    <row r="42" spans="2:17" x14ac:dyDescent="0.25">
      <c r="B42" s="96"/>
      <c r="C42" s="96" t="s">
        <v>6</v>
      </c>
      <c r="D42" s="96">
        <v>68257</v>
      </c>
      <c r="E42" s="96" t="s">
        <v>81</v>
      </c>
      <c r="F42" s="96" t="s">
        <v>8</v>
      </c>
      <c r="G42" s="96" t="s">
        <v>8</v>
      </c>
      <c r="H42" s="97">
        <v>36647</v>
      </c>
      <c r="I42" s="97">
        <v>37011</v>
      </c>
      <c r="J42" s="96">
        <v>28631</v>
      </c>
      <c r="K42" s="96">
        <v>21</v>
      </c>
      <c r="L42" s="96">
        <v>0</v>
      </c>
      <c r="M42" s="96">
        <v>21</v>
      </c>
      <c r="N42" s="96">
        <v>0</v>
      </c>
      <c r="O42" s="96">
        <v>0</v>
      </c>
      <c r="P42" s="96">
        <v>0</v>
      </c>
      <c r="Q42" s="96"/>
    </row>
    <row r="43" spans="2:17" x14ac:dyDescent="0.25">
      <c r="B43" s="98"/>
      <c r="C43" s="98" t="s">
        <v>6</v>
      </c>
      <c r="D43" s="98">
        <v>68308</v>
      </c>
      <c r="E43" s="98" t="s">
        <v>81</v>
      </c>
      <c r="F43" s="98" t="s">
        <v>8</v>
      </c>
      <c r="G43" s="98" t="s">
        <v>8</v>
      </c>
      <c r="H43" s="99">
        <v>36656</v>
      </c>
      <c r="I43" s="99">
        <v>36950</v>
      </c>
      <c r="J43" s="98">
        <v>28864</v>
      </c>
      <c r="K43" s="98">
        <v>9</v>
      </c>
      <c r="L43" s="98">
        <v>0</v>
      </c>
      <c r="M43" s="98">
        <v>9</v>
      </c>
      <c r="N43" s="98">
        <v>0</v>
      </c>
      <c r="O43" s="98">
        <v>0</v>
      </c>
      <c r="P43" s="98">
        <v>0</v>
      </c>
      <c r="Q43" s="98" t="s">
        <v>8</v>
      </c>
    </row>
    <row r="44" spans="2:17" x14ac:dyDescent="0.25">
      <c r="B44" s="96"/>
      <c r="C44" s="96" t="s">
        <v>6</v>
      </c>
      <c r="D44" s="96">
        <v>68359</v>
      </c>
      <c r="E44" s="96" t="s">
        <v>81</v>
      </c>
      <c r="F44" s="96" t="s">
        <v>8</v>
      </c>
      <c r="G44" s="96" t="s">
        <v>8</v>
      </c>
      <c r="H44" s="97">
        <v>36678</v>
      </c>
      <c r="I44" s="97">
        <v>37042</v>
      </c>
      <c r="J44" s="96">
        <v>28933</v>
      </c>
      <c r="K44" s="96">
        <v>285</v>
      </c>
      <c r="L44" s="96">
        <v>0</v>
      </c>
      <c r="M44" s="96">
        <v>285</v>
      </c>
      <c r="N44" s="96">
        <v>0</v>
      </c>
      <c r="O44" s="96">
        <v>0</v>
      </c>
      <c r="P44" s="96">
        <v>0</v>
      </c>
      <c r="Q44" s="96" t="s">
        <v>8</v>
      </c>
    </row>
    <row r="45" spans="2:17" x14ac:dyDescent="0.25">
      <c r="B45" s="98"/>
      <c r="C45" s="98" t="s">
        <v>6</v>
      </c>
      <c r="D45" s="98">
        <v>68384</v>
      </c>
      <c r="E45" s="98" t="s">
        <v>81</v>
      </c>
      <c r="F45" s="98" t="s">
        <v>8</v>
      </c>
      <c r="G45" s="98" t="s">
        <v>8</v>
      </c>
      <c r="H45" s="99">
        <v>36678</v>
      </c>
      <c r="I45" s="99">
        <v>37042</v>
      </c>
      <c r="J45" s="98">
        <v>28962</v>
      </c>
      <c r="K45" s="98">
        <v>218</v>
      </c>
      <c r="L45" s="98">
        <v>0</v>
      </c>
      <c r="M45" s="98">
        <v>218</v>
      </c>
      <c r="N45" s="98">
        <v>0</v>
      </c>
      <c r="O45" s="98">
        <v>0</v>
      </c>
      <c r="P45" s="98">
        <v>0</v>
      </c>
      <c r="Q45" s="98" t="s">
        <v>8</v>
      </c>
    </row>
    <row r="46" spans="2:17" x14ac:dyDescent="0.25">
      <c r="B46" s="96"/>
      <c r="C46" s="96" t="s">
        <v>6</v>
      </c>
      <c r="D46" s="96">
        <v>68443</v>
      </c>
      <c r="E46" s="96" t="s">
        <v>103</v>
      </c>
      <c r="F46" s="96" t="s">
        <v>8</v>
      </c>
      <c r="G46" s="96" t="s">
        <v>8</v>
      </c>
      <c r="H46" s="97">
        <v>36678</v>
      </c>
      <c r="I46" s="97">
        <v>36707</v>
      </c>
      <c r="J46" s="96">
        <v>29005</v>
      </c>
      <c r="K46" s="101">
        <v>10000</v>
      </c>
      <c r="L46" s="96">
        <v>0</v>
      </c>
      <c r="M46" s="101">
        <v>10000</v>
      </c>
      <c r="N46" s="96">
        <v>0</v>
      </c>
      <c r="O46" s="96">
        <v>0</v>
      </c>
      <c r="P46" s="96">
        <v>0</v>
      </c>
      <c r="Q46" s="96" t="s">
        <v>8</v>
      </c>
    </row>
    <row r="47" spans="2:17" x14ac:dyDescent="0.25">
      <c r="B47" s="98"/>
      <c r="C47" s="98" t="s">
        <v>6</v>
      </c>
      <c r="D47" s="98">
        <v>68447</v>
      </c>
      <c r="E47" s="98" t="s">
        <v>81</v>
      </c>
      <c r="F47" s="98" t="s">
        <v>8</v>
      </c>
      <c r="G47" s="98" t="s">
        <v>8</v>
      </c>
      <c r="H47" s="99">
        <v>36678</v>
      </c>
      <c r="I47" s="99">
        <v>36707</v>
      </c>
      <c r="J47" s="98">
        <v>29095</v>
      </c>
      <c r="K47" s="100">
        <v>7500</v>
      </c>
      <c r="L47" s="98">
        <v>0</v>
      </c>
      <c r="M47" s="100">
        <v>7500</v>
      </c>
      <c r="N47" s="98">
        <v>0</v>
      </c>
      <c r="O47" s="98">
        <v>0</v>
      </c>
      <c r="P47" s="98">
        <v>0</v>
      </c>
      <c r="Q47" s="98" t="s">
        <v>8</v>
      </c>
    </row>
    <row r="48" spans="2:17" ht="39.6" x14ac:dyDescent="0.25">
      <c r="B48" s="96"/>
      <c r="C48" s="96" t="s">
        <v>15</v>
      </c>
      <c r="D48" s="96">
        <v>37393</v>
      </c>
      <c r="E48" s="96" t="s">
        <v>16</v>
      </c>
      <c r="F48" s="96" t="s">
        <v>8</v>
      </c>
      <c r="G48" s="96" t="s">
        <v>8</v>
      </c>
      <c r="H48" s="97">
        <v>34274</v>
      </c>
      <c r="I48" s="96" t="s">
        <v>8</v>
      </c>
      <c r="J48" s="96" t="s">
        <v>8</v>
      </c>
      <c r="K48" s="101">
        <v>20000</v>
      </c>
      <c r="L48" s="96">
        <v>0</v>
      </c>
      <c r="M48" s="101">
        <v>20000</v>
      </c>
      <c r="N48" s="96">
        <v>0</v>
      </c>
      <c r="O48" s="96">
        <v>0</v>
      </c>
      <c r="P48" s="96">
        <v>0</v>
      </c>
      <c r="Q48" s="96" t="s">
        <v>8</v>
      </c>
    </row>
    <row r="49" spans="2:17" ht="39.6" x14ac:dyDescent="0.25">
      <c r="B49" s="98"/>
      <c r="C49" s="98" t="s">
        <v>15</v>
      </c>
      <c r="D49" s="98">
        <v>37556</v>
      </c>
      <c r="E49" s="98" t="s">
        <v>17</v>
      </c>
      <c r="F49" s="98" t="s">
        <v>8</v>
      </c>
      <c r="G49" s="98" t="s">
        <v>8</v>
      </c>
      <c r="H49" s="99">
        <v>34274</v>
      </c>
      <c r="I49" s="98" t="s">
        <v>8</v>
      </c>
      <c r="J49" s="98" t="s">
        <v>8</v>
      </c>
      <c r="K49" s="100">
        <v>300000</v>
      </c>
      <c r="L49" s="98">
        <v>0</v>
      </c>
      <c r="M49" s="100">
        <v>300000</v>
      </c>
      <c r="N49" s="98">
        <v>0</v>
      </c>
      <c r="O49" s="98">
        <v>0</v>
      </c>
      <c r="P49" s="98">
        <v>0</v>
      </c>
      <c r="Q49" s="98" t="s">
        <v>8</v>
      </c>
    </row>
    <row r="50" spans="2:17" ht="39.6" x14ac:dyDescent="0.25">
      <c r="B50" s="96"/>
      <c r="C50" s="96" t="s">
        <v>15</v>
      </c>
      <c r="D50" s="96">
        <v>37861</v>
      </c>
      <c r="E50" s="96" t="s">
        <v>18</v>
      </c>
      <c r="F50" s="96" t="s">
        <v>8</v>
      </c>
      <c r="G50" s="96" t="s">
        <v>8</v>
      </c>
      <c r="H50" s="97">
        <v>35582</v>
      </c>
      <c r="I50" s="96" t="s">
        <v>8</v>
      </c>
      <c r="J50" s="96" t="s">
        <v>8</v>
      </c>
      <c r="K50" s="101">
        <v>15000</v>
      </c>
      <c r="L50" s="96">
        <v>0</v>
      </c>
      <c r="M50" s="101">
        <v>15000</v>
      </c>
      <c r="N50" s="96">
        <v>0</v>
      </c>
      <c r="O50" s="96">
        <v>0</v>
      </c>
      <c r="P50" s="96">
        <v>0</v>
      </c>
      <c r="Q50" s="96" t="s">
        <v>8</v>
      </c>
    </row>
    <row r="51" spans="2:17" ht="39.6" x14ac:dyDescent="0.25">
      <c r="B51" s="98"/>
      <c r="C51" s="98" t="s">
        <v>15</v>
      </c>
      <c r="D51" s="98">
        <v>38641</v>
      </c>
      <c r="E51" s="98" t="s">
        <v>19</v>
      </c>
      <c r="F51" s="98" t="s">
        <v>8</v>
      </c>
      <c r="G51" s="98" t="s">
        <v>8</v>
      </c>
      <c r="H51" s="99">
        <v>34274</v>
      </c>
      <c r="I51" s="98" t="s">
        <v>8</v>
      </c>
      <c r="J51" s="98" t="s">
        <v>8</v>
      </c>
      <c r="K51" s="100">
        <v>450000</v>
      </c>
      <c r="L51" s="98">
        <v>0</v>
      </c>
      <c r="M51" s="100">
        <v>450000</v>
      </c>
      <c r="N51" s="98">
        <v>0</v>
      </c>
      <c r="O51" s="98">
        <v>0</v>
      </c>
      <c r="P51" s="98">
        <v>0</v>
      </c>
      <c r="Q51" s="98" t="s">
        <v>8</v>
      </c>
    </row>
    <row r="52" spans="2:17" ht="39.6" x14ac:dyDescent="0.25">
      <c r="B52" s="96"/>
      <c r="C52" s="96" t="s">
        <v>15</v>
      </c>
      <c r="D52" s="96">
        <v>39229</v>
      </c>
      <c r="E52" s="96" t="s">
        <v>7</v>
      </c>
      <c r="F52" s="96" t="s">
        <v>8</v>
      </c>
      <c r="G52" s="96" t="s">
        <v>8</v>
      </c>
      <c r="H52" s="97">
        <v>34274</v>
      </c>
      <c r="I52" s="96" t="s">
        <v>8</v>
      </c>
      <c r="J52" s="96" t="s">
        <v>8</v>
      </c>
      <c r="K52" s="96">
        <v>0</v>
      </c>
      <c r="L52" s="96">
        <v>0</v>
      </c>
      <c r="M52" s="96">
        <v>0</v>
      </c>
      <c r="N52" s="96">
        <v>0</v>
      </c>
      <c r="O52" s="96">
        <v>0</v>
      </c>
      <c r="P52" s="96">
        <v>0</v>
      </c>
      <c r="Q52" s="96" t="s">
        <v>8</v>
      </c>
    </row>
    <row r="53" spans="2:17" ht="39.6" x14ac:dyDescent="0.25">
      <c r="B53" s="98"/>
      <c r="C53" s="98" t="s">
        <v>15</v>
      </c>
      <c r="D53" s="98">
        <v>39266</v>
      </c>
      <c r="E53" s="98" t="s">
        <v>258</v>
      </c>
      <c r="F53" s="98" t="s">
        <v>8</v>
      </c>
      <c r="G53" s="98" t="s">
        <v>8</v>
      </c>
      <c r="H53" s="99">
        <v>34274</v>
      </c>
      <c r="I53" s="98" t="s">
        <v>8</v>
      </c>
      <c r="J53" s="98" t="s">
        <v>8</v>
      </c>
      <c r="K53" s="100">
        <v>300000</v>
      </c>
      <c r="L53" s="98">
        <v>0</v>
      </c>
      <c r="M53" s="100">
        <v>300000</v>
      </c>
      <c r="N53" s="98">
        <v>0</v>
      </c>
      <c r="O53" s="98">
        <v>0</v>
      </c>
      <c r="P53" s="98">
        <v>0</v>
      </c>
      <c r="Q53" s="98" t="s">
        <v>8</v>
      </c>
    </row>
    <row r="54" spans="2:17" ht="39.6" x14ac:dyDescent="0.25">
      <c r="B54" s="96"/>
      <c r="C54" s="96" t="s">
        <v>15</v>
      </c>
      <c r="D54" s="96">
        <v>42789</v>
      </c>
      <c r="E54" s="96" t="s">
        <v>16</v>
      </c>
      <c r="F54" s="96" t="s">
        <v>8</v>
      </c>
      <c r="G54" s="96" t="s">
        <v>8</v>
      </c>
      <c r="H54" s="97">
        <v>36557</v>
      </c>
      <c r="I54" s="96" t="s">
        <v>8</v>
      </c>
      <c r="J54" s="96" t="s">
        <v>8</v>
      </c>
      <c r="K54" s="101">
        <v>30000</v>
      </c>
      <c r="L54" s="96">
        <v>0</v>
      </c>
      <c r="M54" s="101">
        <v>30000</v>
      </c>
      <c r="N54" s="96">
        <v>0</v>
      </c>
      <c r="O54" s="96">
        <v>0</v>
      </c>
      <c r="P54" s="96">
        <v>0</v>
      </c>
      <c r="Q54" s="96" t="s">
        <v>8</v>
      </c>
    </row>
    <row r="55" spans="2:17" ht="39.6" x14ac:dyDescent="0.25">
      <c r="B55" s="98"/>
      <c r="C55" s="98" t="s">
        <v>15</v>
      </c>
      <c r="D55" s="98">
        <v>50250</v>
      </c>
      <c r="E55" s="98" t="s">
        <v>16</v>
      </c>
      <c r="F55" s="98" t="s">
        <v>8</v>
      </c>
      <c r="G55" s="98" t="s">
        <v>8</v>
      </c>
      <c r="H55" s="99">
        <v>36557</v>
      </c>
      <c r="I55" s="98" t="s">
        <v>8</v>
      </c>
      <c r="J55" s="98" t="s">
        <v>8</v>
      </c>
      <c r="K55" s="100">
        <v>20000</v>
      </c>
      <c r="L55" s="98">
        <v>0</v>
      </c>
      <c r="M55" s="100">
        <v>20000</v>
      </c>
      <c r="N55" s="98">
        <v>0</v>
      </c>
      <c r="O55" s="98">
        <v>0</v>
      </c>
      <c r="P55" s="98">
        <v>0</v>
      </c>
      <c r="Q55" s="98" t="s">
        <v>8</v>
      </c>
    </row>
    <row r="56" spans="2:17" ht="39.6" x14ac:dyDescent="0.25">
      <c r="B56" s="96"/>
      <c r="C56" s="96" t="s">
        <v>15</v>
      </c>
      <c r="D56" s="96">
        <v>58654</v>
      </c>
      <c r="E56" s="96" t="s">
        <v>18</v>
      </c>
      <c r="F56" s="96" t="s">
        <v>8</v>
      </c>
      <c r="G56" s="96" t="s">
        <v>8</v>
      </c>
      <c r="H56" s="97">
        <v>36557</v>
      </c>
      <c r="I56" s="96" t="s">
        <v>8</v>
      </c>
      <c r="J56" s="96" t="s">
        <v>8</v>
      </c>
      <c r="K56" s="101">
        <v>15000</v>
      </c>
      <c r="L56" s="96">
        <v>0</v>
      </c>
      <c r="M56" s="101">
        <v>15000</v>
      </c>
      <c r="N56" s="96">
        <v>0</v>
      </c>
      <c r="O56" s="96">
        <v>0</v>
      </c>
      <c r="P56" s="96">
        <v>0</v>
      </c>
      <c r="Q56" s="96" t="s">
        <v>8</v>
      </c>
    </row>
    <row r="57" spans="2:17" ht="39.6" x14ac:dyDescent="0.25">
      <c r="B57" s="98"/>
      <c r="C57" s="98" t="s">
        <v>15</v>
      </c>
      <c r="D57" s="98">
        <v>62408</v>
      </c>
      <c r="E57" s="98" t="s">
        <v>16</v>
      </c>
      <c r="F57" s="98" t="s">
        <v>8</v>
      </c>
      <c r="G57" s="98" t="s">
        <v>8</v>
      </c>
      <c r="H57" s="99">
        <v>36557</v>
      </c>
      <c r="I57" s="98" t="s">
        <v>8</v>
      </c>
      <c r="J57" s="98" t="s">
        <v>8</v>
      </c>
      <c r="K57" s="100">
        <v>40000</v>
      </c>
      <c r="L57" s="98">
        <v>0</v>
      </c>
      <c r="M57" s="100">
        <v>40000</v>
      </c>
      <c r="N57" s="98">
        <v>0</v>
      </c>
      <c r="O57" s="98">
        <v>0</v>
      </c>
      <c r="P57" s="98">
        <v>0</v>
      </c>
      <c r="Q57" s="98" t="s">
        <v>8</v>
      </c>
    </row>
    <row r="58" spans="2:17" ht="39.6" x14ac:dyDescent="0.25">
      <c r="B58" s="96"/>
      <c r="C58" s="96" t="s">
        <v>15</v>
      </c>
      <c r="D58" s="96">
        <v>63115</v>
      </c>
      <c r="E58" s="96" t="s">
        <v>18</v>
      </c>
      <c r="F58" s="96" t="s">
        <v>8</v>
      </c>
      <c r="G58" s="96" t="s">
        <v>8</v>
      </c>
      <c r="H58" s="97">
        <v>36557</v>
      </c>
      <c r="I58" s="97">
        <v>37346</v>
      </c>
      <c r="J58" s="96">
        <v>24770</v>
      </c>
      <c r="K58" s="101">
        <v>30000</v>
      </c>
      <c r="L58" s="96">
        <v>0</v>
      </c>
      <c r="M58" s="101">
        <v>30000</v>
      </c>
      <c r="N58" s="96">
        <v>0</v>
      </c>
      <c r="O58" s="96">
        <v>0</v>
      </c>
      <c r="P58" s="96">
        <v>0</v>
      </c>
      <c r="Q58" s="96" t="s">
        <v>8</v>
      </c>
    </row>
    <row r="59" spans="2:17" ht="39.6" x14ac:dyDescent="0.25">
      <c r="B59" s="98"/>
      <c r="C59" s="98" t="s">
        <v>15</v>
      </c>
      <c r="D59" s="98">
        <v>63922</v>
      </c>
      <c r="E59" s="98" t="s">
        <v>16</v>
      </c>
      <c r="F59" s="98" t="s">
        <v>8</v>
      </c>
      <c r="G59" s="98" t="s">
        <v>8</v>
      </c>
      <c r="H59" s="99">
        <v>36557</v>
      </c>
      <c r="I59" s="99">
        <v>38291</v>
      </c>
      <c r="J59" s="98">
        <v>25471</v>
      </c>
      <c r="K59" s="100">
        <v>25654</v>
      </c>
      <c r="L59" s="98">
        <v>0</v>
      </c>
      <c r="M59" s="100">
        <v>25654</v>
      </c>
      <c r="N59" s="98">
        <v>0</v>
      </c>
      <c r="O59" s="98">
        <v>0</v>
      </c>
      <c r="P59" s="98">
        <v>0</v>
      </c>
      <c r="Q59" s="98" t="s">
        <v>8</v>
      </c>
    </row>
    <row r="60" spans="2:17" ht="39.6" x14ac:dyDescent="0.25">
      <c r="B60" s="96"/>
      <c r="C60" s="96" t="s">
        <v>15</v>
      </c>
      <c r="D60" s="96">
        <v>64033</v>
      </c>
      <c r="E60" s="96" t="s">
        <v>18</v>
      </c>
      <c r="F60" s="96" t="s">
        <v>8</v>
      </c>
      <c r="G60" s="96" t="s">
        <v>8</v>
      </c>
      <c r="H60" s="97">
        <v>36557</v>
      </c>
      <c r="I60" s="97">
        <v>36707</v>
      </c>
      <c r="J60" s="96">
        <v>25713</v>
      </c>
      <c r="K60" s="96">
        <v>1</v>
      </c>
      <c r="L60" s="96">
        <v>0</v>
      </c>
      <c r="M60" s="96">
        <v>1</v>
      </c>
      <c r="N60" s="96">
        <v>0</v>
      </c>
      <c r="O60" s="96">
        <v>0</v>
      </c>
      <c r="P60" s="96">
        <v>0</v>
      </c>
      <c r="Q60" s="96" t="s">
        <v>8</v>
      </c>
    </row>
    <row r="61" spans="2:17" ht="39.6" x14ac:dyDescent="0.25">
      <c r="B61" s="98"/>
      <c r="C61" s="98" t="s">
        <v>15</v>
      </c>
      <c r="D61" s="98">
        <v>64035</v>
      </c>
      <c r="E61" s="98" t="s">
        <v>18</v>
      </c>
      <c r="F61" s="98" t="s">
        <v>8</v>
      </c>
      <c r="G61" s="98" t="s">
        <v>8</v>
      </c>
      <c r="H61" s="99">
        <v>36557</v>
      </c>
      <c r="I61" s="99">
        <v>36707</v>
      </c>
      <c r="J61" s="98">
        <v>25700</v>
      </c>
      <c r="K61" s="98">
        <v>931</v>
      </c>
      <c r="L61" s="98">
        <v>0</v>
      </c>
      <c r="M61" s="98">
        <v>931</v>
      </c>
      <c r="N61" s="98">
        <v>0</v>
      </c>
      <c r="O61" s="98">
        <v>0</v>
      </c>
      <c r="P61" s="98">
        <v>0</v>
      </c>
      <c r="Q61" s="98" t="s">
        <v>8</v>
      </c>
    </row>
    <row r="62" spans="2:17" ht="39.6" x14ac:dyDescent="0.25">
      <c r="B62" s="96"/>
      <c r="C62" s="96" t="s">
        <v>15</v>
      </c>
      <c r="D62" s="96">
        <v>64332</v>
      </c>
      <c r="E62" s="96" t="s">
        <v>18</v>
      </c>
      <c r="F62" s="96" t="s">
        <v>8</v>
      </c>
      <c r="G62" s="96" t="s">
        <v>8</v>
      </c>
      <c r="H62" s="97">
        <v>36557</v>
      </c>
      <c r="I62" s="97">
        <v>36738</v>
      </c>
      <c r="J62" s="96">
        <v>25966</v>
      </c>
      <c r="K62" s="96">
        <v>12</v>
      </c>
      <c r="L62" s="96">
        <v>0</v>
      </c>
      <c r="M62" s="96">
        <v>12</v>
      </c>
      <c r="N62" s="96">
        <v>0</v>
      </c>
      <c r="O62" s="96">
        <v>0</v>
      </c>
      <c r="P62" s="96">
        <v>0</v>
      </c>
      <c r="Q62" s="96" t="s">
        <v>8</v>
      </c>
    </row>
    <row r="63" spans="2:17" ht="39.6" x14ac:dyDescent="0.25">
      <c r="B63" s="98"/>
      <c r="C63" s="98" t="s">
        <v>15</v>
      </c>
      <c r="D63" s="98">
        <v>64334</v>
      </c>
      <c r="E63" s="98" t="s">
        <v>18</v>
      </c>
      <c r="F63" s="98" t="s">
        <v>8</v>
      </c>
      <c r="G63" s="98" t="s">
        <v>8</v>
      </c>
      <c r="H63" s="99">
        <v>36557</v>
      </c>
      <c r="I63" s="99">
        <v>36738</v>
      </c>
      <c r="J63" s="98">
        <v>25956</v>
      </c>
      <c r="K63" s="98">
        <v>52</v>
      </c>
      <c r="L63" s="98">
        <v>0</v>
      </c>
      <c r="M63" s="98">
        <v>52</v>
      </c>
      <c r="N63" s="98">
        <v>0</v>
      </c>
      <c r="O63" s="98">
        <v>0</v>
      </c>
      <c r="P63" s="98">
        <v>0</v>
      </c>
      <c r="Q63" s="98" t="s">
        <v>8</v>
      </c>
    </row>
    <row r="64" spans="2:17" ht="39.6" x14ac:dyDescent="0.25">
      <c r="B64" s="96"/>
      <c r="C64" s="96" t="s">
        <v>15</v>
      </c>
      <c r="D64" s="96">
        <v>64446</v>
      </c>
      <c r="E64" s="96" t="s">
        <v>18</v>
      </c>
      <c r="F64" s="96" t="s">
        <v>8</v>
      </c>
      <c r="G64" s="96" t="s">
        <v>8</v>
      </c>
      <c r="H64" s="97">
        <v>36557</v>
      </c>
      <c r="I64" s="97">
        <v>36738</v>
      </c>
      <c r="J64" s="96">
        <v>26081</v>
      </c>
      <c r="K64" s="96">
        <v>142</v>
      </c>
      <c r="L64" s="96">
        <v>0</v>
      </c>
      <c r="M64" s="96">
        <v>142</v>
      </c>
      <c r="N64" s="96">
        <v>0</v>
      </c>
      <c r="O64" s="96">
        <v>0</v>
      </c>
      <c r="P64" s="96">
        <v>0</v>
      </c>
      <c r="Q64" s="96" t="s">
        <v>8</v>
      </c>
    </row>
    <row r="65" spans="2:17" ht="39.6" x14ac:dyDescent="0.25">
      <c r="B65" s="98"/>
      <c r="C65" s="98" t="s">
        <v>15</v>
      </c>
      <c r="D65" s="98">
        <v>64502</v>
      </c>
      <c r="E65" s="98" t="s">
        <v>16</v>
      </c>
      <c r="F65" s="98" t="s">
        <v>8</v>
      </c>
      <c r="G65" s="98" t="s">
        <v>8</v>
      </c>
      <c r="H65" s="99">
        <v>36557</v>
      </c>
      <c r="I65" s="98" t="s">
        <v>8</v>
      </c>
      <c r="J65" s="98" t="s">
        <v>8</v>
      </c>
      <c r="K65" s="100">
        <v>29000</v>
      </c>
      <c r="L65" s="98">
        <v>0</v>
      </c>
      <c r="M65" s="100">
        <v>29000</v>
      </c>
      <c r="N65" s="98">
        <v>0</v>
      </c>
      <c r="O65" s="98">
        <v>0</v>
      </c>
      <c r="P65" s="98">
        <v>0</v>
      </c>
      <c r="Q65" s="98"/>
    </row>
    <row r="66" spans="2:17" ht="39.6" x14ac:dyDescent="0.25">
      <c r="B66" s="96"/>
      <c r="C66" s="96" t="s">
        <v>15</v>
      </c>
      <c r="D66" s="96">
        <v>64652</v>
      </c>
      <c r="E66" s="96" t="s">
        <v>18</v>
      </c>
      <c r="F66" s="96" t="s">
        <v>8</v>
      </c>
      <c r="G66" s="96" t="s">
        <v>8</v>
      </c>
      <c r="H66" s="97">
        <v>36557</v>
      </c>
      <c r="I66" s="97">
        <v>36769</v>
      </c>
      <c r="J66" s="96">
        <v>26151</v>
      </c>
      <c r="K66" s="96">
        <v>65</v>
      </c>
      <c r="L66" s="96">
        <v>0</v>
      </c>
      <c r="M66" s="96">
        <v>65</v>
      </c>
      <c r="N66" s="96">
        <v>0</v>
      </c>
      <c r="O66" s="96">
        <v>0</v>
      </c>
      <c r="P66" s="96">
        <v>0</v>
      </c>
      <c r="Q66" s="96" t="s">
        <v>8</v>
      </c>
    </row>
    <row r="67" spans="2:17" ht="39.6" x14ac:dyDescent="0.25">
      <c r="B67" s="98"/>
      <c r="C67" s="98" t="s">
        <v>15</v>
      </c>
      <c r="D67" s="98">
        <v>64863</v>
      </c>
      <c r="E67" s="98" t="s">
        <v>18</v>
      </c>
      <c r="F67" s="98" t="s">
        <v>8</v>
      </c>
      <c r="G67" s="98" t="s">
        <v>8</v>
      </c>
      <c r="H67" s="99">
        <v>36557</v>
      </c>
      <c r="I67" s="99">
        <v>36799</v>
      </c>
      <c r="J67" s="98">
        <v>26504</v>
      </c>
      <c r="K67" s="98">
        <v>13</v>
      </c>
      <c r="L67" s="98">
        <v>0</v>
      </c>
      <c r="M67" s="98">
        <v>13</v>
      </c>
      <c r="N67" s="98">
        <v>0</v>
      </c>
      <c r="O67" s="98">
        <v>0</v>
      </c>
      <c r="P67" s="98">
        <v>0</v>
      </c>
      <c r="Q67" s="98" t="s">
        <v>8</v>
      </c>
    </row>
    <row r="68" spans="2:17" ht="39.6" x14ac:dyDescent="0.25">
      <c r="B68" s="96"/>
      <c r="C68" s="96" t="s">
        <v>15</v>
      </c>
      <c r="D68" s="96">
        <v>64937</v>
      </c>
      <c r="E68" s="96" t="s">
        <v>16</v>
      </c>
      <c r="F68" s="96" t="s">
        <v>8</v>
      </c>
      <c r="G68" s="96" t="s">
        <v>8</v>
      </c>
      <c r="H68" s="97">
        <v>36434</v>
      </c>
      <c r="I68" s="96" t="s">
        <v>8</v>
      </c>
      <c r="J68" s="96" t="s">
        <v>8</v>
      </c>
      <c r="K68" s="101">
        <v>10000</v>
      </c>
      <c r="L68" s="96">
        <v>0</v>
      </c>
      <c r="M68" s="101">
        <v>10000</v>
      </c>
      <c r="N68" s="96">
        <v>0</v>
      </c>
      <c r="O68" s="96">
        <v>0</v>
      </c>
      <c r="P68" s="96">
        <v>0</v>
      </c>
      <c r="Q68" s="96" t="s">
        <v>8</v>
      </c>
    </row>
    <row r="69" spans="2:17" ht="39.6" x14ac:dyDescent="0.25">
      <c r="B69" s="98"/>
      <c r="C69" s="98" t="s">
        <v>15</v>
      </c>
      <c r="D69" s="98">
        <v>65027</v>
      </c>
      <c r="E69" s="98" t="s">
        <v>18</v>
      </c>
      <c r="F69" s="98" t="s">
        <v>8</v>
      </c>
      <c r="G69" s="98" t="s">
        <v>8</v>
      </c>
      <c r="H69" s="99">
        <v>36557</v>
      </c>
      <c r="I69" s="99">
        <v>36830</v>
      </c>
      <c r="J69" s="98">
        <v>26727</v>
      </c>
      <c r="K69" s="98">
        <v>131</v>
      </c>
      <c r="L69" s="98">
        <v>0</v>
      </c>
      <c r="M69" s="98">
        <v>131</v>
      </c>
      <c r="N69" s="98">
        <v>0</v>
      </c>
      <c r="O69" s="98">
        <v>0</v>
      </c>
      <c r="P69" s="98">
        <v>0</v>
      </c>
      <c r="Q69" s="98" t="s">
        <v>8</v>
      </c>
    </row>
    <row r="70" spans="2:17" ht="39.6" x14ac:dyDescent="0.25">
      <c r="B70" s="96"/>
      <c r="C70" s="96" t="s">
        <v>15</v>
      </c>
      <c r="D70" s="96">
        <v>65072</v>
      </c>
      <c r="E70" s="96" t="s">
        <v>18</v>
      </c>
      <c r="F70" s="96" t="s">
        <v>8</v>
      </c>
      <c r="G70" s="96" t="s">
        <v>8</v>
      </c>
      <c r="H70" s="97">
        <v>36617</v>
      </c>
      <c r="I70" s="97">
        <v>36830</v>
      </c>
      <c r="J70" s="96">
        <v>26785</v>
      </c>
      <c r="K70" s="101">
        <v>7391</v>
      </c>
      <c r="L70" s="96">
        <v>0</v>
      </c>
      <c r="M70" s="101">
        <v>6987</v>
      </c>
      <c r="N70" s="96">
        <v>404</v>
      </c>
      <c r="O70" s="96">
        <v>0</v>
      </c>
      <c r="P70" s="96">
        <v>0</v>
      </c>
      <c r="Q70" s="96" t="s">
        <v>8</v>
      </c>
    </row>
    <row r="71" spans="2:17" ht="39.6" x14ac:dyDescent="0.25">
      <c r="B71" s="98"/>
      <c r="C71" s="98" t="s">
        <v>15</v>
      </c>
      <c r="D71" s="98">
        <v>65557</v>
      </c>
      <c r="E71" s="98" t="s">
        <v>18</v>
      </c>
      <c r="F71" s="98" t="s">
        <v>8</v>
      </c>
      <c r="G71" s="98" t="s">
        <v>8</v>
      </c>
      <c r="H71" s="99">
        <v>36557</v>
      </c>
      <c r="I71" s="99">
        <v>36860</v>
      </c>
      <c r="J71" s="98">
        <v>27128</v>
      </c>
      <c r="K71" s="98">
        <v>3</v>
      </c>
      <c r="L71" s="98">
        <v>0</v>
      </c>
      <c r="M71" s="98">
        <v>3</v>
      </c>
      <c r="N71" s="98">
        <v>0</v>
      </c>
      <c r="O71" s="98">
        <v>0</v>
      </c>
      <c r="P71" s="98">
        <v>0</v>
      </c>
      <c r="Q71" s="98" t="s">
        <v>8</v>
      </c>
    </row>
    <row r="72" spans="2:17" ht="39.6" x14ac:dyDescent="0.25">
      <c r="B72" s="96"/>
      <c r="C72" s="96" t="s">
        <v>15</v>
      </c>
      <c r="D72" s="96">
        <v>66283</v>
      </c>
      <c r="E72" s="96" t="s">
        <v>18</v>
      </c>
      <c r="F72" s="96" t="s">
        <v>8</v>
      </c>
      <c r="G72" s="96" t="s">
        <v>8</v>
      </c>
      <c r="H72" s="97">
        <v>36557</v>
      </c>
      <c r="I72" s="97">
        <v>36922</v>
      </c>
      <c r="J72" s="96">
        <v>27775</v>
      </c>
      <c r="K72" s="96">
        <v>5</v>
      </c>
      <c r="L72" s="96">
        <v>0</v>
      </c>
      <c r="M72" s="96">
        <v>5</v>
      </c>
      <c r="N72" s="96">
        <v>0</v>
      </c>
      <c r="O72" s="96">
        <v>0</v>
      </c>
      <c r="P72" s="96">
        <v>0</v>
      </c>
      <c r="Q72" s="96" t="s">
        <v>8</v>
      </c>
    </row>
    <row r="73" spans="2:17" ht="39.6" x14ac:dyDescent="0.25">
      <c r="B73" s="98"/>
      <c r="C73" s="98" t="s">
        <v>15</v>
      </c>
      <c r="D73" s="98">
        <v>66941</v>
      </c>
      <c r="E73" s="98" t="s">
        <v>18</v>
      </c>
      <c r="F73" s="98" t="s">
        <v>8</v>
      </c>
      <c r="G73" s="98" t="s">
        <v>8</v>
      </c>
      <c r="H73" s="99">
        <v>36617</v>
      </c>
      <c r="I73" s="99">
        <v>36981</v>
      </c>
      <c r="J73" s="98">
        <v>28330</v>
      </c>
      <c r="K73" s="98">
        <v>53</v>
      </c>
      <c r="L73" s="98">
        <v>0</v>
      </c>
      <c r="M73" s="98">
        <v>53</v>
      </c>
      <c r="N73" s="98">
        <v>0</v>
      </c>
      <c r="O73" s="98">
        <v>0</v>
      </c>
      <c r="P73" s="98">
        <v>0</v>
      </c>
      <c r="Q73" s="98" t="s">
        <v>8</v>
      </c>
    </row>
    <row r="74" spans="2:17" ht="39.6" x14ac:dyDescent="0.25">
      <c r="B74" s="96"/>
      <c r="C74" s="96" t="s">
        <v>15</v>
      </c>
      <c r="D74" s="96">
        <v>66973</v>
      </c>
      <c r="E74" s="96" t="s">
        <v>16</v>
      </c>
      <c r="F74" s="96" t="s">
        <v>8</v>
      </c>
      <c r="G74" s="96" t="s">
        <v>8</v>
      </c>
      <c r="H74" s="97">
        <v>36678</v>
      </c>
      <c r="I74" s="97">
        <v>36981</v>
      </c>
      <c r="J74" s="96" t="s">
        <v>8</v>
      </c>
      <c r="K74" s="101">
        <v>10000</v>
      </c>
      <c r="L74" s="96">
        <v>0</v>
      </c>
      <c r="M74" s="101">
        <v>10000</v>
      </c>
      <c r="N74" s="96">
        <v>0</v>
      </c>
      <c r="O74" s="96">
        <v>0</v>
      </c>
      <c r="P74" s="96">
        <v>0</v>
      </c>
      <c r="Q74" s="96" t="s">
        <v>8</v>
      </c>
    </row>
    <row r="75" spans="2:17" ht="39.6" x14ac:dyDescent="0.25">
      <c r="B75" s="98"/>
      <c r="C75" s="98" t="s">
        <v>15</v>
      </c>
      <c r="D75" s="98">
        <v>68281</v>
      </c>
      <c r="E75" s="98" t="s">
        <v>18</v>
      </c>
      <c r="F75" s="98" t="s">
        <v>8</v>
      </c>
      <c r="G75" s="98" t="s">
        <v>8</v>
      </c>
      <c r="H75" s="99">
        <v>36647</v>
      </c>
      <c r="I75" s="99">
        <v>37011</v>
      </c>
      <c r="J75" s="98">
        <v>28632</v>
      </c>
      <c r="K75" s="98">
        <v>21</v>
      </c>
      <c r="L75" s="98">
        <v>0</v>
      </c>
      <c r="M75" s="98">
        <v>21</v>
      </c>
      <c r="N75" s="98">
        <v>0</v>
      </c>
      <c r="O75" s="98">
        <v>0</v>
      </c>
      <c r="P75" s="98">
        <v>0</v>
      </c>
      <c r="Q75" s="98"/>
    </row>
    <row r="76" spans="2:17" ht="39.6" x14ac:dyDescent="0.25">
      <c r="B76" s="96"/>
      <c r="C76" s="96" t="s">
        <v>15</v>
      </c>
      <c r="D76" s="96">
        <v>68309</v>
      </c>
      <c r="E76" s="96" t="s">
        <v>18</v>
      </c>
      <c r="F76" s="96" t="s">
        <v>8</v>
      </c>
      <c r="G76" s="96" t="s">
        <v>8</v>
      </c>
      <c r="H76" s="97">
        <v>36656</v>
      </c>
      <c r="I76" s="97">
        <v>36950</v>
      </c>
      <c r="J76" s="96">
        <v>28865</v>
      </c>
      <c r="K76" s="96">
        <v>9</v>
      </c>
      <c r="L76" s="96">
        <v>0</v>
      </c>
      <c r="M76" s="96">
        <v>9</v>
      </c>
      <c r="N76" s="96">
        <v>0</v>
      </c>
      <c r="O76" s="96">
        <v>0</v>
      </c>
      <c r="P76" s="96">
        <v>0</v>
      </c>
      <c r="Q76" s="96" t="s">
        <v>8</v>
      </c>
    </row>
    <row r="77" spans="2:17" ht="39.6" x14ac:dyDescent="0.25">
      <c r="B77" s="98"/>
      <c r="C77" s="98" t="s">
        <v>15</v>
      </c>
      <c r="D77" s="98">
        <v>68360</v>
      </c>
      <c r="E77" s="98" t="s">
        <v>18</v>
      </c>
      <c r="F77" s="98" t="s">
        <v>8</v>
      </c>
      <c r="G77" s="98" t="s">
        <v>8</v>
      </c>
      <c r="H77" s="99">
        <v>36678</v>
      </c>
      <c r="I77" s="99">
        <v>37042</v>
      </c>
      <c r="J77" s="98">
        <v>28934</v>
      </c>
      <c r="K77" s="98">
        <v>291</v>
      </c>
      <c r="L77" s="98">
        <v>0</v>
      </c>
      <c r="M77" s="98">
        <v>291</v>
      </c>
      <c r="N77" s="98">
        <v>0</v>
      </c>
      <c r="O77" s="98">
        <v>0</v>
      </c>
      <c r="P77" s="98">
        <v>0</v>
      </c>
      <c r="Q77" s="98" t="s">
        <v>8</v>
      </c>
    </row>
    <row r="78" spans="2:17" ht="39.6" x14ac:dyDescent="0.25">
      <c r="B78" s="96"/>
      <c r="C78" s="96" t="s">
        <v>15</v>
      </c>
      <c r="D78" s="96">
        <v>68385</v>
      </c>
      <c r="E78" s="96" t="s">
        <v>18</v>
      </c>
      <c r="F78" s="96" t="s">
        <v>8</v>
      </c>
      <c r="G78" s="96" t="s">
        <v>8</v>
      </c>
      <c r="H78" s="97">
        <v>36678</v>
      </c>
      <c r="I78" s="97">
        <v>37042</v>
      </c>
      <c r="J78" s="96">
        <v>28963</v>
      </c>
      <c r="K78" s="96">
        <v>223</v>
      </c>
      <c r="L78" s="96">
        <v>0</v>
      </c>
      <c r="M78" s="96">
        <v>223</v>
      </c>
      <c r="N78" s="96">
        <v>0</v>
      </c>
      <c r="O78" s="96">
        <v>0</v>
      </c>
      <c r="P78" s="96">
        <v>0</v>
      </c>
      <c r="Q78" s="96" t="s">
        <v>8</v>
      </c>
    </row>
  </sheetData>
  <pageMargins left="0.75" right="0.75" top="1" bottom="1" header="0.5" footer="0.5"/>
  <pageSetup scale="55" fitToHeight="3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Pricing Notes</vt:lpstr>
      <vt:lpstr>CGAS</vt:lpstr>
      <vt:lpstr>Pricing</vt:lpstr>
      <vt:lpstr>CES Retail East</vt:lpstr>
      <vt:lpstr>CES Retail Mrkt</vt:lpstr>
      <vt:lpstr>Sheet1</vt:lpstr>
      <vt:lpstr>Sheet2</vt:lpstr>
      <vt:lpstr>'CES Retail East'!Print_Area</vt:lpstr>
      <vt:lpstr>'CES Retail Mrkt'!Print_Area</vt:lpstr>
      <vt:lpstr>'Pricing Notes'!Print_Area</vt:lpstr>
      <vt:lpstr>Sheet1!Print_Titles</vt:lpstr>
      <vt:lpstr>Sheet1!TABLE</vt:lpstr>
      <vt:lpstr>Sheet1!TABLE_2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Havlíček Jan</cp:lastModifiedBy>
  <cp:lastPrinted>2000-07-10T18:35:53Z</cp:lastPrinted>
  <dcterms:created xsi:type="dcterms:W3CDTF">1998-07-21T12:15:25Z</dcterms:created>
  <dcterms:modified xsi:type="dcterms:W3CDTF">2023-09-10T12:07:32Z</dcterms:modified>
</cp:coreProperties>
</file>