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8100" yWindow="216" windowWidth="7200" windowHeight="9420" activeTab="5"/>
  </bookViews>
  <sheets>
    <sheet name="Post Close (2)" sheetId="4" r:id="rId1"/>
    <sheet name="Post Close" sheetId="3" r:id="rId2"/>
    <sheet name="Original" sheetId="1" r:id="rId3"/>
    <sheet name="Prior to close" sheetId="2" r:id="rId4"/>
    <sheet name="example" sheetId="5" r:id="rId5"/>
    <sheet name="ENA Invoice" sheetId="6" r:id="rId6"/>
  </sheets>
  <externalReferences>
    <externalReference r:id="rId7"/>
  </externalReferences>
  <definedNames>
    <definedName name="D">#REF!</definedName>
    <definedName name="e">[1]May00!$I$1</definedName>
    <definedName name="g">#REF!</definedName>
    <definedName name="_xlnm.Print_Area" localSheetId="5">'ENA Invoice'!$A$1:$Q$16</definedName>
    <definedName name="t">#REF!</definedName>
  </definedNames>
  <calcPr calcId="0"/>
</workbook>
</file>

<file path=xl/calcChain.xml><?xml version="1.0" encoding="utf-8"?>
<calcChain xmlns="http://schemas.openxmlformats.org/spreadsheetml/2006/main">
  <c r="K22" i="6" l="1"/>
  <c r="C23" i="6"/>
  <c r="H23" i="6"/>
  <c r="O23" i="6"/>
  <c r="C24" i="6"/>
  <c r="H24" i="6"/>
  <c r="K24" i="6"/>
  <c r="O24" i="6"/>
  <c r="C25" i="6"/>
  <c r="H25" i="6"/>
  <c r="O25" i="6"/>
  <c r="C26" i="6"/>
  <c r="G26" i="6"/>
  <c r="H26" i="6"/>
  <c r="K26" i="6"/>
  <c r="O26" i="6"/>
  <c r="C27" i="6"/>
  <c r="G27" i="6"/>
  <c r="H27" i="6"/>
  <c r="K27" i="6"/>
  <c r="O27" i="6"/>
  <c r="E20" i="5"/>
  <c r="F20" i="5"/>
  <c r="G20" i="5"/>
  <c r="E28" i="5"/>
  <c r="F28" i="5"/>
  <c r="G28" i="5"/>
  <c r="E30" i="5"/>
  <c r="G30" i="5"/>
  <c r="G31" i="5"/>
  <c r="G32" i="5"/>
  <c r="H32" i="5"/>
  <c r="E38" i="5"/>
  <c r="F38" i="5"/>
  <c r="G38" i="5"/>
  <c r="E40" i="5"/>
  <c r="G40" i="5"/>
  <c r="G41" i="5"/>
  <c r="G42" i="5"/>
  <c r="H42" i="5"/>
  <c r="K5" i="1"/>
  <c r="K13" i="1"/>
  <c r="K21" i="1"/>
  <c r="K29" i="1"/>
  <c r="K37" i="1"/>
  <c r="K40" i="1"/>
  <c r="D8" i="3"/>
  <c r="J10" i="3"/>
  <c r="J11" i="3"/>
  <c r="J12" i="3"/>
  <c r="J13" i="3"/>
  <c r="D17" i="3"/>
  <c r="J23" i="3"/>
  <c r="J24" i="3"/>
  <c r="J25" i="3"/>
  <c r="D26" i="3"/>
  <c r="J26" i="3"/>
  <c r="D35" i="3"/>
  <c r="J37" i="3"/>
  <c r="J38" i="3"/>
  <c r="J39" i="3"/>
  <c r="C40" i="3"/>
  <c r="J40" i="3"/>
  <c r="C41" i="3"/>
  <c r="C42" i="3"/>
  <c r="C44" i="3"/>
  <c r="C45" i="3"/>
  <c r="J51" i="3"/>
  <c r="J52" i="3"/>
  <c r="J53" i="3"/>
  <c r="J64" i="3"/>
  <c r="J65" i="3"/>
  <c r="J66" i="3"/>
  <c r="J67" i="3"/>
  <c r="J72" i="3"/>
  <c r="J73" i="3"/>
  <c r="J74" i="3"/>
  <c r="J75" i="3"/>
  <c r="J76" i="3"/>
  <c r="D7" i="4"/>
  <c r="D8" i="4"/>
  <c r="D9" i="4"/>
  <c r="D11" i="4"/>
  <c r="J11" i="4"/>
  <c r="J12" i="4"/>
  <c r="D13" i="4"/>
  <c r="J13" i="4"/>
  <c r="D14" i="4"/>
  <c r="D15" i="4"/>
  <c r="D16" i="4"/>
  <c r="D17" i="4"/>
  <c r="D18" i="4"/>
  <c r="J24" i="4"/>
  <c r="D25" i="4"/>
  <c r="J25" i="4"/>
  <c r="D26" i="4"/>
  <c r="J26" i="4"/>
  <c r="D27" i="4"/>
  <c r="D34" i="4"/>
  <c r="D35" i="4"/>
  <c r="D36" i="4"/>
  <c r="J38" i="4"/>
  <c r="J39" i="4"/>
  <c r="C40" i="4"/>
  <c r="J40" i="4"/>
  <c r="C41" i="4"/>
  <c r="C42" i="4"/>
  <c r="C44" i="4"/>
  <c r="C45" i="4"/>
  <c r="J48" i="4"/>
  <c r="J51" i="4"/>
  <c r="J52" i="4"/>
  <c r="J53" i="4"/>
  <c r="J64" i="4"/>
  <c r="J65" i="4"/>
  <c r="J66" i="4"/>
  <c r="J67" i="4"/>
  <c r="J72" i="4"/>
  <c r="J73" i="4"/>
  <c r="J74" i="4"/>
  <c r="J75" i="4"/>
  <c r="J76" i="4"/>
  <c r="D8" i="2"/>
  <c r="J10" i="2"/>
  <c r="J11" i="2"/>
  <c r="J12" i="2"/>
  <c r="J13" i="2"/>
  <c r="D17" i="2"/>
  <c r="J23" i="2"/>
  <c r="J24" i="2"/>
  <c r="J25" i="2"/>
  <c r="D26" i="2"/>
  <c r="J26" i="2"/>
  <c r="D35" i="2"/>
  <c r="J37" i="2"/>
  <c r="J38" i="2"/>
  <c r="J39" i="2"/>
  <c r="C40" i="2"/>
  <c r="J40" i="2"/>
  <c r="C41" i="2"/>
  <c r="C42" i="2"/>
  <c r="C44" i="2"/>
  <c r="C45" i="2"/>
  <c r="J51" i="2"/>
  <c r="J52" i="2"/>
  <c r="J53" i="2"/>
  <c r="J64" i="2"/>
  <c r="J65" i="2"/>
  <c r="J66" i="2"/>
  <c r="J67" i="2"/>
  <c r="J72" i="2"/>
  <c r="J73" i="2"/>
  <c r="J74" i="2"/>
  <c r="J75" i="2"/>
  <c r="J76" i="2"/>
</calcChain>
</file>

<file path=xl/sharedStrings.xml><?xml version="1.0" encoding="utf-8"?>
<sst xmlns="http://schemas.openxmlformats.org/spreadsheetml/2006/main" count="513" uniqueCount="93">
  <si>
    <t>Enron North America Theoretical Inventory Programs</t>
  </si>
  <si>
    <t>CES Managed  Inventory Programs</t>
  </si>
  <si>
    <t>LDC</t>
  </si>
  <si>
    <t>Rate Schedule</t>
  </si>
  <si>
    <t>Month</t>
  </si>
  <si>
    <t>Volume</t>
  </si>
  <si>
    <t>COH</t>
  </si>
  <si>
    <t>TCO-FSS</t>
  </si>
  <si>
    <t>BGE</t>
  </si>
  <si>
    <t>CNG-GSS</t>
  </si>
  <si>
    <t>Total</t>
  </si>
  <si>
    <t>AGL</t>
  </si>
  <si>
    <t>Sonat-CSS</t>
  </si>
  <si>
    <t>Michcon</t>
  </si>
  <si>
    <t>Banking</t>
  </si>
  <si>
    <t>Transco-ESS</t>
  </si>
  <si>
    <t>Nipsco</t>
  </si>
  <si>
    <t>Transco-WSS</t>
  </si>
  <si>
    <t>LNG-Peaking</t>
  </si>
  <si>
    <t>IBSS</t>
  </si>
  <si>
    <t>mmbtu</t>
  </si>
  <si>
    <t>Storage Payment</t>
  </si>
  <si>
    <t>Total Stored Gas</t>
  </si>
  <si>
    <t>GD ANR ML7</t>
  </si>
  <si>
    <t>NGI CHICAGO</t>
  </si>
  <si>
    <t>IF TCO APP</t>
  </si>
  <si>
    <t>IF SONAT LA</t>
  </si>
  <si>
    <t>IF TRANSCO Z3</t>
  </si>
  <si>
    <t>LEGEND</t>
  </si>
  <si>
    <t>IF TCO APP = agreed upon estimated July "Inside FERC" monthly gas index at TCO Appalachian pool</t>
  </si>
  <si>
    <t>GD ANR ML7 = agreed upon estimated July "Gas Daily" monthly gas index at ANR Mainline Zone 7</t>
  </si>
  <si>
    <t>NGI CHICAGO = agreed upon estimated July "Natural Gas Intelligence" monthly gas index at Chicago citygate</t>
  </si>
  <si>
    <t>IF TRANSCO Z3 = agreed upon estimated July "Inside FERC" monthly gas index at Transco - Zone 3.</t>
  </si>
  <si>
    <t>IF SONAT LA = agreed upon estimated July "Inside FERC" monthly gas index at Sonat - Louisiana.</t>
  </si>
  <si>
    <t>Average  unit price</t>
  </si>
  <si>
    <t>Estimated Price</t>
  </si>
  <si>
    <t>Actual Price</t>
  </si>
  <si>
    <t>Total Scheduled Gas</t>
  </si>
  <si>
    <t>Difference</t>
  </si>
  <si>
    <t>Adjusted Payment</t>
  </si>
  <si>
    <t>Stored Gas</t>
  </si>
  <si>
    <t>Scheduled</t>
  </si>
  <si>
    <t>Volume Adjustment</t>
  </si>
  <si>
    <t>Index Adjustment</t>
  </si>
  <si>
    <t>Average unit price</t>
  </si>
  <si>
    <t>IF SONAT LA = agreed upon estimated July "Inside FERC" monthly gas index at Sonat - Louisiana</t>
  </si>
  <si>
    <t>IF TRANSCO Z3 = agreed upon estimated July "Inside FERC" monthly gas index at Transco - Zone 3</t>
  </si>
  <si>
    <t>?</t>
  </si>
  <si>
    <t>Inj fuel%</t>
  </si>
  <si>
    <t>Adj. Sched</t>
  </si>
  <si>
    <t>Stored</t>
  </si>
  <si>
    <t>Adjusted Sched. Gas</t>
  </si>
  <si>
    <t>Adj. Stg Payment</t>
  </si>
  <si>
    <t>P</t>
  </si>
  <si>
    <t>Q</t>
  </si>
  <si>
    <t>original Est</t>
  </si>
  <si>
    <t>April</t>
  </si>
  <si>
    <t>May</t>
  </si>
  <si>
    <t>June</t>
  </si>
  <si>
    <t>July</t>
  </si>
  <si>
    <t>Pre-close</t>
  </si>
  <si>
    <t>Post-close</t>
  </si>
  <si>
    <t>Theoretical Storage Injections by Month for CES pursuant to 12/99 Energy Purchase Agreement with ENA</t>
  </si>
  <si>
    <t>TCO stg</t>
  </si>
  <si>
    <t>Sonat CSS</t>
  </si>
  <si>
    <t>TRANSCO WSS</t>
  </si>
  <si>
    <t>TRANSCO ESS</t>
  </si>
  <si>
    <t>Sitara # SA-268094</t>
  </si>
  <si>
    <t>Month/Yr</t>
  </si>
  <si>
    <t>Dth</t>
  </si>
  <si>
    <t>Invoice #</t>
  </si>
  <si>
    <t>page #</t>
  </si>
  <si>
    <t>Sitara #</t>
  </si>
  <si>
    <t>Beg April Inv.</t>
  </si>
  <si>
    <t>#NA</t>
  </si>
  <si>
    <t>Injections</t>
  </si>
  <si>
    <t>Injection should have been zero</t>
  </si>
  <si>
    <t>11738SA</t>
  </si>
  <si>
    <t>SA-271438</t>
  </si>
  <si>
    <t>SA-272678</t>
  </si>
  <si>
    <t>12806SA</t>
  </si>
  <si>
    <t>SA-278456</t>
  </si>
  <si>
    <t>SA-278452</t>
  </si>
  <si>
    <t>13961SA</t>
  </si>
  <si>
    <t>SA-312606</t>
  </si>
  <si>
    <t>SA-312535</t>
  </si>
  <si>
    <t>#Note:  Beginning April Inventory is at the inventory meter.  We assume that all injection volumes are at the storage injection meter.  Injection fuel, if any, must be netted out to obtain inventory figure.</t>
  </si>
  <si>
    <t xml:space="preserve">Volume is too low. </t>
  </si>
  <si>
    <t>Source:  Enron Invoices various months</t>
  </si>
  <si>
    <t>Source:  GMS Gas Control various month</t>
  </si>
  <si>
    <t>July-end Total</t>
  </si>
  <si>
    <t>Dth Inj</t>
  </si>
  <si>
    <t>Dth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</si>
</sst>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7" formatCode="_(* #,##0_);_(* \(#,##0\);_(* &quot;-&quot;??_);_(@_)"/>
    <numFmt numFmtId="168" formatCode="_(&quot;$&quot;* #,##0.000_);_(&quot;$&quot;* \(#,##0.000\);_(&quot;$&quot;* &quot;-&quot;??_);_(@_)"/>
    <numFmt numFmtId="170" formatCode="0.0"/>
    <numFmt numFmtId="174" formatCode="_(* #,##0.000_);_(* \(#,##0.000\);_(* &quot;-&quot;??_);_(@_)"/>
    <numFmt numFmtId="181" formatCode="_(&quot;$&quot;* #,##0_);_(&quot;$&quot;* \(#,##0\);_(&quot;$&quot;* &quot;-&quot;??_);_(@_)"/>
  </numFmts>
  <fonts count="8" x14ac:knownFonts="1">
    <font>
      <sz val="10"/>
      <name val="Arial"/>
    </font>
    <font>
      <sz val="10"/>
      <name val="Arial"/>
    </font>
    <font>
      <sz val="10"/>
      <color indexed="8"/>
      <name val="MS Sans Serif"/>
    </font>
    <font>
      <u/>
      <sz val="10"/>
      <name val="Arial"/>
      <family val="2"/>
    </font>
    <font>
      <sz val="10"/>
      <name val="Arial"/>
      <family val="2"/>
    </font>
    <font>
      <b/>
      <u/>
      <sz val="10"/>
      <name val="Arial"/>
      <family val="2"/>
    </font>
    <font>
      <b/>
      <sz val="10"/>
      <name val="Arial"/>
      <family val="2"/>
    </font>
    <font>
      <b/>
      <sz val="12"/>
      <name val="Arial"/>
      <family val="2"/>
    </font>
  </fonts>
  <fills count="4">
    <fill>
      <patternFill patternType="none"/>
    </fill>
    <fill>
      <patternFill patternType="gray125"/>
    </fill>
    <fill>
      <patternFill patternType="solid">
        <fgColor indexed="44"/>
        <bgColor indexed="64"/>
      </patternFill>
    </fill>
    <fill>
      <patternFill patternType="solid">
        <fgColor indexed="1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0" fillId="0" borderId="1" xfId="0" applyBorder="1" applyAlignment="1">
      <alignment horizontal="centerContinuous"/>
    </xf>
    <xf numFmtId="0" fontId="0" fillId="0" borderId="2" xfId="0" applyBorder="1" applyAlignment="1">
      <alignment horizontal="centerContinuous"/>
    </xf>
    <xf numFmtId="167" fontId="1" fillId="0" borderId="3" xfId="1" applyNumberFormat="1" applyBorder="1" applyAlignment="1">
      <alignment horizontal="centerContinuous"/>
    </xf>
    <xf numFmtId="0" fontId="3" fillId="0" borderId="0" xfId="0" applyFont="1" applyAlignment="1">
      <alignment horizontal="center"/>
    </xf>
    <xf numFmtId="167" fontId="3" fillId="0" borderId="0" xfId="1" applyNumberFormat="1" applyFont="1" applyAlignment="1">
      <alignment horizontal="center"/>
    </xf>
    <xf numFmtId="0" fontId="3" fillId="0" borderId="0" xfId="0" applyFont="1"/>
    <xf numFmtId="17" fontId="4" fillId="0" borderId="0" xfId="0" applyNumberFormat="1" applyFont="1" applyAlignment="1">
      <alignment horizontal="center"/>
    </xf>
    <xf numFmtId="167" fontId="1" fillId="0" borderId="0" xfId="1" applyNumberFormat="1"/>
    <xf numFmtId="0" fontId="0" fillId="0" borderId="0" xfId="0" applyAlignment="1">
      <alignment horizontal="right"/>
    </xf>
    <xf numFmtId="168" fontId="1" fillId="0" borderId="0" xfId="2" applyNumberFormat="1"/>
    <xf numFmtId="181" fontId="1" fillId="0" borderId="0" xfId="2" applyNumberFormat="1"/>
    <xf numFmtId="0" fontId="0" fillId="0" borderId="0" xfId="0" applyAlignment="1">
      <alignment horizontal="center"/>
    </xf>
    <xf numFmtId="168" fontId="1" fillId="0" borderId="0" xfId="2" applyNumberFormat="1" applyAlignment="1">
      <alignment horizontal="center"/>
    </xf>
    <xf numFmtId="181" fontId="1" fillId="0" borderId="0" xfId="2" applyNumberFormat="1" applyAlignment="1">
      <alignment horizontal="center"/>
    </xf>
    <xf numFmtId="0" fontId="0" fillId="0" borderId="4" xfId="0" applyBorder="1" applyAlignment="1">
      <alignment horizontal="right"/>
    </xf>
    <xf numFmtId="181" fontId="1" fillId="0" borderId="5" xfId="2" applyNumberFormat="1" applyBorder="1"/>
    <xf numFmtId="0" fontId="0" fillId="0" borderId="6" xfId="0" applyBorder="1"/>
    <xf numFmtId="0" fontId="0" fillId="0" borderId="7" xfId="0" applyBorder="1" applyAlignment="1">
      <alignment horizontal="right"/>
    </xf>
    <xf numFmtId="167" fontId="1" fillId="0" borderId="8" xfId="1" applyNumberFormat="1" applyBorder="1"/>
    <xf numFmtId="0" fontId="0" fillId="0" borderId="9" xfId="0" applyBorder="1"/>
    <xf numFmtId="0" fontId="5" fillId="0" borderId="0" xfId="0" applyFont="1" applyBorder="1" applyAlignment="1">
      <alignment horizontal="center"/>
    </xf>
    <xf numFmtId="0" fontId="0" fillId="0" borderId="0" xfId="0" applyAlignment="1">
      <alignment horizontal="left"/>
    </xf>
    <xf numFmtId="44" fontId="1" fillId="0" borderId="0" xfId="2" applyNumberFormat="1" applyAlignment="1">
      <alignment horizontal="center"/>
    </xf>
    <xf numFmtId="0" fontId="3" fillId="0" borderId="0" xfId="0" applyFont="1" applyAlignment="1">
      <alignment horizontal="right"/>
    </xf>
    <xf numFmtId="167" fontId="1" fillId="0" borderId="0" xfId="1" applyNumberFormat="1" applyAlignment="1">
      <alignment horizontal="right"/>
    </xf>
    <xf numFmtId="181" fontId="1" fillId="0" borderId="0" xfId="2" applyNumberFormat="1" applyBorder="1"/>
    <xf numFmtId="0" fontId="0" fillId="0" borderId="0" xfId="0" applyBorder="1"/>
    <xf numFmtId="167" fontId="1" fillId="0" borderId="0" xfId="1" applyNumberFormat="1" applyBorder="1"/>
    <xf numFmtId="0" fontId="6" fillId="0" borderId="0" xfId="0" applyFont="1" applyAlignment="1">
      <alignment horizontal="right"/>
    </xf>
    <xf numFmtId="0" fontId="6" fillId="0" borderId="0" xfId="0" applyFont="1" applyAlignment="1">
      <alignment horizontal="center"/>
    </xf>
    <xf numFmtId="0" fontId="0" fillId="0" borderId="0" xfId="0" applyBorder="1" applyAlignment="1">
      <alignment horizontal="center"/>
    </xf>
    <xf numFmtId="0" fontId="0" fillId="0" borderId="1" xfId="0" applyBorder="1" applyAlignment="1">
      <alignment horizontal="centerContinuous" wrapText="1"/>
    </xf>
    <xf numFmtId="0" fontId="0" fillId="0" borderId="2" xfId="0" applyBorder="1" applyAlignment="1">
      <alignment horizontal="centerContinuous" wrapText="1"/>
    </xf>
    <xf numFmtId="167" fontId="1" fillId="0" borderId="3" xfId="1" applyNumberFormat="1" applyBorder="1" applyAlignment="1">
      <alignment horizontal="centerContinuous" wrapText="1"/>
    </xf>
    <xf numFmtId="167" fontId="1" fillId="0" borderId="0" xfId="1" applyNumberFormat="1" applyBorder="1" applyAlignment="1"/>
    <xf numFmtId="0" fontId="0" fillId="0" borderId="4" xfId="0" applyBorder="1" applyAlignment="1">
      <alignment horizontal="center"/>
    </xf>
    <xf numFmtId="0" fontId="0" fillId="0" borderId="10" xfId="0" applyBorder="1" applyAlignment="1">
      <alignment horizontal="center"/>
    </xf>
    <xf numFmtId="0" fontId="0" fillId="0" borderId="11" xfId="0" applyBorder="1"/>
    <xf numFmtId="0" fontId="0" fillId="0" borderId="7" xfId="0" applyBorder="1" applyAlignment="1">
      <alignment horizontal="center"/>
    </xf>
    <xf numFmtId="167" fontId="0" fillId="0" borderId="0" xfId="0" applyNumberFormat="1"/>
    <xf numFmtId="174" fontId="1" fillId="0" borderId="0" xfId="1" applyNumberFormat="1"/>
    <xf numFmtId="167" fontId="1" fillId="0" borderId="0" xfId="1" applyNumberFormat="1" applyFont="1"/>
    <xf numFmtId="167" fontId="1" fillId="0" borderId="0" xfId="1" quotePrefix="1" applyNumberFormat="1" applyFont="1"/>
    <xf numFmtId="170" fontId="0" fillId="0" borderId="0" xfId="0" applyNumberFormat="1"/>
    <xf numFmtId="0" fontId="7" fillId="0" borderId="0" xfId="0" applyFont="1"/>
    <xf numFmtId="0" fontId="5" fillId="0" borderId="0" xfId="0" applyFont="1"/>
    <xf numFmtId="0" fontId="5" fillId="0" borderId="0" xfId="0" applyFont="1" applyAlignment="1">
      <alignment horizontal="center"/>
    </xf>
    <xf numFmtId="0" fontId="4" fillId="2" borderId="0" xfId="0" applyFont="1" applyFill="1"/>
    <xf numFmtId="167" fontId="1" fillId="2" borderId="0" xfId="1" applyNumberFormat="1" applyFill="1" applyAlignment="1">
      <alignment horizontal="center"/>
    </xf>
    <xf numFmtId="0" fontId="4" fillId="2" borderId="0" xfId="0" applyFont="1" applyFill="1" applyAlignment="1">
      <alignment horizontal="center"/>
    </xf>
    <xf numFmtId="0" fontId="0" fillId="2" borderId="0" xfId="0" applyFill="1"/>
    <xf numFmtId="17" fontId="0" fillId="0" borderId="0" xfId="0" applyNumberFormat="1"/>
    <xf numFmtId="167" fontId="1" fillId="0" borderId="0" xfId="1" applyNumberFormat="1" applyAlignment="1">
      <alignment horizontal="center"/>
    </xf>
    <xf numFmtId="167" fontId="1" fillId="3" borderId="0" xfId="1" applyNumberFormat="1" applyFill="1" applyAlignment="1">
      <alignment horizontal="center"/>
    </xf>
    <xf numFmtId="0" fontId="0" fillId="3" borderId="0" xfId="0" quotePrefix="1" applyFill="1"/>
    <xf numFmtId="0" fontId="6" fillId="0" borderId="0" xfId="0" applyFont="1"/>
    <xf numFmtId="167" fontId="0" fillId="0" borderId="0" xfId="1" applyNumberFormat="1" applyFont="1"/>
    <xf numFmtId="0" fontId="7" fillId="0" borderId="8" xfId="0" applyFont="1" applyBorder="1" applyAlignment="1">
      <alignment horizontal="center"/>
    </xf>
    <xf numFmtId="0" fontId="6" fillId="0" borderId="0" xfId="0" applyFont="1" applyAlignment="1">
      <alignment horizontal="center" textRotation="180"/>
    </xf>
    <xf numFmtId="0" fontId="0" fillId="0" borderId="0" xfId="0"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EnergyOps\Pipelines\CESCapMonth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00"/>
      <sheetName val="Exhibit1"/>
      <sheetName val="JanEst"/>
      <sheetName val="Jan00"/>
      <sheetName val="Feb00"/>
      <sheetName val="Mar00"/>
      <sheetName val="Apr00"/>
      <sheetName val="May00"/>
      <sheetName val="Jun00"/>
      <sheetName val="C&amp;Irev"/>
    </sheetNames>
    <sheetDataSet>
      <sheetData sheetId="0"/>
      <sheetData sheetId="1"/>
      <sheetData sheetId="2"/>
      <sheetData sheetId="3"/>
      <sheetData sheetId="4"/>
      <sheetData sheetId="5"/>
      <sheetData sheetId="6"/>
      <sheetData sheetId="7">
        <row r="1">
          <cell r="I1">
            <v>30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0"/>
  <sheetViews>
    <sheetView topLeftCell="A3" zoomScale="75" workbookViewId="0">
      <selection activeCell="D17" sqref="D17"/>
    </sheetView>
  </sheetViews>
  <sheetFormatPr defaultRowHeight="13.2" x14ac:dyDescent="0.25"/>
  <cols>
    <col min="1" max="1" width="15.6640625" bestFit="1" customWidth="1"/>
    <col min="2" max="2" width="17.44140625" customWidth="1"/>
    <col min="3" max="3" width="16.44140625" bestFit="1" customWidth="1"/>
    <col min="4" max="4" width="12.88671875" bestFit="1" customWidth="1"/>
    <col min="5" max="5" width="12.109375" customWidth="1"/>
    <col min="6" max="6" width="11.5546875" style="9" customWidth="1"/>
    <col min="7" max="7" width="15.109375" customWidth="1"/>
    <col min="8" max="8" width="13.109375" bestFit="1" customWidth="1"/>
    <col min="9" max="9" width="17.109375" bestFit="1" customWidth="1"/>
    <col min="10" max="10" width="13.33203125" customWidth="1"/>
    <col min="11" max="13" width="12.88671875" customWidth="1"/>
  </cols>
  <sheetData>
    <row r="1" spans="1:15" x14ac:dyDescent="0.25">
      <c r="A1" s="1" t="s">
        <v>0</v>
      </c>
      <c r="B1" s="2"/>
      <c r="C1" s="2"/>
      <c r="D1" s="3"/>
      <c r="E1" s="35"/>
      <c r="G1" s="32" t="s">
        <v>1</v>
      </c>
      <c r="H1" s="33"/>
      <c r="I1" s="33"/>
      <c r="J1" s="34"/>
    </row>
    <row r="2" spans="1:15" x14ac:dyDescent="0.25">
      <c r="A2" s="4" t="s">
        <v>2</v>
      </c>
      <c r="B2" s="4" t="s">
        <v>3</v>
      </c>
      <c r="C2" s="4" t="s">
        <v>4</v>
      </c>
      <c r="D2" s="5" t="s">
        <v>5</v>
      </c>
      <c r="E2" s="5"/>
      <c r="F2" s="24"/>
      <c r="G2" s="4" t="s">
        <v>2</v>
      </c>
      <c r="H2" s="4" t="s">
        <v>3</v>
      </c>
      <c r="I2" s="4" t="s">
        <v>4</v>
      </c>
      <c r="J2" s="5" t="s">
        <v>5</v>
      </c>
      <c r="K2" s="5"/>
      <c r="L2" s="5"/>
      <c r="M2" s="5"/>
    </row>
    <row r="3" spans="1:15" x14ac:dyDescent="0.25">
      <c r="A3" s="12" t="s">
        <v>6</v>
      </c>
      <c r="B3" s="12" t="s">
        <v>7</v>
      </c>
      <c r="C3" s="7">
        <v>36617</v>
      </c>
      <c r="D3" s="8">
        <v>786579</v>
      </c>
      <c r="E3" s="43" t="s">
        <v>47</v>
      </c>
      <c r="G3" s="12" t="s">
        <v>8</v>
      </c>
      <c r="H3" s="12" t="s">
        <v>7</v>
      </c>
      <c r="I3" s="7">
        <v>36617</v>
      </c>
      <c r="J3" s="8">
        <v>3331</v>
      </c>
      <c r="K3" s="8"/>
      <c r="L3" s="8"/>
      <c r="M3" s="8"/>
    </row>
    <row r="4" spans="1:15" x14ac:dyDescent="0.25">
      <c r="A4" s="12" t="s">
        <v>44</v>
      </c>
      <c r="B4" s="13">
        <v>4.6900000000000004</v>
      </c>
      <c r="C4" s="7">
        <v>36647</v>
      </c>
      <c r="D4" s="8">
        <v>1088289</v>
      </c>
      <c r="E4" s="8"/>
      <c r="G4" s="12"/>
      <c r="H4" s="12" t="s">
        <v>9</v>
      </c>
      <c r="I4" s="7">
        <v>36647</v>
      </c>
      <c r="J4" s="8">
        <v>13430</v>
      </c>
      <c r="K4" s="8"/>
      <c r="L4" s="8"/>
      <c r="M4" s="8"/>
    </row>
    <row r="5" spans="1:15" x14ac:dyDescent="0.25">
      <c r="A5" s="12" t="s">
        <v>25</v>
      </c>
      <c r="C5" s="7">
        <v>36678</v>
      </c>
      <c r="D5" s="8">
        <v>1089289</v>
      </c>
      <c r="E5" s="43" t="s">
        <v>47</v>
      </c>
      <c r="G5" s="12" t="s">
        <v>44</v>
      </c>
      <c r="H5" s="13">
        <v>5.35</v>
      </c>
      <c r="I5" s="7">
        <v>36678</v>
      </c>
      <c r="J5" s="8">
        <v>13472</v>
      </c>
      <c r="L5" s="8"/>
      <c r="M5" s="8"/>
      <c r="N5" s="8"/>
      <c r="O5" s="8"/>
    </row>
    <row r="6" spans="1:15" x14ac:dyDescent="0.25">
      <c r="A6" s="12"/>
      <c r="B6" s="12"/>
      <c r="C6" s="7">
        <v>36708</v>
      </c>
      <c r="D6" s="8">
        <v>1089123</v>
      </c>
      <c r="E6" s="8"/>
      <c r="G6" s="12" t="s">
        <v>25</v>
      </c>
      <c r="H6" s="13"/>
      <c r="I6" s="7">
        <v>36708</v>
      </c>
      <c r="J6" s="8">
        <v>11960</v>
      </c>
      <c r="L6" s="8"/>
      <c r="M6" s="8"/>
    </row>
    <row r="7" spans="1:15" x14ac:dyDescent="0.25">
      <c r="A7" s="12"/>
      <c r="B7" s="12" t="s">
        <v>40</v>
      </c>
      <c r="C7" s="12" t="s">
        <v>10</v>
      </c>
      <c r="D7" s="8">
        <f>SUM(D3:D6)</f>
        <v>4053280</v>
      </c>
      <c r="E7" s="8"/>
      <c r="G7" s="12"/>
      <c r="H7" s="12" t="s">
        <v>49</v>
      </c>
      <c r="I7" s="12" t="s">
        <v>10</v>
      </c>
      <c r="J7" s="8">
        <v>40795</v>
      </c>
      <c r="K7" s="8"/>
      <c r="L7" s="8"/>
      <c r="M7" s="8"/>
    </row>
    <row r="8" spans="1:15" x14ac:dyDescent="0.25">
      <c r="A8" s="12"/>
      <c r="C8" s="31" t="s">
        <v>43</v>
      </c>
      <c r="D8" s="26">
        <f>(D6-1089109)*J72</f>
        <v>-0.84000000000000696</v>
      </c>
      <c r="E8" s="26"/>
      <c r="G8" s="12"/>
      <c r="I8" s="7">
        <v>36678</v>
      </c>
      <c r="J8" s="8">
        <v>12074</v>
      </c>
      <c r="K8" s="23"/>
      <c r="L8" s="23"/>
      <c r="M8" s="23"/>
    </row>
    <row r="9" spans="1:15" x14ac:dyDescent="0.25">
      <c r="A9" s="12"/>
      <c r="C9" s="31" t="s">
        <v>42</v>
      </c>
      <c r="D9" s="26">
        <f>(D7-4053906)*B4</f>
        <v>-2935.94</v>
      </c>
      <c r="E9" s="26"/>
      <c r="G9" s="12"/>
      <c r="H9" s="13"/>
      <c r="I9" s="7">
        <v>36708</v>
      </c>
      <c r="J9" s="8">
        <v>15093</v>
      </c>
      <c r="K9" s="8"/>
      <c r="L9" s="8"/>
      <c r="M9" s="8"/>
    </row>
    <row r="10" spans="1:15" x14ac:dyDescent="0.25">
      <c r="A10" s="12"/>
      <c r="B10" s="13"/>
      <c r="C10" s="12"/>
      <c r="D10" s="8"/>
      <c r="E10" s="8"/>
      <c r="G10" s="12"/>
      <c r="H10" s="12" t="s">
        <v>50</v>
      </c>
      <c r="I10" s="12" t="s">
        <v>10</v>
      </c>
      <c r="J10" s="25">
        <v>43872</v>
      </c>
      <c r="K10" s="8"/>
      <c r="L10" s="8"/>
      <c r="M10" s="8"/>
    </row>
    <row r="11" spans="1:15" x14ac:dyDescent="0.25">
      <c r="A11" s="12"/>
      <c r="B11" s="12"/>
      <c r="D11" s="41">
        <f>1-0.0076</f>
        <v>0.99239999999999995</v>
      </c>
      <c r="E11" s="42" t="s">
        <v>48</v>
      </c>
      <c r="G11" s="12"/>
      <c r="H11" s="13"/>
      <c r="I11" s="12" t="s">
        <v>38</v>
      </c>
      <c r="J11" s="25">
        <f>J10-J7</f>
        <v>3077</v>
      </c>
      <c r="K11" s="8"/>
      <c r="L11" s="8"/>
      <c r="M11" s="8"/>
    </row>
    <row r="12" spans="1:15" x14ac:dyDescent="0.25">
      <c r="A12" s="12" t="s">
        <v>11</v>
      </c>
      <c r="B12" s="12" t="s">
        <v>12</v>
      </c>
      <c r="C12" s="7">
        <v>36617</v>
      </c>
      <c r="D12" s="8">
        <v>128457</v>
      </c>
      <c r="E12" s="43" t="s">
        <v>47</v>
      </c>
      <c r="G12" s="12"/>
      <c r="H12" s="13"/>
      <c r="I12" s="31" t="s">
        <v>42</v>
      </c>
      <c r="J12" s="26">
        <f>J11*H5</f>
        <v>16461.949999999997</v>
      </c>
      <c r="K12" s="8"/>
      <c r="L12" s="8"/>
      <c r="M12" s="8"/>
    </row>
    <row r="13" spans="1:15" x14ac:dyDescent="0.25">
      <c r="A13" s="12" t="s">
        <v>44</v>
      </c>
      <c r="B13" s="13">
        <v>4.6500000000000004</v>
      </c>
      <c r="C13" s="7">
        <v>36647</v>
      </c>
      <c r="D13" s="8">
        <f>145584*D11</f>
        <v>144477.56159999999</v>
      </c>
      <c r="E13" s="8"/>
      <c r="G13" s="12"/>
      <c r="H13" s="13"/>
      <c r="I13" s="31" t="s">
        <v>43</v>
      </c>
      <c r="J13" s="26">
        <f>(J9-J5)*J72</f>
        <v>-97.260000000000801</v>
      </c>
      <c r="K13" s="8"/>
      <c r="L13" s="8"/>
      <c r="M13" s="8"/>
      <c r="N13" s="8"/>
      <c r="O13" s="8"/>
    </row>
    <row r="14" spans="1:15" x14ac:dyDescent="0.25">
      <c r="A14" s="12" t="s">
        <v>26</v>
      </c>
      <c r="C14" s="7">
        <v>36678</v>
      </c>
      <c r="D14" s="8">
        <f>146258*D11</f>
        <v>145146.43919999999</v>
      </c>
      <c r="E14" s="8"/>
      <c r="G14" s="12"/>
      <c r="H14" s="13"/>
      <c r="I14" s="31"/>
      <c r="J14" s="8"/>
      <c r="K14" s="8"/>
      <c r="L14" s="8"/>
      <c r="M14" s="8"/>
    </row>
    <row r="15" spans="1:15" x14ac:dyDescent="0.25">
      <c r="A15" s="12"/>
      <c r="B15" s="12"/>
      <c r="C15" s="7">
        <v>36708</v>
      </c>
      <c r="D15" s="8">
        <f>135032*D11</f>
        <v>134005.7568</v>
      </c>
      <c r="E15" s="8"/>
      <c r="G15" s="12"/>
      <c r="H15" s="13"/>
      <c r="I15" s="31"/>
      <c r="J15" s="8"/>
      <c r="K15" s="8"/>
      <c r="L15" s="8"/>
      <c r="M15" s="8"/>
    </row>
    <row r="16" spans="1:15" x14ac:dyDescent="0.25">
      <c r="A16" s="12"/>
      <c r="B16" s="12" t="s">
        <v>40</v>
      </c>
      <c r="C16" s="12" t="s">
        <v>10</v>
      </c>
      <c r="D16" s="8">
        <f>SUM(D12:D15)</f>
        <v>552086.75760000001</v>
      </c>
      <c r="E16" s="8"/>
      <c r="G16" s="12"/>
      <c r="H16" s="14"/>
      <c r="J16" s="8"/>
      <c r="L16" s="8"/>
      <c r="M16" s="23"/>
    </row>
    <row r="17" spans="1:15" x14ac:dyDescent="0.25">
      <c r="A17" s="12"/>
      <c r="C17" s="31" t="s">
        <v>43</v>
      </c>
      <c r="D17" s="26">
        <f>(D15-124662)*J73</f>
        <v>-654.06297600000289</v>
      </c>
      <c r="E17" s="23"/>
      <c r="G17" s="12" t="s">
        <v>13</v>
      </c>
      <c r="H17" s="12" t="s">
        <v>14</v>
      </c>
      <c r="I17" s="7">
        <v>36617</v>
      </c>
      <c r="J17" s="8">
        <v>21001</v>
      </c>
      <c r="K17" s="8"/>
      <c r="L17" s="8"/>
      <c r="M17" s="8"/>
    </row>
    <row r="18" spans="1:15" x14ac:dyDescent="0.25">
      <c r="A18" s="12"/>
      <c r="C18" s="31" t="s">
        <v>42</v>
      </c>
      <c r="D18" s="26">
        <f>(D16-504379)*B13</f>
        <v>221841.07284000007</v>
      </c>
      <c r="E18" s="23"/>
      <c r="G18" s="12" t="s">
        <v>44</v>
      </c>
      <c r="H18" s="13">
        <v>3.25</v>
      </c>
      <c r="I18" s="7">
        <v>36647</v>
      </c>
      <c r="J18" s="8">
        <v>73542</v>
      </c>
      <c r="K18" s="8"/>
      <c r="L18" s="23"/>
      <c r="M18" s="8"/>
    </row>
    <row r="19" spans="1:15" x14ac:dyDescent="0.25">
      <c r="A19" s="12"/>
      <c r="B19" s="13"/>
      <c r="C19" s="12"/>
      <c r="D19" s="8"/>
      <c r="E19" s="8"/>
      <c r="G19" s="12" t="s">
        <v>23</v>
      </c>
      <c r="I19" s="7">
        <v>36678</v>
      </c>
      <c r="J19" s="8">
        <v>213145</v>
      </c>
      <c r="K19" s="23"/>
      <c r="L19" s="8"/>
      <c r="M19" s="8"/>
    </row>
    <row r="20" spans="1:15" x14ac:dyDescent="0.25">
      <c r="A20" s="12"/>
      <c r="B20" s="12"/>
      <c r="D20" s="8"/>
      <c r="E20" s="8"/>
      <c r="G20" s="12"/>
      <c r="H20" s="12"/>
      <c r="I20" s="7">
        <v>36708</v>
      </c>
      <c r="J20" s="8">
        <v>143119</v>
      </c>
      <c r="K20" s="8"/>
      <c r="L20" s="8"/>
      <c r="M20" s="8"/>
    </row>
    <row r="21" spans="1:15" x14ac:dyDescent="0.25">
      <c r="A21" s="12" t="s">
        <v>11</v>
      </c>
      <c r="B21" s="12" t="s">
        <v>15</v>
      </c>
      <c r="C21" s="7">
        <v>36617</v>
      </c>
      <c r="D21" s="8">
        <v>1383</v>
      </c>
      <c r="E21" s="43" t="s">
        <v>47</v>
      </c>
      <c r="G21" s="12"/>
      <c r="H21" s="12" t="s">
        <v>49</v>
      </c>
      <c r="I21" s="12" t="s">
        <v>10</v>
      </c>
      <c r="J21" s="8">
        <v>467762</v>
      </c>
      <c r="K21" s="8"/>
      <c r="L21" s="8"/>
      <c r="M21" s="8"/>
      <c r="N21" s="8"/>
      <c r="O21" s="8"/>
    </row>
    <row r="22" spans="1:15" x14ac:dyDescent="0.25">
      <c r="A22" s="12" t="s">
        <v>44</v>
      </c>
      <c r="B22" s="13">
        <v>5</v>
      </c>
      <c r="C22" s="7">
        <v>36647</v>
      </c>
      <c r="D22" s="8">
        <v>3968</v>
      </c>
      <c r="E22" s="8"/>
      <c r="G22" s="12"/>
      <c r="I22" s="7">
        <v>36708</v>
      </c>
      <c r="J22" s="8">
        <v>153461</v>
      </c>
      <c r="K22" s="8"/>
      <c r="L22" s="8"/>
      <c r="M22" s="8"/>
    </row>
    <row r="23" spans="1:15" x14ac:dyDescent="0.25">
      <c r="A23" s="12" t="s">
        <v>27</v>
      </c>
      <c r="C23" s="7">
        <v>36678</v>
      </c>
      <c r="D23" s="8">
        <v>3810</v>
      </c>
      <c r="E23" s="8"/>
      <c r="F23" s="25"/>
      <c r="G23" s="12"/>
      <c r="H23" s="12" t="s">
        <v>50</v>
      </c>
      <c r="I23" s="12" t="s">
        <v>10</v>
      </c>
      <c r="J23" s="25">
        <v>478092</v>
      </c>
      <c r="K23" s="8"/>
      <c r="L23" s="8"/>
      <c r="M23" s="8"/>
    </row>
    <row r="24" spans="1:15" x14ac:dyDescent="0.25">
      <c r="A24" s="12"/>
      <c r="B24" s="12"/>
      <c r="C24" s="7">
        <v>36708</v>
      </c>
      <c r="D24" s="8">
        <v>2666</v>
      </c>
      <c r="E24" s="8"/>
      <c r="G24" s="12"/>
      <c r="H24" s="13"/>
      <c r="I24" s="12" t="s">
        <v>38</v>
      </c>
      <c r="J24" s="25">
        <f>J23-J21</f>
        <v>10330</v>
      </c>
      <c r="K24" s="8"/>
      <c r="L24" s="8"/>
      <c r="M24" s="23"/>
    </row>
    <row r="25" spans="1:15" x14ac:dyDescent="0.25">
      <c r="A25" s="12"/>
      <c r="B25" s="12" t="s">
        <v>40</v>
      </c>
      <c r="C25" s="12" t="s">
        <v>10</v>
      </c>
      <c r="D25" s="8">
        <f>SUM(D21:D24)</f>
        <v>11827</v>
      </c>
      <c r="E25" s="8"/>
      <c r="G25" s="12"/>
      <c r="H25" s="13"/>
      <c r="I25" s="31" t="s">
        <v>42</v>
      </c>
      <c r="J25" s="26">
        <f>J24*H18</f>
        <v>33572.5</v>
      </c>
      <c r="K25" s="8"/>
      <c r="L25" s="8"/>
      <c r="M25" s="8"/>
    </row>
    <row r="26" spans="1:15" x14ac:dyDescent="0.25">
      <c r="A26" s="12"/>
      <c r="B26" s="13"/>
      <c r="C26" s="31" t="s">
        <v>43</v>
      </c>
      <c r="D26" s="26">
        <f>(D24-2675)*J74</f>
        <v>0.72000000000000064</v>
      </c>
      <c r="E26" s="25"/>
      <c r="G26" s="12"/>
      <c r="H26" s="13"/>
      <c r="I26" s="31" t="s">
        <v>43</v>
      </c>
      <c r="J26" s="26">
        <f>(J22-J20)*J75</f>
        <v>-827.3599999999916</v>
      </c>
      <c r="K26" s="8"/>
      <c r="L26" s="8"/>
      <c r="M26" s="8"/>
    </row>
    <row r="27" spans="1:15" x14ac:dyDescent="0.25">
      <c r="A27" s="12"/>
      <c r="B27" s="13"/>
      <c r="C27" s="31" t="s">
        <v>42</v>
      </c>
      <c r="D27" s="26">
        <f>(D25-9827)*B22</f>
        <v>10000</v>
      </c>
      <c r="E27" s="25"/>
      <c r="G27" s="12"/>
      <c r="H27" s="13"/>
      <c r="I27" s="12"/>
      <c r="J27" s="26"/>
      <c r="K27" s="8"/>
      <c r="L27" s="8"/>
      <c r="M27" s="8"/>
    </row>
    <row r="28" spans="1:15" x14ac:dyDescent="0.25">
      <c r="A28" s="12"/>
      <c r="B28" s="13"/>
      <c r="C28" s="31"/>
      <c r="D28" s="26"/>
      <c r="E28" s="25"/>
      <c r="G28" s="12"/>
      <c r="H28" s="13"/>
      <c r="I28" s="12"/>
      <c r="J28" s="25"/>
      <c r="K28" s="8"/>
      <c r="L28" s="23"/>
      <c r="M28" s="8"/>
    </row>
    <row r="29" spans="1:15" x14ac:dyDescent="0.25">
      <c r="A29" s="12"/>
      <c r="B29" s="12"/>
      <c r="D29" s="8"/>
      <c r="E29" s="8"/>
      <c r="F29" s="25"/>
      <c r="G29" s="12"/>
      <c r="H29" s="12"/>
      <c r="J29" s="8"/>
      <c r="L29" s="8"/>
      <c r="M29" s="8"/>
      <c r="N29" s="8"/>
      <c r="O29" s="8"/>
    </row>
    <row r="30" spans="1:15" x14ac:dyDescent="0.25">
      <c r="A30" s="12" t="s">
        <v>11</v>
      </c>
      <c r="B30" s="12" t="s">
        <v>17</v>
      </c>
      <c r="C30" s="7">
        <v>36617</v>
      </c>
      <c r="D30" s="8">
        <v>53989</v>
      </c>
      <c r="E30" s="43" t="s">
        <v>47</v>
      </c>
      <c r="G30" s="12" t="s">
        <v>16</v>
      </c>
      <c r="H30" s="12" t="s">
        <v>14</v>
      </c>
      <c r="I30" s="7">
        <v>36617</v>
      </c>
      <c r="J30" s="8">
        <v>8672</v>
      </c>
      <c r="L30" s="8"/>
      <c r="M30" s="8"/>
    </row>
    <row r="31" spans="1:15" x14ac:dyDescent="0.25">
      <c r="A31" s="12" t="s">
        <v>44</v>
      </c>
      <c r="B31" s="13">
        <v>4.08</v>
      </c>
      <c r="C31" s="7">
        <v>36647</v>
      </c>
      <c r="D31" s="8">
        <v>65503</v>
      </c>
      <c r="E31" s="8"/>
      <c r="G31" s="12" t="s">
        <v>44</v>
      </c>
      <c r="H31" s="13">
        <v>3.79</v>
      </c>
      <c r="I31" s="7">
        <v>36647</v>
      </c>
      <c r="J31" s="8">
        <v>8564</v>
      </c>
      <c r="K31" s="8"/>
      <c r="L31" s="8"/>
      <c r="M31" s="8"/>
    </row>
    <row r="32" spans="1:15" x14ac:dyDescent="0.25">
      <c r="A32" s="12" t="s">
        <v>27</v>
      </c>
      <c r="B32" s="13"/>
      <c r="C32" s="7">
        <v>36678</v>
      </c>
      <c r="D32" s="8">
        <v>63840</v>
      </c>
      <c r="E32" s="8"/>
      <c r="G32" s="12" t="s">
        <v>24</v>
      </c>
      <c r="I32" s="7">
        <v>36678</v>
      </c>
      <c r="J32" s="8">
        <v>10895</v>
      </c>
      <c r="K32" s="23"/>
      <c r="L32" s="8"/>
      <c r="M32" s="8"/>
    </row>
    <row r="33" spans="1:15" x14ac:dyDescent="0.25">
      <c r="A33" s="12"/>
      <c r="B33" s="12"/>
      <c r="C33" s="7">
        <v>36708</v>
      </c>
      <c r="D33" s="8">
        <v>53568</v>
      </c>
      <c r="E33" s="8"/>
      <c r="G33" s="12"/>
      <c r="H33" s="12"/>
      <c r="I33" s="7">
        <v>36708</v>
      </c>
      <c r="J33" s="8">
        <v>10920</v>
      </c>
      <c r="K33" s="8"/>
      <c r="L33" s="8"/>
      <c r="M33" s="8"/>
    </row>
    <row r="34" spans="1:15" x14ac:dyDescent="0.25">
      <c r="A34" s="12"/>
      <c r="B34" s="12" t="s">
        <v>40</v>
      </c>
      <c r="C34" s="12" t="s">
        <v>10</v>
      </c>
      <c r="D34" s="8">
        <f>SUM(D30:D33)</f>
        <v>236900</v>
      </c>
      <c r="E34" s="8"/>
      <c r="G34" s="12"/>
      <c r="H34" s="12" t="s">
        <v>49</v>
      </c>
      <c r="I34" s="12" t="s">
        <v>10</v>
      </c>
      <c r="J34" s="8">
        <v>39051</v>
      </c>
      <c r="K34" s="8"/>
      <c r="L34" s="8"/>
      <c r="M34" s="8"/>
    </row>
    <row r="35" spans="1:15" x14ac:dyDescent="0.25">
      <c r="C35" s="31" t="s">
        <v>43</v>
      </c>
      <c r="D35" s="26">
        <f>(D33-52660)*J74</f>
        <v>-72.640000000000072</v>
      </c>
      <c r="E35" s="8"/>
      <c r="G35" s="12"/>
      <c r="I35" s="7">
        <v>36678</v>
      </c>
      <c r="J35" s="8">
        <v>10895</v>
      </c>
      <c r="K35" s="8"/>
      <c r="L35" s="8"/>
      <c r="M35" s="8"/>
    </row>
    <row r="36" spans="1:15" x14ac:dyDescent="0.25">
      <c r="C36" s="31" t="s">
        <v>42</v>
      </c>
      <c r="D36" s="8">
        <f>(D34-220209)*B31</f>
        <v>68099.28</v>
      </c>
      <c r="E36" s="8"/>
      <c r="G36" s="12"/>
      <c r="H36" s="13"/>
      <c r="I36" s="7">
        <v>36708</v>
      </c>
      <c r="J36" s="8">
        <v>11031</v>
      </c>
      <c r="K36" s="8"/>
      <c r="L36" s="8"/>
      <c r="M36" s="8"/>
    </row>
    <row r="37" spans="1:15" x14ac:dyDescent="0.25">
      <c r="D37" s="8"/>
      <c r="E37" s="8"/>
      <c r="G37" s="12"/>
      <c r="H37" s="12" t="s">
        <v>40</v>
      </c>
      <c r="I37" s="12" t="s">
        <v>10</v>
      </c>
      <c r="J37" s="25">
        <v>39154</v>
      </c>
      <c r="L37" s="8"/>
      <c r="M37" s="8"/>
      <c r="N37" s="8"/>
      <c r="O37" s="8"/>
    </row>
    <row r="38" spans="1:15" ht="13.8" thickBot="1" x14ac:dyDescent="0.3">
      <c r="D38" s="8"/>
      <c r="E38" s="8"/>
      <c r="G38" s="12"/>
      <c r="H38" s="12"/>
      <c r="I38" s="12" t="s">
        <v>38</v>
      </c>
      <c r="J38" s="25">
        <f>J37-J34</f>
        <v>103</v>
      </c>
      <c r="K38" s="8"/>
      <c r="L38" s="8"/>
      <c r="M38" s="8"/>
    </row>
    <row r="39" spans="1:15" x14ac:dyDescent="0.25">
      <c r="B39" s="36" t="s">
        <v>52</v>
      </c>
      <c r="C39" s="16">
        <v>28787976</v>
      </c>
      <c r="D39" s="17"/>
      <c r="E39" s="27"/>
      <c r="G39" s="12"/>
      <c r="H39" s="12"/>
      <c r="I39" s="31" t="s">
        <v>42</v>
      </c>
      <c r="J39" s="26">
        <f>J38*H31</f>
        <v>390.37</v>
      </c>
      <c r="K39" s="8"/>
      <c r="L39" s="8"/>
      <c r="M39" s="8"/>
    </row>
    <row r="40" spans="1:15" x14ac:dyDescent="0.25">
      <c r="A40" s="9"/>
      <c r="B40" s="37" t="s">
        <v>42</v>
      </c>
      <c r="C40" s="26">
        <f>J12+J25+J39+J53+J66+D9+D18+D27+D36</f>
        <v>327699.63284000009</v>
      </c>
      <c r="D40" s="38"/>
      <c r="E40" s="27"/>
      <c r="G40" s="12"/>
      <c r="H40" s="12"/>
      <c r="I40" s="31" t="s">
        <v>43</v>
      </c>
      <c r="J40" s="26">
        <f>(J36-J32)*J76</f>
        <v>-9.5200000000000387</v>
      </c>
      <c r="K40" s="8"/>
      <c r="L40" s="8"/>
      <c r="M40" s="23"/>
      <c r="O40" s="8"/>
    </row>
    <row r="41" spans="1:15" x14ac:dyDescent="0.25">
      <c r="B41" s="37" t="s">
        <v>43</v>
      </c>
      <c r="C41" s="26">
        <f>D8+D17+D26+D35+J13+J26+J40+J67</f>
        <v>-1347.082975999994</v>
      </c>
      <c r="D41" s="38"/>
      <c r="G41" s="12"/>
      <c r="H41" s="12"/>
      <c r="I41" s="31"/>
      <c r="J41" s="26"/>
      <c r="K41" s="8"/>
      <c r="L41" s="8"/>
      <c r="M41" s="8"/>
    </row>
    <row r="42" spans="1:15" x14ac:dyDescent="0.25">
      <c r="B42" s="37" t="s">
        <v>39</v>
      </c>
      <c r="C42" s="26">
        <f>SUM(C39:C41)</f>
        <v>29114328.549864002</v>
      </c>
      <c r="D42" s="38"/>
      <c r="G42" s="12"/>
      <c r="H42" s="12"/>
      <c r="I42" s="31"/>
      <c r="J42" s="26"/>
      <c r="K42" s="8"/>
      <c r="L42" s="8"/>
      <c r="M42" s="8"/>
    </row>
    <row r="43" spans="1:15" x14ac:dyDescent="0.25">
      <c r="B43" s="37" t="s">
        <v>51</v>
      </c>
      <c r="C43" s="28">
        <v>6396896</v>
      </c>
      <c r="D43" s="38" t="s">
        <v>20</v>
      </c>
      <c r="E43" s="27"/>
      <c r="G43" s="12"/>
      <c r="H43" s="12"/>
      <c r="I43" s="12"/>
      <c r="J43" s="25"/>
      <c r="K43" s="8"/>
      <c r="L43" s="8"/>
      <c r="M43" s="8"/>
    </row>
    <row r="44" spans="1:15" x14ac:dyDescent="0.25">
      <c r="B44" s="37" t="s">
        <v>22</v>
      </c>
      <c r="C44" s="28">
        <f>D7+D16+D25+D34+J10+J23+J37+J51+J64</f>
        <v>6472150.7576000001</v>
      </c>
      <c r="D44" s="38" t="s">
        <v>20</v>
      </c>
      <c r="E44" s="27"/>
      <c r="G44" s="12" t="s">
        <v>11</v>
      </c>
      <c r="H44" s="12" t="s">
        <v>18</v>
      </c>
      <c r="I44" s="7">
        <v>36617</v>
      </c>
      <c r="J44" s="8">
        <v>247492</v>
      </c>
      <c r="K44" s="8"/>
      <c r="L44" s="8"/>
      <c r="M44" s="8"/>
    </row>
    <row r="45" spans="1:15" ht="13.8" thickBot="1" x14ac:dyDescent="0.3">
      <c r="B45" s="39" t="s">
        <v>38</v>
      </c>
      <c r="C45" s="19">
        <f>C44-C43</f>
        <v>75254.757600000128</v>
      </c>
      <c r="D45" s="20" t="s">
        <v>20</v>
      </c>
      <c r="E45" s="27"/>
      <c r="G45" s="12" t="s">
        <v>44</v>
      </c>
      <c r="H45" s="13">
        <v>3.54</v>
      </c>
      <c r="I45" s="7">
        <v>36647</v>
      </c>
      <c r="J45" s="8">
        <v>25333</v>
      </c>
      <c r="K45" s="8"/>
      <c r="L45" s="8"/>
      <c r="M45" s="8"/>
    </row>
    <row r="46" spans="1:15" x14ac:dyDescent="0.25">
      <c r="D46" s="10"/>
      <c r="E46" s="10"/>
      <c r="G46" s="12"/>
      <c r="H46" s="12"/>
      <c r="I46" s="7">
        <v>36678</v>
      </c>
      <c r="J46" s="8">
        <v>24245</v>
      </c>
      <c r="K46" s="8"/>
      <c r="L46" s="23"/>
      <c r="M46" s="8"/>
    </row>
    <row r="47" spans="1:15" x14ac:dyDescent="0.25">
      <c r="D47" s="10"/>
      <c r="E47" s="10"/>
      <c r="G47" s="12"/>
      <c r="H47" s="12"/>
      <c r="I47" s="7">
        <v>36708</v>
      </c>
      <c r="J47" s="8">
        <v>-7408</v>
      </c>
      <c r="K47" s="8"/>
      <c r="L47" s="8"/>
      <c r="M47" s="8"/>
    </row>
    <row r="48" spans="1:15" x14ac:dyDescent="0.25">
      <c r="C48" s="40"/>
      <c r="D48" s="10"/>
      <c r="E48" s="10"/>
      <c r="G48" s="12"/>
      <c r="H48" s="12" t="s">
        <v>49</v>
      </c>
      <c r="I48" s="12" t="s">
        <v>10</v>
      </c>
      <c r="J48" s="8">
        <f>SUM(J44:J47)</f>
        <v>289662</v>
      </c>
      <c r="K48" s="8"/>
      <c r="L48" s="8"/>
    </row>
    <row r="49" spans="1:12" x14ac:dyDescent="0.25">
      <c r="D49" s="10"/>
      <c r="E49" s="10"/>
      <c r="G49" s="12"/>
      <c r="I49" s="7">
        <v>36678</v>
      </c>
      <c r="J49" s="8">
        <v>24269</v>
      </c>
      <c r="K49" s="8"/>
      <c r="L49" s="8"/>
    </row>
    <row r="50" spans="1:12" x14ac:dyDescent="0.25">
      <c r="D50" s="10"/>
      <c r="E50" s="10"/>
      <c r="G50" s="12"/>
      <c r="H50" s="13"/>
      <c r="I50" s="7">
        <v>36708</v>
      </c>
      <c r="J50" s="8">
        <v>-6976</v>
      </c>
      <c r="K50" s="8"/>
      <c r="L50" s="8"/>
    </row>
    <row r="51" spans="1:12" x14ac:dyDescent="0.25">
      <c r="C51" s="23"/>
      <c r="D51" s="10"/>
      <c r="E51" s="10"/>
      <c r="G51" s="12"/>
      <c r="H51" s="12" t="s">
        <v>40</v>
      </c>
      <c r="I51" s="12" t="s">
        <v>10</v>
      </c>
      <c r="J51" s="25">
        <f>J48-J46-J47+J49+J50</f>
        <v>290118</v>
      </c>
      <c r="K51" s="23"/>
      <c r="L51" s="8"/>
    </row>
    <row r="52" spans="1:12" x14ac:dyDescent="0.25">
      <c r="A52" s="21"/>
      <c r="G52" s="12"/>
      <c r="H52" s="12"/>
      <c r="I52" s="12" t="s">
        <v>38</v>
      </c>
      <c r="J52" s="25">
        <f>J51-J48</f>
        <v>456</v>
      </c>
      <c r="K52" s="8"/>
      <c r="L52" s="8"/>
    </row>
    <row r="53" spans="1:12" x14ac:dyDescent="0.25">
      <c r="A53" s="21"/>
      <c r="G53" s="12"/>
      <c r="H53" s="12"/>
      <c r="I53" s="31" t="s">
        <v>42</v>
      </c>
      <c r="J53" s="26">
        <f>J52*H45</f>
        <v>1614.24</v>
      </c>
      <c r="K53" s="8"/>
      <c r="L53" s="8"/>
    </row>
    <row r="54" spans="1:12" x14ac:dyDescent="0.25">
      <c r="A54" s="21"/>
      <c r="G54" s="12"/>
      <c r="H54" s="12"/>
      <c r="I54" s="31"/>
      <c r="J54" s="26"/>
      <c r="K54" s="8"/>
    </row>
    <row r="55" spans="1:12" x14ac:dyDescent="0.25">
      <c r="A55" s="21"/>
      <c r="G55" s="12"/>
      <c r="H55" s="12"/>
      <c r="I55" s="31"/>
      <c r="J55" s="26"/>
      <c r="K55" s="8"/>
    </row>
    <row r="56" spans="1:12" x14ac:dyDescent="0.25">
      <c r="A56" s="21"/>
      <c r="G56" s="12"/>
      <c r="H56" s="12"/>
      <c r="J56" s="8"/>
      <c r="K56" s="8"/>
    </row>
    <row r="57" spans="1:12" x14ac:dyDescent="0.25">
      <c r="G57" s="12" t="s">
        <v>11</v>
      </c>
      <c r="H57" s="12" t="s">
        <v>19</v>
      </c>
      <c r="I57" s="7">
        <v>36617</v>
      </c>
      <c r="J57" s="8">
        <v>254713</v>
      </c>
      <c r="K57" s="8"/>
    </row>
    <row r="58" spans="1:12" x14ac:dyDescent="0.25">
      <c r="A58" s="21"/>
      <c r="G58" s="12" t="s">
        <v>44</v>
      </c>
      <c r="H58" s="13">
        <v>4.76</v>
      </c>
      <c r="I58" s="7">
        <v>36647</v>
      </c>
      <c r="J58" s="8">
        <v>185014</v>
      </c>
      <c r="K58" s="8"/>
    </row>
    <row r="59" spans="1:12" x14ac:dyDescent="0.25">
      <c r="A59" s="21"/>
      <c r="G59" s="12" t="s">
        <v>26</v>
      </c>
      <c r="H59" s="13"/>
      <c r="I59" s="7">
        <v>36678</v>
      </c>
      <c r="J59" s="8">
        <v>193571</v>
      </c>
      <c r="K59" s="8"/>
    </row>
    <row r="60" spans="1:12" x14ac:dyDescent="0.25">
      <c r="A60" s="21"/>
      <c r="G60" s="12"/>
      <c r="H60" s="12"/>
      <c r="I60" s="7">
        <v>36708</v>
      </c>
      <c r="J60" s="8">
        <v>138007</v>
      </c>
      <c r="K60" s="8"/>
    </row>
    <row r="61" spans="1:12" x14ac:dyDescent="0.25">
      <c r="A61" s="21"/>
      <c r="G61" s="12"/>
      <c r="H61" s="12" t="s">
        <v>49</v>
      </c>
      <c r="I61" s="12" t="s">
        <v>10</v>
      </c>
      <c r="J61" s="8">
        <v>771305</v>
      </c>
      <c r="K61" s="8"/>
    </row>
    <row r="62" spans="1:12" x14ac:dyDescent="0.25">
      <c r="A62" s="21"/>
      <c r="G62" s="12"/>
      <c r="I62" s="7">
        <v>36678</v>
      </c>
      <c r="J62" s="8">
        <v>193571</v>
      </c>
      <c r="K62" s="8"/>
    </row>
    <row r="63" spans="1:12" x14ac:dyDescent="0.25">
      <c r="H63" s="13"/>
      <c r="I63" s="7">
        <v>36708</v>
      </c>
      <c r="J63" s="8">
        <v>133523</v>
      </c>
      <c r="K63" s="8"/>
    </row>
    <row r="64" spans="1:12" x14ac:dyDescent="0.25">
      <c r="H64" s="12" t="s">
        <v>40</v>
      </c>
      <c r="I64" s="12" t="s">
        <v>10</v>
      </c>
      <c r="J64" s="25">
        <f>J61-J59-J60+J62+J63</f>
        <v>766821</v>
      </c>
      <c r="K64" s="8"/>
    </row>
    <row r="65" spans="2:11" x14ac:dyDescent="0.25">
      <c r="I65" s="12" t="s">
        <v>38</v>
      </c>
      <c r="J65" s="25">
        <f>J64-J61</f>
        <v>-4484</v>
      </c>
      <c r="K65" s="8"/>
    </row>
    <row r="66" spans="2:11" x14ac:dyDescent="0.25">
      <c r="I66" s="31" t="s">
        <v>42</v>
      </c>
      <c r="J66" s="26">
        <f>J65*H58</f>
        <v>-21343.84</v>
      </c>
      <c r="K66" s="8"/>
    </row>
    <row r="67" spans="2:11" x14ac:dyDescent="0.25">
      <c r="I67" s="31" t="s">
        <v>43</v>
      </c>
      <c r="J67" s="26">
        <f>(J63-J60)*J73</f>
        <v>313.88000000000125</v>
      </c>
      <c r="K67" s="8"/>
    </row>
    <row r="68" spans="2:11" x14ac:dyDescent="0.25">
      <c r="I68" s="31"/>
      <c r="J68" s="26"/>
      <c r="K68" s="8"/>
    </row>
    <row r="69" spans="2:11" x14ac:dyDescent="0.25">
      <c r="I69" s="31"/>
      <c r="J69" s="26"/>
      <c r="K69" s="8"/>
    </row>
    <row r="70" spans="2:11" x14ac:dyDescent="0.25">
      <c r="B70" s="21" t="s">
        <v>28</v>
      </c>
      <c r="I70" s="12"/>
      <c r="J70" s="25"/>
      <c r="K70" s="8"/>
    </row>
    <row r="71" spans="2:11" x14ac:dyDescent="0.25">
      <c r="H71" s="29" t="s">
        <v>35</v>
      </c>
      <c r="I71" s="30" t="s">
        <v>36</v>
      </c>
      <c r="J71" s="30" t="s">
        <v>38</v>
      </c>
      <c r="K71" s="8"/>
    </row>
    <row r="72" spans="2:11" x14ac:dyDescent="0.25">
      <c r="G72" s="9" t="s">
        <v>29</v>
      </c>
      <c r="H72" s="13">
        <v>4.58</v>
      </c>
      <c r="I72" s="13">
        <v>4.5199999999999996</v>
      </c>
      <c r="J72" s="13">
        <f>I72-H72</f>
        <v>-6.0000000000000497E-2</v>
      </c>
      <c r="K72" s="8"/>
    </row>
    <row r="73" spans="2:11" x14ac:dyDescent="0.25">
      <c r="G73" s="9" t="s">
        <v>45</v>
      </c>
      <c r="H73" s="13">
        <v>4.42</v>
      </c>
      <c r="I73" s="13">
        <v>4.3499999999999996</v>
      </c>
      <c r="J73" s="13">
        <f>I73-H73</f>
        <v>-7.0000000000000284E-2</v>
      </c>
      <c r="K73" s="8"/>
    </row>
    <row r="74" spans="2:11" x14ac:dyDescent="0.25">
      <c r="G74" s="9" t="s">
        <v>46</v>
      </c>
      <c r="H74" s="13">
        <v>4.4400000000000004</v>
      </c>
      <c r="I74" s="13">
        <v>4.3600000000000003</v>
      </c>
      <c r="J74" s="13">
        <f>I74-H74</f>
        <v>-8.0000000000000071E-2</v>
      </c>
      <c r="K74" s="8"/>
    </row>
    <row r="75" spans="2:11" x14ac:dyDescent="0.25">
      <c r="G75" s="9" t="s">
        <v>30</v>
      </c>
      <c r="H75" s="13">
        <v>4.5599999999999996</v>
      </c>
      <c r="I75" s="13">
        <v>4.4800000000000004</v>
      </c>
      <c r="J75" s="13">
        <f>I75-H75</f>
        <v>-7.9999999999999183E-2</v>
      </c>
    </row>
    <row r="76" spans="2:11" x14ac:dyDescent="0.25">
      <c r="G76" s="9" t="s">
        <v>31</v>
      </c>
      <c r="H76" s="13">
        <v>4.5</v>
      </c>
      <c r="I76" s="13">
        <v>4.43</v>
      </c>
      <c r="J76" s="13">
        <f>I76-H76</f>
        <v>-7.0000000000000284E-2</v>
      </c>
    </row>
    <row r="80" spans="2:11" x14ac:dyDescent="0.25">
      <c r="H80" s="11"/>
      <c r="I80" s="11"/>
    </row>
  </sheetData>
  <printOptions horizontalCentered="1"/>
  <pageMargins left="0.75" right="0.75" top="1" bottom="1" header="0.5" footer="0.5"/>
  <pageSetup scale="62" orientation="portrait" r:id="rId1"/>
  <headerFooter alignWithMargins="0">
    <oddHeader xml:space="preserve">&amp;L&amp;"Arial,Bold"&amp;12Draft Post-Close Storage Settlement&amp;R08/23/00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0"/>
  <sheetViews>
    <sheetView zoomScale="75" workbookViewId="0">
      <selection activeCell="D7" sqref="D7"/>
    </sheetView>
  </sheetViews>
  <sheetFormatPr defaultRowHeight="13.2" x14ac:dyDescent="0.25"/>
  <cols>
    <col min="1" max="1" width="15.6640625" bestFit="1" customWidth="1"/>
    <col min="2" max="2" width="17.44140625" customWidth="1"/>
    <col min="3" max="3" width="16.44140625" bestFit="1" customWidth="1"/>
    <col min="4" max="4" width="12.88671875" bestFit="1" customWidth="1"/>
    <col min="5" max="5" width="12.109375" customWidth="1"/>
    <col min="6" max="6" width="11.5546875" style="9" customWidth="1"/>
    <col min="7" max="7" width="15.109375" customWidth="1"/>
    <col min="8" max="8" width="13.109375" bestFit="1" customWidth="1"/>
    <col min="9" max="9" width="17.109375" bestFit="1" customWidth="1"/>
    <col min="10" max="10" width="13.33203125" customWidth="1"/>
    <col min="11" max="13" width="12.88671875" customWidth="1"/>
  </cols>
  <sheetData>
    <row r="1" spans="1:15" x14ac:dyDescent="0.25">
      <c r="A1" s="1" t="s">
        <v>0</v>
      </c>
      <c r="B1" s="2"/>
      <c r="C1" s="2"/>
      <c r="D1" s="3"/>
      <c r="E1" s="35"/>
      <c r="G1" s="32" t="s">
        <v>1</v>
      </c>
      <c r="H1" s="33"/>
      <c r="I1" s="33"/>
      <c r="J1" s="34"/>
    </row>
    <row r="2" spans="1:15" x14ac:dyDescent="0.25">
      <c r="A2" s="4" t="s">
        <v>2</v>
      </c>
      <c r="B2" s="4" t="s">
        <v>3</v>
      </c>
      <c r="C2" s="4" t="s">
        <v>4</v>
      </c>
      <c r="D2" s="5" t="s">
        <v>5</v>
      </c>
      <c r="E2" s="5"/>
      <c r="F2" s="24"/>
      <c r="G2" s="4" t="s">
        <v>2</v>
      </c>
      <c r="H2" s="4" t="s">
        <v>3</v>
      </c>
      <c r="I2" s="4" t="s">
        <v>4</v>
      </c>
      <c r="J2" s="5" t="s">
        <v>5</v>
      </c>
      <c r="K2" s="5"/>
      <c r="L2" s="5"/>
      <c r="M2" s="5"/>
    </row>
    <row r="3" spans="1:15" x14ac:dyDescent="0.25">
      <c r="A3" s="12" t="s">
        <v>6</v>
      </c>
      <c r="B3" s="12" t="s">
        <v>7</v>
      </c>
      <c r="C3" s="7">
        <v>36617</v>
      </c>
      <c r="D3" s="8">
        <v>786579</v>
      </c>
      <c r="E3" s="8"/>
      <c r="G3" s="12" t="s">
        <v>8</v>
      </c>
      <c r="H3" s="12" t="s">
        <v>7</v>
      </c>
      <c r="I3" s="7">
        <v>36617</v>
      </c>
      <c r="J3" s="8">
        <v>3331</v>
      </c>
      <c r="K3" s="8"/>
      <c r="L3" s="8"/>
      <c r="M3" s="8"/>
    </row>
    <row r="4" spans="1:15" x14ac:dyDescent="0.25">
      <c r="A4" s="12" t="s">
        <v>44</v>
      </c>
      <c r="B4" s="13">
        <v>4.6900000000000004</v>
      </c>
      <c r="C4" s="7">
        <v>36647</v>
      </c>
      <c r="D4" s="8">
        <v>1089109</v>
      </c>
      <c r="E4" s="8"/>
      <c r="G4" s="12"/>
      <c r="H4" s="12" t="s">
        <v>9</v>
      </c>
      <c r="I4" s="7">
        <v>36647</v>
      </c>
      <c r="J4" s="8">
        <v>13430</v>
      </c>
      <c r="K4" s="8"/>
      <c r="L4" s="8"/>
      <c r="M4" s="8"/>
    </row>
    <row r="5" spans="1:15" x14ac:dyDescent="0.25">
      <c r="A5" s="12" t="s">
        <v>25</v>
      </c>
      <c r="C5" s="7">
        <v>36678</v>
      </c>
      <c r="D5" s="8">
        <v>1089109</v>
      </c>
      <c r="E5" s="8"/>
      <c r="G5" s="12" t="s">
        <v>44</v>
      </c>
      <c r="H5" s="13">
        <v>5.35</v>
      </c>
      <c r="I5" s="7">
        <v>36678</v>
      </c>
      <c r="J5" s="8">
        <v>13472</v>
      </c>
      <c r="L5" s="8"/>
      <c r="M5" s="8"/>
      <c r="N5" s="8"/>
      <c r="O5" s="8"/>
    </row>
    <row r="6" spans="1:15" x14ac:dyDescent="0.25">
      <c r="A6" s="12"/>
      <c r="B6" s="12"/>
      <c r="C6" s="7">
        <v>36708</v>
      </c>
      <c r="D6" s="8">
        <v>1089109</v>
      </c>
      <c r="E6" s="8"/>
      <c r="G6" s="12" t="s">
        <v>25</v>
      </c>
      <c r="H6" s="13"/>
      <c r="I6" s="7">
        <v>36708</v>
      </c>
      <c r="J6" s="8">
        <v>15314</v>
      </c>
      <c r="L6" s="8"/>
      <c r="M6" s="8"/>
    </row>
    <row r="7" spans="1:15" x14ac:dyDescent="0.25">
      <c r="A7" s="12"/>
      <c r="B7" s="12" t="s">
        <v>40</v>
      </c>
      <c r="C7" s="12" t="s">
        <v>10</v>
      </c>
      <c r="D7" s="8">
        <v>4053906</v>
      </c>
      <c r="E7" s="8"/>
      <c r="G7" s="12"/>
      <c r="H7" s="12" t="s">
        <v>40</v>
      </c>
      <c r="I7" s="12" t="s">
        <v>10</v>
      </c>
      <c r="J7" s="8">
        <v>45547</v>
      </c>
      <c r="K7" s="8"/>
      <c r="L7" s="8"/>
      <c r="M7" s="8"/>
    </row>
    <row r="8" spans="1:15" x14ac:dyDescent="0.25">
      <c r="A8" s="12"/>
      <c r="C8" s="31" t="s">
        <v>43</v>
      </c>
      <c r="D8" s="26">
        <f>D6*J72</f>
        <v>-65346.540000000539</v>
      </c>
      <c r="E8" s="26"/>
      <c r="G8" s="12"/>
      <c r="I8" s="7">
        <v>36678</v>
      </c>
      <c r="J8" s="8">
        <v>12074</v>
      </c>
      <c r="K8" s="23"/>
      <c r="L8" s="23"/>
      <c r="M8" s="23"/>
    </row>
    <row r="9" spans="1:15" x14ac:dyDescent="0.25">
      <c r="A9" s="12"/>
      <c r="C9" s="31"/>
      <c r="D9" s="26"/>
      <c r="E9" s="26"/>
      <c r="G9" s="12"/>
      <c r="H9" s="13"/>
      <c r="I9" s="7">
        <v>36708</v>
      </c>
      <c r="J9" s="8">
        <v>11960</v>
      </c>
      <c r="K9" s="8"/>
      <c r="L9" s="8"/>
      <c r="M9" s="8"/>
    </row>
    <row r="10" spans="1:15" x14ac:dyDescent="0.25">
      <c r="A10" s="12"/>
      <c r="B10" s="13"/>
      <c r="C10" s="12"/>
      <c r="D10" s="8"/>
      <c r="E10" s="8"/>
      <c r="G10" s="12"/>
      <c r="H10" s="12" t="s">
        <v>41</v>
      </c>
      <c r="I10" s="12" t="s">
        <v>10</v>
      </c>
      <c r="J10" s="25">
        <f>J7-J5-J6+J8+J9</f>
        <v>40795</v>
      </c>
      <c r="K10" s="8"/>
      <c r="L10" s="8"/>
      <c r="M10" s="8"/>
    </row>
    <row r="11" spans="1:15" x14ac:dyDescent="0.25">
      <c r="A11" s="12"/>
      <c r="B11" s="12"/>
      <c r="D11" s="8"/>
      <c r="E11" s="8"/>
      <c r="G11" s="12"/>
      <c r="H11" s="13"/>
      <c r="I11" s="12" t="s">
        <v>38</v>
      </c>
      <c r="J11" s="25">
        <f>J10-J7</f>
        <v>-4752</v>
      </c>
      <c r="K11" s="8"/>
      <c r="L11" s="8"/>
      <c r="M11" s="8"/>
    </row>
    <row r="12" spans="1:15" x14ac:dyDescent="0.25">
      <c r="A12" s="12" t="s">
        <v>11</v>
      </c>
      <c r="B12" s="12" t="s">
        <v>12</v>
      </c>
      <c r="C12" s="7">
        <v>36617</v>
      </c>
      <c r="D12" s="8">
        <v>128457</v>
      </c>
      <c r="E12" s="8"/>
      <c r="G12" s="12"/>
      <c r="H12" s="13"/>
      <c r="I12" s="31" t="s">
        <v>42</v>
      </c>
      <c r="J12" s="26">
        <f>J11*H5</f>
        <v>-25423.199999999997</v>
      </c>
      <c r="K12" s="8"/>
      <c r="L12" s="8"/>
      <c r="M12" s="8"/>
    </row>
    <row r="13" spans="1:15" x14ac:dyDescent="0.25">
      <c r="A13" s="12" t="s">
        <v>44</v>
      </c>
      <c r="B13" s="13">
        <v>4.6500000000000004</v>
      </c>
      <c r="C13" s="7">
        <v>36647</v>
      </c>
      <c r="D13" s="8">
        <v>126134</v>
      </c>
      <c r="E13" s="8"/>
      <c r="G13" s="12"/>
      <c r="H13" s="13"/>
      <c r="I13" s="31" t="s">
        <v>43</v>
      </c>
      <c r="J13" s="26">
        <f>J9*J72</f>
        <v>-717.60000000000593</v>
      </c>
      <c r="K13" s="8"/>
      <c r="L13" s="8"/>
      <c r="M13" s="8"/>
      <c r="N13" s="8"/>
      <c r="O13" s="8"/>
    </row>
    <row r="14" spans="1:15" x14ac:dyDescent="0.25">
      <c r="A14" s="12" t="s">
        <v>26</v>
      </c>
      <c r="C14" s="7">
        <v>36678</v>
      </c>
      <c r="D14" s="8">
        <v>125126</v>
      </c>
      <c r="E14" s="8"/>
      <c r="G14" s="12"/>
      <c r="H14" s="13"/>
      <c r="I14" s="31"/>
      <c r="J14" s="8"/>
      <c r="K14" s="8"/>
      <c r="L14" s="8"/>
      <c r="M14" s="8"/>
    </row>
    <row r="15" spans="1:15" x14ac:dyDescent="0.25">
      <c r="A15" s="12"/>
      <c r="B15" s="12"/>
      <c r="C15" s="7">
        <v>36708</v>
      </c>
      <c r="D15" s="8">
        <v>124662</v>
      </c>
      <c r="E15" s="8"/>
      <c r="G15" s="12"/>
      <c r="H15" s="13"/>
      <c r="I15" s="31"/>
      <c r="J15" s="8"/>
      <c r="K15" s="8"/>
      <c r="L15" s="8"/>
      <c r="M15" s="8"/>
    </row>
    <row r="16" spans="1:15" x14ac:dyDescent="0.25">
      <c r="A16" s="12"/>
      <c r="B16" s="12" t="s">
        <v>40</v>
      </c>
      <c r="C16" s="12" t="s">
        <v>10</v>
      </c>
      <c r="D16" s="8">
        <v>504379</v>
      </c>
      <c r="E16" s="8"/>
      <c r="G16" s="12"/>
      <c r="H16" s="14"/>
      <c r="J16" s="8"/>
      <c r="L16" s="8"/>
      <c r="M16" s="23"/>
    </row>
    <row r="17" spans="1:15" x14ac:dyDescent="0.25">
      <c r="A17" s="12"/>
      <c r="C17" s="31" t="s">
        <v>43</v>
      </c>
      <c r="D17" s="26">
        <f>D15*J73</f>
        <v>-8726.3400000000347</v>
      </c>
      <c r="E17" s="23"/>
      <c r="G17" s="12" t="s">
        <v>13</v>
      </c>
      <c r="H17" s="12" t="s">
        <v>14</v>
      </c>
      <c r="I17" s="7">
        <v>36617</v>
      </c>
      <c r="J17" s="8">
        <v>21001</v>
      </c>
      <c r="K17" s="8"/>
      <c r="L17" s="8"/>
      <c r="M17" s="8"/>
    </row>
    <row r="18" spans="1:15" x14ac:dyDescent="0.25">
      <c r="A18" s="12"/>
      <c r="C18" s="31"/>
      <c r="D18" s="26"/>
      <c r="E18" s="23"/>
      <c r="G18" s="12" t="s">
        <v>44</v>
      </c>
      <c r="H18" s="13">
        <v>3.25</v>
      </c>
      <c r="I18" s="7">
        <v>36647</v>
      </c>
      <c r="J18" s="8">
        <v>73542</v>
      </c>
      <c r="K18" s="8"/>
      <c r="L18" s="23"/>
      <c r="M18" s="8"/>
    </row>
    <row r="19" spans="1:15" x14ac:dyDescent="0.25">
      <c r="A19" s="12"/>
      <c r="B19" s="13"/>
      <c r="C19" s="12"/>
      <c r="D19" s="8"/>
      <c r="E19" s="8"/>
      <c r="G19" s="12" t="s">
        <v>23</v>
      </c>
      <c r="I19" s="7">
        <v>36678</v>
      </c>
      <c r="J19" s="8">
        <v>213145</v>
      </c>
      <c r="K19" s="23"/>
      <c r="L19" s="8"/>
      <c r="M19" s="8"/>
    </row>
    <row r="20" spans="1:15" x14ac:dyDescent="0.25">
      <c r="A20" s="12"/>
      <c r="B20" s="12"/>
      <c r="D20" s="8"/>
      <c r="E20" s="8"/>
      <c r="G20" s="12"/>
      <c r="H20" s="12"/>
      <c r="I20" s="7">
        <v>36708</v>
      </c>
      <c r="J20" s="8">
        <v>143119</v>
      </c>
      <c r="K20" s="8"/>
      <c r="L20" s="8"/>
      <c r="M20" s="8"/>
    </row>
    <row r="21" spans="1:15" x14ac:dyDescent="0.25">
      <c r="A21" s="12" t="s">
        <v>11</v>
      </c>
      <c r="B21" s="12" t="s">
        <v>15</v>
      </c>
      <c r="C21" s="7">
        <v>36617</v>
      </c>
      <c r="D21" s="8">
        <v>1383</v>
      </c>
      <c r="E21" s="8"/>
      <c r="G21" s="12"/>
      <c r="H21" s="12" t="s">
        <v>40</v>
      </c>
      <c r="I21" s="12" t="s">
        <v>10</v>
      </c>
      <c r="J21" s="8">
        <v>450807</v>
      </c>
      <c r="K21" s="8"/>
      <c r="L21" s="8"/>
      <c r="M21" s="8"/>
      <c r="N21" s="8"/>
      <c r="O21" s="8"/>
    </row>
    <row r="22" spans="1:15" x14ac:dyDescent="0.25">
      <c r="A22" s="12" t="s">
        <v>44</v>
      </c>
      <c r="B22" s="13">
        <v>5</v>
      </c>
      <c r="C22" s="7">
        <v>36647</v>
      </c>
      <c r="D22" s="8">
        <v>2898</v>
      </c>
      <c r="E22" s="8"/>
      <c r="G22" s="12"/>
      <c r="I22" s="7">
        <v>36678</v>
      </c>
      <c r="J22" s="8">
        <v>230100</v>
      </c>
      <c r="K22" s="8"/>
      <c r="L22" s="8"/>
      <c r="M22" s="8"/>
    </row>
    <row r="23" spans="1:15" x14ac:dyDescent="0.25">
      <c r="A23" s="12" t="s">
        <v>27</v>
      </c>
      <c r="C23" s="7">
        <v>36678</v>
      </c>
      <c r="D23" s="8">
        <v>2871</v>
      </c>
      <c r="E23" s="8"/>
      <c r="F23" s="25"/>
      <c r="G23" s="12"/>
      <c r="H23" s="12" t="s">
        <v>41</v>
      </c>
      <c r="I23" s="12" t="s">
        <v>10</v>
      </c>
      <c r="J23" s="25">
        <f>J21-J19+J22</f>
        <v>467762</v>
      </c>
      <c r="K23" s="8"/>
      <c r="L23" s="8"/>
      <c r="M23" s="8"/>
    </row>
    <row r="24" spans="1:15" x14ac:dyDescent="0.25">
      <c r="A24" s="12"/>
      <c r="B24" s="12"/>
      <c r="C24" s="7">
        <v>36708</v>
      </c>
      <c r="D24" s="8">
        <v>2675</v>
      </c>
      <c r="E24" s="8"/>
      <c r="G24" s="12"/>
      <c r="H24" s="13"/>
      <c r="I24" s="12" t="s">
        <v>38</v>
      </c>
      <c r="J24" s="25">
        <f>J23-J21</f>
        <v>16955</v>
      </c>
      <c r="K24" s="8"/>
      <c r="L24" s="8"/>
      <c r="M24" s="23"/>
    </row>
    <row r="25" spans="1:15" x14ac:dyDescent="0.25">
      <c r="A25" s="12"/>
      <c r="B25" s="12" t="s">
        <v>40</v>
      </c>
      <c r="C25" s="12" t="s">
        <v>10</v>
      </c>
      <c r="D25" s="8">
        <v>9827</v>
      </c>
      <c r="E25" s="8"/>
      <c r="G25" s="12"/>
      <c r="H25" s="13"/>
      <c r="I25" s="31" t="s">
        <v>42</v>
      </c>
      <c r="J25" s="26">
        <f>J24*H18</f>
        <v>55103.75</v>
      </c>
      <c r="K25" s="8"/>
      <c r="L25" s="8"/>
      <c r="M25" s="8"/>
    </row>
    <row r="26" spans="1:15" x14ac:dyDescent="0.25">
      <c r="A26" s="12"/>
      <c r="B26" s="13"/>
      <c r="C26" s="31" t="s">
        <v>43</v>
      </c>
      <c r="D26" s="26">
        <f>D24*J74</f>
        <v>-214.0000000000002</v>
      </c>
      <c r="E26" s="25"/>
      <c r="G26" s="12"/>
      <c r="H26" s="13"/>
      <c r="I26" s="31" t="s">
        <v>43</v>
      </c>
      <c r="J26" s="26">
        <f>J20*J75</f>
        <v>-11449.519999999882</v>
      </c>
      <c r="K26" s="8"/>
      <c r="L26" s="8"/>
      <c r="M26" s="8"/>
    </row>
    <row r="27" spans="1:15" x14ac:dyDescent="0.25">
      <c r="A27" s="12"/>
      <c r="B27" s="13"/>
      <c r="C27" s="31"/>
      <c r="D27" s="26"/>
      <c r="E27" s="25"/>
      <c r="G27" s="12"/>
      <c r="H27" s="13"/>
      <c r="I27" s="12"/>
      <c r="J27" s="26"/>
      <c r="K27" s="8"/>
      <c r="L27" s="8"/>
      <c r="M27" s="8"/>
    </row>
    <row r="28" spans="1:15" x14ac:dyDescent="0.25">
      <c r="A28" s="12"/>
      <c r="B28" s="13"/>
      <c r="C28" s="31"/>
      <c r="D28" s="26"/>
      <c r="E28" s="25"/>
      <c r="G28" s="12"/>
      <c r="H28" s="13"/>
      <c r="I28" s="12"/>
      <c r="J28" s="25"/>
      <c r="K28" s="8"/>
      <c r="L28" s="23"/>
      <c r="M28" s="8"/>
    </row>
    <row r="29" spans="1:15" x14ac:dyDescent="0.25">
      <c r="A29" s="12"/>
      <c r="B29" s="12"/>
      <c r="D29" s="8"/>
      <c r="E29" s="8"/>
      <c r="F29" s="25"/>
      <c r="G29" s="12"/>
      <c r="H29" s="12"/>
      <c r="J29" s="8"/>
      <c r="L29" s="8"/>
      <c r="M29" s="8"/>
      <c r="N29" s="8"/>
      <c r="O29" s="8"/>
    </row>
    <row r="30" spans="1:15" x14ac:dyDescent="0.25">
      <c r="A30" s="12" t="s">
        <v>11</v>
      </c>
      <c r="B30" s="12" t="s">
        <v>17</v>
      </c>
      <c r="C30" s="7">
        <v>36617</v>
      </c>
      <c r="D30" s="8">
        <v>53989</v>
      </c>
      <c r="E30" s="8"/>
      <c r="G30" s="12" t="s">
        <v>16</v>
      </c>
      <c r="H30" s="12" t="s">
        <v>14</v>
      </c>
      <c r="I30" s="7">
        <v>36617</v>
      </c>
      <c r="J30" s="8">
        <v>8672</v>
      </c>
      <c r="L30" s="8"/>
      <c r="M30" s="8"/>
    </row>
    <row r="31" spans="1:15" x14ac:dyDescent="0.25">
      <c r="A31" s="12" t="s">
        <v>44</v>
      </c>
      <c r="B31" s="13">
        <v>4.08</v>
      </c>
      <c r="C31" s="7">
        <v>36647</v>
      </c>
      <c r="D31" s="8">
        <v>57051</v>
      </c>
      <c r="E31" s="8"/>
      <c r="G31" s="12" t="s">
        <v>44</v>
      </c>
      <c r="H31" s="13">
        <v>3.79</v>
      </c>
      <c r="I31" s="7">
        <v>36647</v>
      </c>
      <c r="J31" s="8">
        <v>8564</v>
      </c>
      <c r="K31" s="8"/>
      <c r="L31" s="8"/>
      <c r="M31" s="8"/>
    </row>
    <row r="32" spans="1:15" x14ac:dyDescent="0.25">
      <c r="A32" s="12" t="s">
        <v>27</v>
      </c>
      <c r="B32" s="13"/>
      <c r="C32" s="7">
        <v>36678</v>
      </c>
      <c r="D32" s="8">
        <v>56509</v>
      </c>
      <c r="E32" s="8"/>
      <c r="G32" s="12" t="s">
        <v>24</v>
      </c>
      <c r="I32" s="7">
        <v>36678</v>
      </c>
      <c r="J32" s="8">
        <v>10460</v>
      </c>
      <c r="K32" s="23"/>
      <c r="L32" s="8"/>
      <c r="M32" s="8"/>
    </row>
    <row r="33" spans="1:15" x14ac:dyDescent="0.25">
      <c r="A33" s="12"/>
      <c r="B33" s="12"/>
      <c r="C33" s="7">
        <v>36708</v>
      </c>
      <c r="D33" s="8">
        <v>52660</v>
      </c>
      <c r="E33" s="8"/>
      <c r="G33" s="12"/>
      <c r="H33" s="12"/>
      <c r="I33" s="7">
        <v>36708</v>
      </c>
      <c r="J33" s="8">
        <v>10540</v>
      </c>
      <c r="K33" s="8"/>
      <c r="L33" s="8"/>
      <c r="M33" s="8"/>
    </row>
    <row r="34" spans="1:15" x14ac:dyDescent="0.25">
      <c r="A34" s="12"/>
      <c r="B34" s="12" t="s">
        <v>40</v>
      </c>
      <c r="C34" s="12" t="s">
        <v>10</v>
      </c>
      <c r="D34" s="8">
        <v>220209</v>
      </c>
      <c r="E34" s="8"/>
      <c r="G34" s="12"/>
      <c r="H34" s="12" t="s">
        <v>40</v>
      </c>
      <c r="I34" s="12" t="s">
        <v>10</v>
      </c>
      <c r="J34" s="8">
        <v>38236</v>
      </c>
      <c r="K34" s="8"/>
      <c r="L34" s="8"/>
      <c r="M34" s="8"/>
    </row>
    <row r="35" spans="1:15" x14ac:dyDescent="0.25">
      <c r="C35" s="31" t="s">
        <v>43</v>
      </c>
      <c r="D35" s="26">
        <f>D33*J74</f>
        <v>-4212.8000000000038</v>
      </c>
      <c r="E35" s="8"/>
      <c r="G35" s="12"/>
      <c r="I35" s="7">
        <v>36678</v>
      </c>
      <c r="J35" s="8">
        <v>10895</v>
      </c>
      <c r="K35" s="8"/>
      <c r="L35" s="8"/>
      <c r="M35" s="8"/>
    </row>
    <row r="36" spans="1:15" x14ac:dyDescent="0.25">
      <c r="D36" s="8"/>
      <c r="E36" s="8"/>
      <c r="G36" s="12"/>
      <c r="H36" s="13"/>
      <c r="I36" s="7">
        <v>36708</v>
      </c>
      <c r="J36" s="8">
        <v>10920</v>
      </c>
      <c r="K36" s="8"/>
      <c r="L36" s="8"/>
      <c r="M36" s="8"/>
    </row>
    <row r="37" spans="1:15" x14ac:dyDescent="0.25">
      <c r="D37" s="8"/>
      <c r="E37" s="8"/>
      <c r="G37" s="12"/>
      <c r="H37" s="12" t="s">
        <v>41</v>
      </c>
      <c r="I37" s="12" t="s">
        <v>10</v>
      </c>
      <c r="J37" s="25">
        <f>J34-J32-J33+J35+J36</f>
        <v>39051</v>
      </c>
      <c r="L37" s="8"/>
      <c r="M37" s="8"/>
      <c r="N37" s="8"/>
      <c r="O37" s="8"/>
    </row>
    <row r="38" spans="1:15" ht="13.8" thickBot="1" x14ac:dyDescent="0.3">
      <c r="D38" s="8"/>
      <c r="E38" s="8"/>
      <c r="G38" s="12"/>
      <c r="H38" s="12"/>
      <c r="I38" s="12" t="s">
        <v>38</v>
      </c>
      <c r="J38" s="25">
        <f>J37-J34</f>
        <v>815</v>
      </c>
      <c r="K38" s="8"/>
      <c r="L38" s="8"/>
      <c r="M38" s="8"/>
    </row>
    <row r="39" spans="1:15" x14ac:dyDescent="0.25">
      <c r="B39" s="36" t="s">
        <v>21</v>
      </c>
      <c r="C39" s="16">
        <v>28896973.710000005</v>
      </c>
      <c r="D39" s="17"/>
      <c r="E39" s="27"/>
      <c r="G39" s="12"/>
      <c r="H39" s="12"/>
      <c r="I39" s="31" t="s">
        <v>42</v>
      </c>
      <c r="J39" s="26">
        <f>J38*H31</f>
        <v>3088.85</v>
      </c>
      <c r="K39" s="8"/>
      <c r="L39" s="8"/>
      <c r="M39" s="8"/>
    </row>
    <row r="40" spans="1:15" x14ac:dyDescent="0.25">
      <c r="A40" s="9"/>
      <c r="B40" s="37" t="s">
        <v>42</v>
      </c>
      <c r="C40" s="26">
        <f>J12+J25+J39+J53+J66</f>
        <v>-7906.1799999999967</v>
      </c>
      <c r="D40" s="38"/>
      <c r="E40" s="27"/>
      <c r="G40" s="12"/>
      <c r="H40" s="12"/>
      <c r="I40" s="31" t="s">
        <v>43</v>
      </c>
      <c r="J40" s="26">
        <f>J36*J76</f>
        <v>-764.40000000000305</v>
      </c>
      <c r="K40" s="8"/>
      <c r="L40" s="8"/>
      <c r="M40" s="23"/>
      <c r="O40" s="8"/>
    </row>
    <row r="41" spans="1:15" x14ac:dyDescent="0.25">
      <c r="B41" s="37" t="s">
        <v>43</v>
      </c>
      <c r="C41" s="26">
        <f>D8+D17+D26+D35+J13+J26+J40+J67</f>
        <v>-101091.69000000051</v>
      </c>
      <c r="D41" s="38"/>
      <c r="G41" s="12"/>
      <c r="H41" s="12"/>
      <c r="I41" s="31"/>
      <c r="J41" s="26"/>
      <c r="K41" s="8"/>
      <c r="L41" s="8"/>
      <c r="M41" s="8"/>
    </row>
    <row r="42" spans="1:15" x14ac:dyDescent="0.25">
      <c r="B42" s="37" t="s">
        <v>39</v>
      </c>
      <c r="C42" s="26">
        <f>SUM(C39:C41)</f>
        <v>28787975.840000004</v>
      </c>
      <c r="D42" s="38"/>
      <c r="G42" s="12"/>
      <c r="H42" s="12"/>
      <c r="I42" s="31"/>
      <c r="J42" s="26"/>
      <c r="K42" s="8"/>
      <c r="L42" s="8"/>
      <c r="M42" s="8"/>
    </row>
    <row r="43" spans="1:15" x14ac:dyDescent="0.25">
      <c r="B43" s="37" t="s">
        <v>22</v>
      </c>
      <c r="C43" s="28">
        <v>6392503</v>
      </c>
      <c r="D43" s="38" t="s">
        <v>20</v>
      </c>
      <c r="E43" s="27"/>
      <c r="G43" s="12"/>
      <c r="H43" s="12"/>
      <c r="I43" s="12"/>
      <c r="J43" s="25"/>
      <c r="K43" s="8"/>
      <c r="L43" s="8"/>
      <c r="M43" s="8"/>
    </row>
    <row r="44" spans="1:15" x14ac:dyDescent="0.25">
      <c r="B44" s="37" t="s">
        <v>37</v>
      </c>
      <c r="C44" s="28">
        <f>C43-J5+J8-J6+J9-J19+J22-J32+J35-J33+J36-J46+J49-J47+J50-J59-J60+J62+J63</f>
        <v>6396896</v>
      </c>
      <c r="D44" s="38" t="s">
        <v>20</v>
      </c>
      <c r="E44" s="27"/>
      <c r="G44" s="12" t="s">
        <v>11</v>
      </c>
      <c r="H44" s="12" t="s">
        <v>18</v>
      </c>
      <c r="I44" s="7">
        <v>36617</v>
      </c>
      <c r="J44" s="8">
        <v>247492</v>
      </c>
      <c r="K44" s="8"/>
      <c r="L44" s="8"/>
      <c r="M44" s="8"/>
    </row>
    <row r="45" spans="1:15" ht="13.8" thickBot="1" x14ac:dyDescent="0.3">
      <c r="B45" s="39" t="s">
        <v>38</v>
      </c>
      <c r="C45" s="19">
        <f>C44-C43</f>
        <v>4393</v>
      </c>
      <c r="D45" s="20" t="s">
        <v>20</v>
      </c>
      <c r="E45" s="27"/>
      <c r="G45" s="12" t="s">
        <v>44</v>
      </c>
      <c r="H45" s="13">
        <v>3.54</v>
      </c>
      <c r="I45" s="7">
        <v>36647</v>
      </c>
      <c r="J45" s="8">
        <v>25333</v>
      </c>
      <c r="K45" s="8"/>
      <c r="L45" s="8"/>
      <c r="M45" s="8"/>
    </row>
    <row r="46" spans="1:15" x14ac:dyDescent="0.25">
      <c r="D46" s="10"/>
      <c r="E46" s="10"/>
      <c r="G46" s="12"/>
      <c r="H46" s="12"/>
      <c r="I46" s="7">
        <v>36678</v>
      </c>
      <c r="J46" s="8">
        <v>24216</v>
      </c>
      <c r="K46" s="8"/>
      <c r="L46" s="23"/>
      <c r="M46" s="8"/>
    </row>
    <row r="47" spans="1:15" x14ac:dyDescent="0.25">
      <c r="D47" s="10"/>
      <c r="E47" s="10"/>
      <c r="G47" s="12"/>
      <c r="H47" s="12"/>
      <c r="I47" s="7">
        <v>36708</v>
      </c>
      <c r="J47" s="8">
        <v>-7068</v>
      </c>
      <c r="K47" s="8"/>
      <c r="L47" s="8"/>
      <c r="M47" s="8"/>
    </row>
    <row r="48" spans="1:15" x14ac:dyDescent="0.25">
      <c r="C48" s="40"/>
      <c r="D48" s="10"/>
      <c r="E48" s="10"/>
      <c r="G48" s="12"/>
      <c r="H48" s="12" t="s">
        <v>40</v>
      </c>
      <c r="I48" s="12" t="s">
        <v>10</v>
      </c>
      <c r="J48" s="8">
        <v>289973</v>
      </c>
      <c r="K48" s="8"/>
      <c r="L48" s="8"/>
    </row>
    <row r="49" spans="1:12" x14ac:dyDescent="0.25">
      <c r="D49" s="10"/>
      <c r="E49" s="10"/>
      <c r="G49" s="12"/>
      <c r="H49" s="13"/>
      <c r="I49" s="7">
        <v>36678</v>
      </c>
      <c r="J49" s="8">
        <v>24245</v>
      </c>
      <c r="K49" s="8"/>
      <c r="L49" s="8"/>
    </row>
    <row r="50" spans="1:12" x14ac:dyDescent="0.25">
      <c r="D50" s="10"/>
      <c r="E50" s="10"/>
      <c r="G50" s="12"/>
      <c r="H50" s="12"/>
      <c r="I50" s="7">
        <v>36708</v>
      </c>
      <c r="J50" s="8">
        <v>-7408</v>
      </c>
      <c r="K50" s="8"/>
      <c r="L50" s="8"/>
    </row>
    <row r="51" spans="1:12" x14ac:dyDescent="0.25">
      <c r="C51" s="23"/>
      <c r="D51" s="10"/>
      <c r="E51" s="10"/>
      <c r="G51" s="12"/>
      <c r="H51" s="12" t="s">
        <v>41</v>
      </c>
      <c r="I51" s="12" t="s">
        <v>10</v>
      </c>
      <c r="J51" s="25">
        <f>J48-J46-J47+J49+J50</f>
        <v>289662</v>
      </c>
      <c r="K51" s="23"/>
      <c r="L51" s="8"/>
    </row>
    <row r="52" spans="1:12" x14ac:dyDescent="0.25">
      <c r="A52" s="21"/>
      <c r="G52" s="12"/>
      <c r="H52" s="12"/>
      <c r="I52" s="12" t="s">
        <v>38</v>
      </c>
      <c r="J52" s="25">
        <f>J51-J48</f>
        <v>-311</v>
      </c>
      <c r="K52" s="8"/>
      <c r="L52" s="8"/>
    </row>
    <row r="53" spans="1:12" x14ac:dyDescent="0.25">
      <c r="A53" s="21"/>
      <c r="G53" s="12"/>
      <c r="H53" s="12"/>
      <c r="I53" s="31" t="s">
        <v>42</v>
      </c>
      <c r="J53" s="26">
        <f>J52*H45</f>
        <v>-1100.94</v>
      </c>
      <c r="K53" s="8"/>
      <c r="L53" s="8"/>
    </row>
    <row r="54" spans="1:12" x14ac:dyDescent="0.25">
      <c r="A54" s="21"/>
      <c r="G54" s="12"/>
      <c r="H54" s="12"/>
      <c r="I54" s="31"/>
      <c r="J54" s="26"/>
      <c r="K54" s="8"/>
    </row>
    <row r="55" spans="1:12" x14ac:dyDescent="0.25">
      <c r="A55" s="21"/>
      <c r="G55" s="12"/>
      <c r="H55" s="12"/>
      <c r="I55" s="31"/>
      <c r="J55" s="26"/>
      <c r="K55" s="8"/>
    </row>
    <row r="56" spans="1:12" x14ac:dyDescent="0.25">
      <c r="A56" s="21"/>
      <c r="G56" s="12"/>
      <c r="H56" s="12"/>
      <c r="J56" s="8"/>
      <c r="K56" s="8"/>
    </row>
    <row r="57" spans="1:12" x14ac:dyDescent="0.25">
      <c r="G57" s="12" t="s">
        <v>11</v>
      </c>
      <c r="H57" s="12" t="s">
        <v>19</v>
      </c>
      <c r="I57" s="7">
        <v>36617</v>
      </c>
      <c r="J57" s="8">
        <v>254713</v>
      </c>
      <c r="K57" s="8"/>
    </row>
    <row r="58" spans="1:12" x14ac:dyDescent="0.25">
      <c r="A58" s="21"/>
      <c r="G58" s="12" t="s">
        <v>44</v>
      </c>
      <c r="H58" s="13">
        <v>4.76</v>
      </c>
      <c r="I58" s="7">
        <v>36647</v>
      </c>
      <c r="J58" s="8">
        <v>185014</v>
      </c>
      <c r="K58" s="8"/>
    </row>
    <row r="59" spans="1:12" x14ac:dyDescent="0.25">
      <c r="A59" s="21"/>
      <c r="G59" s="12" t="s">
        <v>26</v>
      </c>
      <c r="H59" s="13"/>
      <c r="I59" s="7">
        <v>36678</v>
      </c>
      <c r="J59" s="8">
        <v>195432</v>
      </c>
      <c r="K59" s="8"/>
    </row>
    <row r="60" spans="1:12" x14ac:dyDescent="0.25">
      <c r="A60" s="21"/>
      <c r="G60" s="12"/>
      <c r="H60" s="12"/>
      <c r="I60" s="7">
        <v>36708</v>
      </c>
      <c r="J60" s="8">
        <v>144460</v>
      </c>
      <c r="K60" s="8"/>
    </row>
    <row r="61" spans="1:12" x14ac:dyDescent="0.25">
      <c r="A61" s="21"/>
      <c r="G61" s="12"/>
      <c r="H61" s="12" t="s">
        <v>40</v>
      </c>
      <c r="I61" s="12" t="s">
        <v>10</v>
      </c>
      <c r="J61" s="8">
        <v>779619</v>
      </c>
      <c r="K61" s="8"/>
    </row>
    <row r="62" spans="1:12" x14ac:dyDescent="0.25">
      <c r="A62" s="21"/>
      <c r="G62" s="12"/>
      <c r="I62" s="7">
        <v>36678</v>
      </c>
      <c r="J62" s="8">
        <v>193571</v>
      </c>
      <c r="K62" s="8"/>
    </row>
    <row r="63" spans="1:12" x14ac:dyDescent="0.25">
      <c r="I63" s="7">
        <v>36708</v>
      </c>
      <c r="J63" s="8">
        <v>138007</v>
      </c>
      <c r="K63" s="8"/>
    </row>
    <row r="64" spans="1:12" x14ac:dyDescent="0.25">
      <c r="H64" s="12" t="s">
        <v>41</v>
      </c>
      <c r="I64" s="12" t="s">
        <v>10</v>
      </c>
      <c r="J64" s="25">
        <f>J61-J59-J60+J62+J63</f>
        <v>771305</v>
      </c>
      <c r="K64" s="8"/>
    </row>
    <row r="65" spans="2:11" x14ac:dyDescent="0.25">
      <c r="I65" s="12" t="s">
        <v>38</v>
      </c>
      <c r="J65" s="25">
        <f>J64-J61</f>
        <v>-8314</v>
      </c>
      <c r="K65" s="8"/>
    </row>
    <row r="66" spans="2:11" x14ac:dyDescent="0.25">
      <c r="I66" s="31" t="s">
        <v>42</v>
      </c>
      <c r="J66" s="26">
        <f>J65*H58</f>
        <v>-39574.639999999999</v>
      </c>
      <c r="K66" s="8"/>
    </row>
    <row r="67" spans="2:11" x14ac:dyDescent="0.25">
      <c r="I67" s="31" t="s">
        <v>43</v>
      </c>
      <c r="J67" s="26">
        <f>J63*J73</f>
        <v>-9660.4900000000398</v>
      </c>
      <c r="K67" s="8"/>
    </row>
    <row r="68" spans="2:11" x14ac:dyDescent="0.25">
      <c r="I68" s="31"/>
      <c r="J68" s="26"/>
      <c r="K68" s="8"/>
    </row>
    <row r="69" spans="2:11" x14ac:dyDescent="0.25">
      <c r="I69" s="31"/>
      <c r="J69" s="26"/>
      <c r="K69" s="8"/>
    </row>
    <row r="70" spans="2:11" x14ac:dyDescent="0.25">
      <c r="B70" s="21" t="s">
        <v>28</v>
      </c>
      <c r="I70" s="12"/>
      <c r="J70" s="25"/>
      <c r="K70" s="8"/>
    </row>
    <row r="71" spans="2:11" x14ac:dyDescent="0.25">
      <c r="H71" s="29" t="s">
        <v>35</v>
      </c>
      <c r="I71" s="30" t="s">
        <v>36</v>
      </c>
      <c r="J71" s="30" t="s">
        <v>38</v>
      </c>
      <c r="K71" s="8"/>
    </row>
    <row r="72" spans="2:11" x14ac:dyDescent="0.25">
      <c r="G72" s="9" t="s">
        <v>29</v>
      </c>
      <c r="H72" s="13">
        <v>4.58</v>
      </c>
      <c r="I72" s="13">
        <v>4.5199999999999996</v>
      </c>
      <c r="J72" s="13">
        <f>I72-H72</f>
        <v>-6.0000000000000497E-2</v>
      </c>
      <c r="K72" s="8"/>
    </row>
    <row r="73" spans="2:11" x14ac:dyDescent="0.25">
      <c r="G73" s="9" t="s">
        <v>45</v>
      </c>
      <c r="H73" s="13">
        <v>4.42</v>
      </c>
      <c r="I73" s="13">
        <v>4.3499999999999996</v>
      </c>
      <c r="J73" s="13">
        <f>I73-H73</f>
        <v>-7.0000000000000284E-2</v>
      </c>
      <c r="K73" s="8"/>
    </row>
    <row r="74" spans="2:11" x14ac:dyDescent="0.25">
      <c r="G74" s="9" t="s">
        <v>46</v>
      </c>
      <c r="H74" s="13">
        <v>4.4400000000000004</v>
      </c>
      <c r="I74" s="13">
        <v>4.3600000000000003</v>
      </c>
      <c r="J74" s="13">
        <f>I74-H74</f>
        <v>-8.0000000000000071E-2</v>
      </c>
      <c r="K74" s="8"/>
    </row>
    <row r="75" spans="2:11" x14ac:dyDescent="0.25">
      <c r="G75" s="9" t="s">
        <v>30</v>
      </c>
      <c r="H75" s="13">
        <v>4.5599999999999996</v>
      </c>
      <c r="I75" s="13">
        <v>4.4800000000000004</v>
      </c>
      <c r="J75" s="13">
        <f>I75-H75</f>
        <v>-7.9999999999999183E-2</v>
      </c>
    </row>
    <row r="76" spans="2:11" x14ac:dyDescent="0.25">
      <c r="G76" s="9" t="s">
        <v>31</v>
      </c>
      <c r="H76" s="13">
        <v>4.5</v>
      </c>
      <c r="I76" s="13">
        <v>4.43</v>
      </c>
      <c r="J76" s="13">
        <f>I76-H76</f>
        <v>-7.0000000000000284E-2</v>
      </c>
    </row>
    <row r="80" spans="2:11" x14ac:dyDescent="0.25">
      <c r="H80" s="11"/>
      <c r="I80" s="11"/>
    </row>
  </sheetData>
  <printOptions horizontalCentered="1"/>
  <pageMargins left="0.75" right="0.75" top="1" bottom="1" header="0.5" footer="0.5"/>
  <pageSetup scale="6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9"/>
  <sheetViews>
    <sheetView topLeftCell="A10" workbookViewId="0">
      <selection activeCell="C39" sqref="C39"/>
    </sheetView>
  </sheetViews>
  <sheetFormatPr defaultRowHeight="13.2" x14ac:dyDescent="0.25"/>
  <cols>
    <col min="1" max="1" width="16.33203125" bestFit="1" customWidth="1"/>
    <col min="2" max="2" width="15.44140625" bestFit="1" customWidth="1"/>
    <col min="3" max="4" width="12.88671875" bestFit="1" customWidth="1"/>
    <col min="5" max="5" width="6.88671875" customWidth="1"/>
    <col min="6" max="6" width="16.33203125" bestFit="1" customWidth="1"/>
    <col min="7" max="7" width="13.109375" bestFit="1" customWidth="1"/>
    <col min="8" max="8" width="7.6640625" bestFit="1" customWidth="1"/>
    <col min="9" max="9" width="12.88671875" bestFit="1" customWidth="1"/>
  </cols>
  <sheetData>
    <row r="1" spans="1:11" x14ac:dyDescent="0.25">
      <c r="A1" s="1" t="s">
        <v>0</v>
      </c>
      <c r="B1" s="2"/>
      <c r="C1" s="2"/>
      <c r="D1" s="3"/>
      <c r="F1" s="1" t="s">
        <v>1</v>
      </c>
      <c r="G1" s="2"/>
      <c r="H1" s="2"/>
      <c r="I1" s="3"/>
    </row>
    <row r="2" spans="1:11" x14ac:dyDescent="0.25">
      <c r="A2" s="4" t="s">
        <v>2</v>
      </c>
      <c r="B2" s="4" t="s">
        <v>3</v>
      </c>
      <c r="C2" s="4" t="s">
        <v>4</v>
      </c>
      <c r="D2" s="5" t="s">
        <v>5</v>
      </c>
      <c r="E2" s="6"/>
      <c r="F2" s="4" t="s">
        <v>2</v>
      </c>
      <c r="G2" s="4" t="s">
        <v>3</v>
      </c>
      <c r="H2" s="4" t="s">
        <v>4</v>
      </c>
      <c r="I2" s="5" t="s">
        <v>5</v>
      </c>
    </row>
    <row r="3" spans="1:11" x14ac:dyDescent="0.25">
      <c r="A3" s="12" t="s">
        <v>6</v>
      </c>
      <c r="B3" s="12" t="s">
        <v>7</v>
      </c>
      <c r="C3" s="7">
        <v>36617</v>
      </c>
      <c r="D3" s="8">
        <v>786579</v>
      </c>
      <c r="F3" s="12" t="s">
        <v>8</v>
      </c>
      <c r="G3" s="12" t="s">
        <v>7</v>
      </c>
      <c r="H3" s="7">
        <v>36617</v>
      </c>
      <c r="I3" s="8">
        <v>3331</v>
      </c>
    </row>
    <row r="4" spans="1:11" x14ac:dyDescent="0.25">
      <c r="A4" s="9"/>
      <c r="B4" s="12"/>
      <c r="C4" s="7">
        <v>36647</v>
      </c>
      <c r="D4" s="8">
        <v>1089109</v>
      </c>
      <c r="F4" s="9"/>
      <c r="G4" s="12" t="s">
        <v>9</v>
      </c>
      <c r="H4" s="7">
        <v>36647</v>
      </c>
      <c r="I4" s="8">
        <v>13430</v>
      </c>
    </row>
    <row r="5" spans="1:11" x14ac:dyDescent="0.25">
      <c r="C5" s="7">
        <v>36678</v>
      </c>
      <c r="D5" s="8">
        <v>1089109</v>
      </c>
      <c r="F5" s="9"/>
      <c r="G5" s="12"/>
      <c r="H5" s="7">
        <v>36678</v>
      </c>
      <c r="I5" s="8">
        <v>13472</v>
      </c>
      <c r="J5" s="8">
        <v>12074</v>
      </c>
      <c r="K5" s="8">
        <f>J5-I5</f>
        <v>-1398</v>
      </c>
    </row>
    <row r="6" spans="1:11" x14ac:dyDescent="0.25">
      <c r="A6" s="9"/>
      <c r="B6" s="12"/>
      <c r="C6" s="7">
        <v>36708</v>
      </c>
      <c r="D6" s="8">
        <v>1089109</v>
      </c>
      <c r="H6" s="7">
        <v>36708</v>
      </c>
      <c r="I6" s="8">
        <v>15314</v>
      </c>
    </row>
    <row r="7" spans="1:11" x14ac:dyDescent="0.25">
      <c r="A7" s="9" t="s">
        <v>34</v>
      </c>
      <c r="B7" s="13">
        <v>4.6900000000000004</v>
      </c>
      <c r="C7" s="12" t="s">
        <v>10</v>
      </c>
      <c r="D7" s="8">
        <v>4053906</v>
      </c>
      <c r="F7" s="9" t="s">
        <v>34</v>
      </c>
      <c r="G7" s="13">
        <v>5.35</v>
      </c>
      <c r="H7" s="12" t="s">
        <v>10</v>
      </c>
      <c r="I7" s="8">
        <v>45547</v>
      </c>
    </row>
    <row r="8" spans="1:11" x14ac:dyDescent="0.25">
      <c r="A8" s="9" t="s">
        <v>25</v>
      </c>
      <c r="B8" s="13">
        <v>4.58</v>
      </c>
      <c r="C8" s="13"/>
      <c r="D8" s="23"/>
      <c r="F8" s="9" t="s">
        <v>25</v>
      </c>
      <c r="G8" s="13">
        <v>4.58</v>
      </c>
      <c r="H8" s="13"/>
      <c r="I8" s="23"/>
    </row>
    <row r="9" spans="1:11" x14ac:dyDescent="0.25">
      <c r="A9" s="9"/>
      <c r="B9" s="13"/>
      <c r="C9" s="12"/>
      <c r="D9" s="8"/>
      <c r="F9" s="9"/>
      <c r="G9" s="13"/>
      <c r="H9" s="12"/>
      <c r="I9" s="8"/>
    </row>
    <row r="10" spans="1:11" x14ac:dyDescent="0.25">
      <c r="A10" s="9"/>
      <c r="B10" s="12"/>
      <c r="D10" s="8"/>
      <c r="F10" s="9"/>
      <c r="G10" s="14"/>
      <c r="I10" s="8"/>
    </row>
    <row r="11" spans="1:11" x14ac:dyDescent="0.25">
      <c r="A11" s="12" t="s">
        <v>11</v>
      </c>
      <c r="B11" s="12" t="s">
        <v>12</v>
      </c>
      <c r="C11" s="7">
        <v>36617</v>
      </c>
      <c r="D11" s="8">
        <v>128457</v>
      </c>
      <c r="F11" s="12" t="s">
        <v>13</v>
      </c>
      <c r="G11" s="12" t="s">
        <v>14</v>
      </c>
      <c r="H11" s="7">
        <v>36617</v>
      </c>
      <c r="I11" s="8">
        <v>21001</v>
      </c>
    </row>
    <row r="12" spans="1:11" x14ac:dyDescent="0.25">
      <c r="A12" s="9"/>
      <c r="B12" s="12"/>
      <c r="C12" s="7">
        <v>36647</v>
      </c>
      <c r="D12" s="8">
        <v>126134</v>
      </c>
      <c r="F12" s="9"/>
      <c r="G12" s="12"/>
      <c r="H12" s="7">
        <v>36647</v>
      </c>
      <c r="I12" s="8">
        <v>73542</v>
      </c>
    </row>
    <row r="13" spans="1:11" x14ac:dyDescent="0.25">
      <c r="C13" s="7">
        <v>36678</v>
      </c>
      <c r="D13" s="8">
        <v>125126</v>
      </c>
      <c r="H13" s="7">
        <v>36678</v>
      </c>
      <c r="I13" s="8">
        <v>213145</v>
      </c>
      <c r="J13" s="8">
        <v>230100</v>
      </c>
      <c r="K13" s="8">
        <f>J13-I13</f>
        <v>16955</v>
      </c>
    </row>
    <row r="14" spans="1:11" x14ac:dyDescent="0.25">
      <c r="A14" s="9"/>
      <c r="B14" s="12"/>
      <c r="C14" s="7">
        <v>36708</v>
      </c>
      <c r="D14" s="8">
        <v>124662</v>
      </c>
      <c r="F14" s="9"/>
      <c r="G14" s="12"/>
      <c r="H14" s="7">
        <v>36708</v>
      </c>
      <c r="I14" s="8">
        <v>143119</v>
      </c>
    </row>
    <row r="15" spans="1:11" x14ac:dyDescent="0.25">
      <c r="A15" s="9" t="s">
        <v>34</v>
      </c>
      <c r="B15" s="13">
        <v>4.6500000000000004</v>
      </c>
      <c r="C15" s="12" t="s">
        <v>10</v>
      </c>
      <c r="D15" s="8">
        <v>504379</v>
      </c>
      <c r="F15" s="9" t="s">
        <v>34</v>
      </c>
      <c r="G15" s="13">
        <v>3.25</v>
      </c>
      <c r="H15" s="12" t="s">
        <v>10</v>
      </c>
      <c r="I15" s="8">
        <v>450807</v>
      </c>
    </row>
    <row r="16" spans="1:11" x14ac:dyDescent="0.25">
      <c r="A16" s="9" t="s">
        <v>26</v>
      </c>
      <c r="B16" s="13">
        <v>4.42</v>
      </c>
      <c r="C16" s="12"/>
      <c r="D16" s="8"/>
      <c r="F16" s="9" t="s">
        <v>23</v>
      </c>
      <c r="G16" s="13">
        <v>4.5599999999999996</v>
      </c>
      <c r="H16" s="13"/>
      <c r="I16" s="23"/>
    </row>
    <row r="17" spans="1:11" x14ac:dyDescent="0.25">
      <c r="A17" s="9"/>
      <c r="B17" s="13"/>
      <c r="C17" s="12"/>
      <c r="D17" s="8"/>
      <c r="F17" s="9"/>
      <c r="G17" s="13"/>
      <c r="H17" s="12"/>
      <c r="I17" s="8"/>
    </row>
    <row r="18" spans="1:11" x14ac:dyDescent="0.25">
      <c r="A18" s="9"/>
      <c r="B18" s="12"/>
      <c r="D18" s="8"/>
      <c r="F18" s="9"/>
      <c r="G18" s="12"/>
      <c r="I18" s="8"/>
    </row>
    <row r="19" spans="1:11" x14ac:dyDescent="0.25">
      <c r="A19" s="12" t="s">
        <v>11</v>
      </c>
      <c r="B19" s="12" t="s">
        <v>15</v>
      </c>
      <c r="C19" s="7">
        <v>36617</v>
      </c>
      <c r="D19" s="8">
        <v>1383</v>
      </c>
      <c r="F19" s="12" t="s">
        <v>16</v>
      </c>
      <c r="G19" s="12" t="s">
        <v>14</v>
      </c>
      <c r="H19" s="7">
        <v>36617</v>
      </c>
      <c r="I19" s="8">
        <v>8672</v>
      </c>
    </row>
    <row r="20" spans="1:11" x14ac:dyDescent="0.25">
      <c r="A20" s="9"/>
      <c r="B20" s="12"/>
      <c r="C20" s="7">
        <v>36647</v>
      </c>
      <c r="D20" s="8">
        <v>2898</v>
      </c>
      <c r="F20" s="9"/>
      <c r="G20" s="12"/>
      <c r="H20" s="7">
        <v>36647</v>
      </c>
      <c r="I20" s="8">
        <v>8564</v>
      </c>
    </row>
    <row r="21" spans="1:11" x14ac:dyDescent="0.25">
      <c r="C21" s="7">
        <v>36678</v>
      </c>
      <c r="D21" s="8">
        <v>2871</v>
      </c>
      <c r="H21" s="7">
        <v>36678</v>
      </c>
      <c r="I21" s="8">
        <v>10460</v>
      </c>
      <c r="J21" s="8">
        <v>10895</v>
      </c>
      <c r="K21" s="8">
        <f>J21-I21</f>
        <v>435</v>
      </c>
    </row>
    <row r="22" spans="1:11" x14ac:dyDescent="0.25">
      <c r="A22" s="9"/>
      <c r="B22" s="12"/>
      <c r="C22" s="7">
        <v>36708</v>
      </c>
      <c r="D22" s="8">
        <v>2675</v>
      </c>
      <c r="F22" s="9"/>
      <c r="G22" s="12"/>
      <c r="H22" s="7">
        <v>36708</v>
      </c>
      <c r="I22" s="8">
        <v>10540</v>
      </c>
    </row>
    <row r="23" spans="1:11" x14ac:dyDescent="0.25">
      <c r="A23" s="9" t="s">
        <v>34</v>
      </c>
      <c r="B23" s="13">
        <v>5</v>
      </c>
      <c r="C23" s="12" t="s">
        <v>10</v>
      </c>
      <c r="D23" s="8">
        <v>9827</v>
      </c>
      <c r="F23" s="9" t="s">
        <v>34</v>
      </c>
      <c r="G23" s="13">
        <v>3.79</v>
      </c>
      <c r="H23" s="12" t="s">
        <v>10</v>
      </c>
      <c r="I23" s="8">
        <v>38236</v>
      </c>
    </row>
    <row r="24" spans="1:11" x14ac:dyDescent="0.25">
      <c r="A24" s="9" t="s">
        <v>27</v>
      </c>
      <c r="B24" s="13">
        <v>4.4400000000000004</v>
      </c>
      <c r="C24" s="12"/>
      <c r="D24" s="8"/>
      <c r="F24" s="9" t="s">
        <v>24</v>
      </c>
      <c r="G24" s="13">
        <v>4.5</v>
      </c>
      <c r="H24" s="13"/>
      <c r="I24" s="23"/>
    </row>
    <row r="25" spans="1:11" x14ac:dyDescent="0.25">
      <c r="A25" s="9"/>
      <c r="B25" s="13"/>
      <c r="C25" s="12"/>
      <c r="D25" s="8"/>
      <c r="F25" s="9"/>
      <c r="G25" s="13"/>
      <c r="H25" s="12"/>
      <c r="I25" s="8"/>
    </row>
    <row r="26" spans="1:11" x14ac:dyDescent="0.25">
      <c r="A26" s="9"/>
      <c r="B26" s="12"/>
      <c r="D26" s="8"/>
      <c r="F26" s="9"/>
      <c r="G26" s="12"/>
      <c r="I26" s="8"/>
    </row>
    <row r="27" spans="1:11" x14ac:dyDescent="0.25">
      <c r="A27" s="12" t="s">
        <v>11</v>
      </c>
      <c r="B27" s="12" t="s">
        <v>17</v>
      </c>
      <c r="C27" s="7">
        <v>36617</v>
      </c>
      <c r="D27" s="8">
        <v>53989</v>
      </c>
      <c r="F27" s="12" t="s">
        <v>11</v>
      </c>
      <c r="G27" s="12" t="s">
        <v>18</v>
      </c>
      <c r="H27" s="7">
        <v>36617</v>
      </c>
      <c r="I27" s="8">
        <v>247492</v>
      </c>
    </row>
    <row r="28" spans="1:11" x14ac:dyDescent="0.25">
      <c r="A28" s="9"/>
      <c r="B28" s="12"/>
      <c r="C28" s="7">
        <v>36647</v>
      </c>
      <c r="D28" s="8">
        <v>57051</v>
      </c>
      <c r="F28" s="9"/>
      <c r="G28" s="13"/>
      <c r="H28" s="7">
        <v>36647</v>
      </c>
      <c r="I28" s="8">
        <v>25333</v>
      </c>
    </row>
    <row r="29" spans="1:11" x14ac:dyDescent="0.25">
      <c r="C29" s="7">
        <v>36678</v>
      </c>
      <c r="D29" s="8">
        <v>56509</v>
      </c>
      <c r="F29" s="9"/>
      <c r="G29" s="12"/>
      <c r="H29" s="7">
        <v>36678</v>
      </c>
      <c r="I29" s="8">
        <v>24216</v>
      </c>
      <c r="J29" s="8">
        <v>24245</v>
      </c>
      <c r="K29" s="8">
        <f>J29-I29</f>
        <v>29</v>
      </c>
    </row>
    <row r="30" spans="1:11" x14ac:dyDescent="0.25">
      <c r="A30" s="9"/>
      <c r="B30" s="12"/>
      <c r="C30" s="7">
        <v>36708</v>
      </c>
      <c r="D30" s="8">
        <v>52660</v>
      </c>
      <c r="F30" s="9"/>
      <c r="G30" s="12"/>
      <c r="H30" s="7">
        <v>36708</v>
      </c>
      <c r="I30" s="8">
        <v>-7068</v>
      </c>
    </row>
    <row r="31" spans="1:11" x14ac:dyDescent="0.25">
      <c r="A31" s="9" t="s">
        <v>34</v>
      </c>
      <c r="B31" s="13">
        <v>4.08</v>
      </c>
      <c r="C31" s="12" t="s">
        <v>10</v>
      </c>
      <c r="D31" s="8">
        <v>220209</v>
      </c>
      <c r="F31" s="9" t="s">
        <v>34</v>
      </c>
      <c r="G31" s="13">
        <v>3.54</v>
      </c>
      <c r="H31" s="12" t="s">
        <v>10</v>
      </c>
      <c r="I31" s="8">
        <v>289973</v>
      </c>
    </row>
    <row r="32" spans="1:11" x14ac:dyDescent="0.25">
      <c r="A32" s="9" t="s">
        <v>27</v>
      </c>
      <c r="B32" s="13">
        <v>4.4400000000000004</v>
      </c>
      <c r="C32" s="13"/>
      <c r="D32" s="23"/>
      <c r="F32" s="9"/>
      <c r="G32" s="13"/>
      <c r="H32" s="12"/>
      <c r="I32" s="8"/>
    </row>
    <row r="33" spans="1:11" x14ac:dyDescent="0.25">
      <c r="D33" s="8"/>
      <c r="F33" s="9"/>
      <c r="G33" s="12"/>
      <c r="I33" s="8"/>
    </row>
    <row r="34" spans="1:11" x14ac:dyDescent="0.25">
      <c r="D34" s="8"/>
      <c r="F34" s="9"/>
      <c r="G34" s="12"/>
      <c r="I34" s="8"/>
    </row>
    <row r="35" spans="1:11" ht="13.8" thickBot="1" x14ac:dyDescent="0.3">
      <c r="D35" s="8"/>
      <c r="F35" s="12" t="s">
        <v>11</v>
      </c>
      <c r="G35" s="12" t="s">
        <v>19</v>
      </c>
      <c r="H35" s="7">
        <v>36617</v>
      </c>
      <c r="I35" s="8">
        <v>254713</v>
      </c>
    </row>
    <row r="36" spans="1:11" x14ac:dyDescent="0.25">
      <c r="B36" s="15" t="s">
        <v>21</v>
      </c>
      <c r="C36" s="16">
        <v>28896973.710000005</v>
      </c>
      <c r="D36" s="17"/>
      <c r="F36" s="9"/>
      <c r="G36" s="12"/>
      <c r="H36" s="7">
        <v>36647</v>
      </c>
      <c r="I36" s="8">
        <v>185014</v>
      </c>
    </row>
    <row r="37" spans="1:11" ht="13.8" thickBot="1" x14ac:dyDescent="0.3">
      <c r="A37" s="9"/>
      <c r="B37" s="18" t="s">
        <v>22</v>
      </c>
      <c r="C37" s="19">
        <v>6392503</v>
      </c>
      <c r="D37" s="20" t="s">
        <v>20</v>
      </c>
      <c r="H37" s="7">
        <v>36678</v>
      </c>
      <c r="I37" s="8">
        <v>195432</v>
      </c>
      <c r="J37" s="8">
        <v>193571</v>
      </c>
      <c r="K37" s="8">
        <f>J37-I37</f>
        <v>-1861</v>
      </c>
    </row>
    <row r="38" spans="1:11" x14ac:dyDescent="0.25">
      <c r="G38" s="12"/>
      <c r="H38" s="7">
        <v>36708</v>
      </c>
      <c r="I38" s="8">
        <v>144460</v>
      </c>
    </row>
    <row r="39" spans="1:11" x14ac:dyDescent="0.25">
      <c r="C39" s="23"/>
      <c r="F39" s="9" t="s">
        <v>34</v>
      </c>
      <c r="G39" s="13">
        <v>4.76</v>
      </c>
      <c r="H39" s="12" t="s">
        <v>10</v>
      </c>
      <c r="I39" s="8">
        <v>779619</v>
      </c>
    </row>
    <row r="40" spans="1:11" x14ac:dyDescent="0.25">
      <c r="D40" s="8"/>
      <c r="F40" s="9" t="s">
        <v>26</v>
      </c>
      <c r="G40" s="13">
        <v>4.42</v>
      </c>
      <c r="H40" s="13"/>
      <c r="I40" s="23"/>
      <c r="K40" s="8">
        <f>SUM(K5:K37)</f>
        <v>14160</v>
      </c>
    </row>
    <row r="41" spans="1:11" x14ac:dyDescent="0.25">
      <c r="D41" s="10"/>
      <c r="I41" s="8"/>
    </row>
    <row r="42" spans="1:11" x14ac:dyDescent="0.25">
      <c r="D42" s="10"/>
      <c r="I42" s="8"/>
    </row>
    <row r="43" spans="1:11" x14ac:dyDescent="0.25">
      <c r="D43" s="10"/>
      <c r="I43" s="8"/>
    </row>
    <row r="44" spans="1:11" x14ac:dyDescent="0.25">
      <c r="A44" s="21" t="s">
        <v>28</v>
      </c>
      <c r="G44" s="11"/>
      <c r="I44" s="8"/>
    </row>
    <row r="45" spans="1:11" x14ac:dyDescent="0.25">
      <c r="B45" s="22" t="s">
        <v>29</v>
      </c>
    </row>
    <row r="46" spans="1:11" x14ac:dyDescent="0.25">
      <c r="B46" s="22" t="s">
        <v>33</v>
      </c>
    </row>
    <row r="47" spans="1:11" x14ac:dyDescent="0.25">
      <c r="B47" s="22" t="s">
        <v>32</v>
      </c>
    </row>
    <row r="48" spans="1:11" x14ac:dyDescent="0.25">
      <c r="B48" s="22" t="s">
        <v>30</v>
      </c>
    </row>
    <row r="49" spans="2:2" x14ac:dyDescent="0.25">
      <c r="B49" s="22" t="s">
        <v>31</v>
      </c>
    </row>
  </sheetData>
  <printOptions horizontalCentered="1"/>
  <pageMargins left="0.75" right="0.75" top="1" bottom="1" header="0.5" footer="0.5"/>
  <pageSetup scale="79" orientation="portrait" r:id="rId1"/>
  <headerFooter alignWithMargins="0">
    <oddHeader>&amp;CSchedule 3.6(A)
Exhibit 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0"/>
  <sheetViews>
    <sheetView topLeftCell="A28" zoomScale="75" workbookViewId="0">
      <selection activeCell="C44" sqref="C44"/>
    </sheetView>
  </sheetViews>
  <sheetFormatPr defaultRowHeight="13.2" x14ac:dyDescent="0.25"/>
  <cols>
    <col min="1" max="1" width="15.6640625" bestFit="1" customWidth="1"/>
    <col min="2" max="2" width="17.44140625" customWidth="1"/>
    <col min="3" max="3" width="16.44140625" bestFit="1" customWidth="1"/>
    <col min="4" max="4" width="12.88671875" bestFit="1" customWidth="1"/>
    <col min="5" max="5" width="12.109375" customWidth="1"/>
    <col min="6" max="6" width="11.5546875" style="9" customWidth="1"/>
    <col min="7" max="7" width="15.109375" customWidth="1"/>
    <col min="8" max="8" width="13.109375" bestFit="1" customWidth="1"/>
    <col min="9" max="9" width="17.109375" bestFit="1" customWidth="1"/>
    <col min="10" max="10" width="13.33203125" customWidth="1"/>
    <col min="11" max="13" width="12.88671875" customWidth="1"/>
  </cols>
  <sheetData>
    <row r="1" spans="1:15" x14ac:dyDescent="0.25">
      <c r="A1" s="1" t="s">
        <v>0</v>
      </c>
      <c r="B1" s="2"/>
      <c r="C1" s="2"/>
      <c r="D1" s="3"/>
      <c r="E1" s="35"/>
      <c r="G1" s="32" t="s">
        <v>1</v>
      </c>
      <c r="H1" s="33"/>
      <c r="I1" s="33"/>
      <c r="J1" s="34"/>
    </row>
    <row r="2" spans="1:15" x14ac:dyDescent="0.25">
      <c r="A2" s="4" t="s">
        <v>2</v>
      </c>
      <c r="B2" s="4" t="s">
        <v>3</v>
      </c>
      <c r="C2" s="4" t="s">
        <v>4</v>
      </c>
      <c r="D2" s="5" t="s">
        <v>5</v>
      </c>
      <c r="E2" s="5"/>
      <c r="F2" s="24"/>
      <c r="G2" s="4" t="s">
        <v>2</v>
      </c>
      <c r="H2" s="4" t="s">
        <v>3</v>
      </c>
      <c r="I2" s="4" t="s">
        <v>4</v>
      </c>
      <c r="J2" s="5" t="s">
        <v>5</v>
      </c>
      <c r="K2" s="5"/>
      <c r="L2" s="5"/>
      <c r="M2" s="5"/>
    </row>
    <row r="3" spans="1:15" x14ac:dyDescent="0.25">
      <c r="A3" s="12" t="s">
        <v>6</v>
      </c>
      <c r="B3" s="12" t="s">
        <v>7</v>
      </c>
      <c r="C3" s="7">
        <v>36617</v>
      </c>
      <c r="D3" s="8">
        <v>786579</v>
      </c>
      <c r="E3" s="8"/>
      <c r="G3" s="12" t="s">
        <v>8</v>
      </c>
      <c r="H3" s="12" t="s">
        <v>7</v>
      </c>
      <c r="I3" s="7">
        <v>36617</v>
      </c>
      <c r="J3" s="8">
        <v>3331</v>
      </c>
      <c r="K3" s="8"/>
      <c r="L3" s="8"/>
      <c r="M3" s="8"/>
    </row>
    <row r="4" spans="1:15" x14ac:dyDescent="0.25">
      <c r="A4" s="12" t="s">
        <v>44</v>
      </c>
      <c r="B4" s="13">
        <v>4.6900000000000004</v>
      </c>
      <c r="C4" s="7">
        <v>36647</v>
      </c>
      <c r="D4" s="8">
        <v>1089109</v>
      </c>
      <c r="E4" s="8"/>
      <c r="G4" s="12"/>
      <c r="H4" s="12" t="s">
        <v>9</v>
      </c>
      <c r="I4" s="7">
        <v>36647</v>
      </c>
      <c r="J4" s="8">
        <v>13430</v>
      </c>
      <c r="K4" s="8"/>
      <c r="L4" s="8"/>
      <c r="M4" s="8"/>
    </row>
    <row r="5" spans="1:15" x14ac:dyDescent="0.25">
      <c r="A5" s="12" t="s">
        <v>25</v>
      </c>
      <c r="C5" s="7">
        <v>36678</v>
      </c>
      <c r="D5" s="8">
        <v>1089109</v>
      </c>
      <c r="E5" s="8"/>
      <c r="G5" s="12" t="s">
        <v>44</v>
      </c>
      <c r="H5" s="13">
        <v>5.35</v>
      </c>
      <c r="I5" s="7">
        <v>36678</v>
      </c>
      <c r="J5" s="8">
        <v>13472</v>
      </c>
      <c r="L5" s="8"/>
      <c r="M5" s="8"/>
      <c r="N5" s="8"/>
      <c r="O5" s="8"/>
    </row>
    <row r="6" spans="1:15" x14ac:dyDescent="0.25">
      <c r="A6" s="12"/>
      <c r="B6" s="12"/>
      <c r="C6" s="7">
        <v>36708</v>
      </c>
      <c r="D6" s="8">
        <v>1089109</v>
      </c>
      <c r="E6" s="8"/>
      <c r="G6" s="12" t="s">
        <v>25</v>
      </c>
      <c r="H6" s="13"/>
      <c r="I6" s="7">
        <v>36708</v>
      </c>
      <c r="J6" s="8">
        <v>15314</v>
      </c>
      <c r="L6" s="8"/>
      <c r="M6" s="8"/>
    </row>
    <row r="7" spans="1:15" x14ac:dyDescent="0.25">
      <c r="A7" s="12"/>
      <c r="B7" s="12" t="s">
        <v>40</v>
      </c>
      <c r="C7" s="12" t="s">
        <v>10</v>
      </c>
      <c r="D7" s="8">
        <v>4053906</v>
      </c>
      <c r="E7" s="8"/>
      <c r="G7" s="12"/>
      <c r="H7" s="12" t="s">
        <v>40</v>
      </c>
      <c r="I7" s="12" t="s">
        <v>10</v>
      </c>
      <c r="J7" s="8">
        <v>45547</v>
      </c>
      <c r="K7" s="8"/>
      <c r="L7" s="8"/>
      <c r="M7" s="8"/>
    </row>
    <row r="8" spans="1:15" x14ac:dyDescent="0.25">
      <c r="A8" s="12"/>
      <c r="C8" s="31" t="s">
        <v>43</v>
      </c>
      <c r="D8" s="26">
        <f>D6*J72</f>
        <v>-65346.540000000539</v>
      </c>
      <c r="E8" s="26"/>
      <c r="G8" s="12"/>
      <c r="I8" s="7">
        <v>36678</v>
      </c>
      <c r="J8" s="8">
        <v>12074</v>
      </c>
      <c r="K8" s="23"/>
      <c r="L8" s="23"/>
      <c r="M8" s="23"/>
    </row>
    <row r="9" spans="1:15" x14ac:dyDescent="0.25">
      <c r="A9" s="12"/>
      <c r="C9" s="31"/>
      <c r="D9" s="26"/>
      <c r="E9" s="26"/>
      <c r="G9" s="12"/>
      <c r="H9" s="13"/>
      <c r="I9" s="7">
        <v>36708</v>
      </c>
      <c r="J9" s="8">
        <v>11960</v>
      </c>
      <c r="K9" s="8"/>
      <c r="L9" s="8"/>
      <c r="M9" s="8"/>
    </row>
    <row r="10" spans="1:15" x14ac:dyDescent="0.25">
      <c r="A10" s="12"/>
      <c r="B10" s="13"/>
      <c r="C10" s="12"/>
      <c r="D10" s="8"/>
      <c r="E10" s="8"/>
      <c r="G10" s="12"/>
      <c r="H10" s="12" t="s">
        <v>41</v>
      </c>
      <c r="I10" s="12" t="s">
        <v>10</v>
      </c>
      <c r="J10" s="25">
        <f>J7-J5-J6+J8+J9</f>
        <v>40795</v>
      </c>
      <c r="K10" s="8"/>
      <c r="L10" s="8"/>
      <c r="M10" s="8"/>
    </row>
    <row r="11" spans="1:15" x14ac:dyDescent="0.25">
      <c r="A11" s="12"/>
      <c r="B11" s="12"/>
      <c r="D11" s="8"/>
      <c r="E11" s="8"/>
      <c r="G11" s="12"/>
      <c r="H11" s="13"/>
      <c r="I11" s="12" t="s">
        <v>38</v>
      </c>
      <c r="J11" s="25">
        <f>J10-J7</f>
        <v>-4752</v>
      </c>
      <c r="K11" s="8"/>
      <c r="L11" s="8"/>
      <c r="M11" s="8"/>
    </row>
    <row r="12" spans="1:15" x14ac:dyDescent="0.25">
      <c r="A12" s="12" t="s">
        <v>11</v>
      </c>
      <c r="B12" s="12" t="s">
        <v>12</v>
      </c>
      <c r="C12" s="7">
        <v>36617</v>
      </c>
      <c r="D12" s="8">
        <v>128457</v>
      </c>
      <c r="E12" s="8"/>
      <c r="G12" s="12"/>
      <c r="H12" s="13"/>
      <c r="I12" s="31" t="s">
        <v>42</v>
      </c>
      <c r="J12" s="26">
        <f>J11*H5</f>
        <v>-25423.199999999997</v>
      </c>
      <c r="K12" s="8"/>
      <c r="L12" s="8"/>
      <c r="M12" s="8"/>
    </row>
    <row r="13" spans="1:15" x14ac:dyDescent="0.25">
      <c r="A13" s="12" t="s">
        <v>44</v>
      </c>
      <c r="B13" s="13">
        <v>4.6500000000000004</v>
      </c>
      <c r="C13" s="7">
        <v>36647</v>
      </c>
      <c r="D13" s="8">
        <v>126134</v>
      </c>
      <c r="E13" s="8"/>
      <c r="G13" s="12"/>
      <c r="H13" s="13"/>
      <c r="I13" s="31" t="s">
        <v>43</v>
      </c>
      <c r="J13" s="26">
        <f>J9*J72</f>
        <v>-717.60000000000593</v>
      </c>
      <c r="K13" s="8"/>
      <c r="L13" s="8"/>
      <c r="M13" s="8"/>
      <c r="N13" s="8"/>
      <c r="O13" s="8"/>
    </row>
    <row r="14" spans="1:15" x14ac:dyDescent="0.25">
      <c r="A14" s="12" t="s">
        <v>26</v>
      </c>
      <c r="C14" s="7">
        <v>36678</v>
      </c>
      <c r="D14" s="8">
        <v>125126</v>
      </c>
      <c r="E14" s="8"/>
      <c r="G14" s="12"/>
      <c r="H14" s="13"/>
      <c r="I14" s="31"/>
      <c r="J14" s="8"/>
      <c r="K14" s="8"/>
      <c r="L14" s="8"/>
      <c r="M14" s="8"/>
    </row>
    <row r="15" spans="1:15" x14ac:dyDescent="0.25">
      <c r="A15" s="12"/>
      <c r="B15" s="12"/>
      <c r="C15" s="7">
        <v>36708</v>
      </c>
      <c r="D15" s="8">
        <v>124662</v>
      </c>
      <c r="E15" s="8"/>
      <c r="G15" s="12"/>
      <c r="H15" s="13"/>
      <c r="I15" s="31"/>
      <c r="J15" s="8"/>
      <c r="K15" s="8"/>
      <c r="L15" s="8"/>
      <c r="M15" s="8"/>
    </row>
    <row r="16" spans="1:15" x14ac:dyDescent="0.25">
      <c r="A16" s="12"/>
      <c r="B16" s="12" t="s">
        <v>40</v>
      </c>
      <c r="C16" s="12" t="s">
        <v>10</v>
      </c>
      <c r="D16" s="8">
        <v>504379</v>
      </c>
      <c r="E16" s="8"/>
      <c r="G16" s="12"/>
      <c r="H16" s="14"/>
      <c r="J16" s="8"/>
      <c r="L16" s="8"/>
      <c r="M16" s="23"/>
    </row>
    <row r="17" spans="1:15" x14ac:dyDescent="0.25">
      <c r="A17" s="12"/>
      <c r="C17" s="31" t="s">
        <v>43</v>
      </c>
      <c r="D17" s="26">
        <f>D15*J73</f>
        <v>-8726.3400000000347</v>
      </c>
      <c r="E17" s="23"/>
      <c r="G17" s="12" t="s">
        <v>13</v>
      </c>
      <c r="H17" s="12" t="s">
        <v>14</v>
      </c>
      <c r="I17" s="7">
        <v>36617</v>
      </c>
      <c r="J17" s="8">
        <v>21001</v>
      </c>
      <c r="K17" s="8"/>
      <c r="L17" s="8"/>
      <c r="M17" s="8"/>
    </row>
    <row r="18" spans="1:15" x14ac:dyDescent="0.25">
      <c r="A18" s="12"/>
      <c r="C18" s="31"/>
      <c r="D18" s="26"/>
      <c r="E18" s="23"/>
      <c r="G18" s="12" t="s">
        <v>44</v>
      </c>
      <c r="H18" s="13">
        <v>3.25</v>
      </c>
      <c r="I18" s="7">
        <v>36647</v>
      </c>
      <c r="J18" s="8">
        <v>73542</v>
      </c>
      <c r="K18" s="8"/>
      <c r="L18" s="23"/>
      <c r="M18" s="8"/>
    </row>
    <row r="19" spans="1:15" x14ac:dyDescent="0.25">
      <c r="A19" s="12"/>
      <c r="B19" s="13"/>
      <c r="C19" s="12"/>
      <c r="D19" s="8"/>
      <c r="E19" s="8"/>
      <c r="G19" s="12" t="s">
        <v>23</v>
      </c>
      <c r="I19" s="7">
        <v>36678</v>
      </c>
      <c r="J19" s="8">
        <v>213145</v>
      </c>
      <c r="K19" s="23"/>
      <c r="L19" s="8"/>
      <c r="M19" s="8"/>
    </row>
    <row r="20" spans="1:15" x14ac:dyDescent="0.25">
      <c r="A20" s="12"/>
      <c r="B20" s="12"/>
      <c r="D20" s="8"/>
      <c r="E20" s="8"/>
      <c r="G20" s="12"/>
      <c r="H20" s="12"/>
      <c r="I20" s="7">
        <v>36708</v>
      </c>
      <c r="J20" s="8">
        <v>143119</v>
      </c>
      <c r="K20" s="8"/>
      <c r="L20" s="8"/>
      <c r="M20" s="8"/>
    </row>
    <row r="21" spans="1:15" x14ac:dyDescent="0.25">
      <c r="A21" s="12" t="s">
        <v>11</v>
      </c>
      <c r="B21" s="12" t="s">
        <v>15</v>
      </c>
      <c r="C21" s="7">
        <v>36617</v>
      </c>
      <c r="D21" s="8">
        <v>1383</v>
      </c>
      <c r="E21" s="8"/>
      <c r="G21" s="12"/>
      <c r="H21" s="12" t="s">
        <v>40</v>
      </c>
      <c r="I21" s="12" t="s">
        <v>10</v>
      </c>
      <c r="J21" s="8">
        <v>450807</v>
      </c>
      <c r="K21" s="8"/>
      <c r="L21" s="8"/>
      <c r="M21" s="8"/>
      <c r="N21" s="8"/>
      <c r="O21" s="8"/>
    </row>
    <row r="22" spans="1:15" x14ac:dyDescent="0.25">
      <c r="A22" s="12" t="s">
        <v>44</v>
      </c>
      <c r="B22" s="13">
        <v>5</v>
      </c>
      <c r="C22" s="7">
        <v>36647</v>
      </c>
      <c r="D22" s="8">
        <v>2898</v>
      </c>
      <c r="E22" s="8"/>
      <c r="G22" s="12"/>
      <c r="I22" s="7">
        <v>36678</v>
      </c>
      <c r="J22" s="8">
        <v>230100</v>
      </c>
      <c r="K22" s="8"/>
      <c r="L22" s="8"/>
      <c r="M22" s="8"/>
    </row>
    <row r="23" spans="1:15" x14ac:dyDescent="0.25">
      <c r="A23" s="12" t="s">
        <v>27</v>
      </c>
      <c r="C23" s="7">
        <v>36678</v>
      </c>
      <c r="D23" s="8">
        <v>2871</v>
      </c>
      <c r="E23" s="8"/>
      <c r="F23" s="25"/>
      <c r="G23" s="12"/>
      <c r="H23" s="12" t="s">
        <v>41</v>
      </c>
      <c r="I23" s="12" t="s">
        <v>10</v>
      </c>
      <c r="J23" s="25">
        <f>J21-J19+J22</f>
        <v>467762</v>
      </c>
      <c r="K23" s="8"/>
      <c r="L23" s="8"/>
      <c r="M23" s="8"/>
    </row>
    <row r="24" spans="1:15" x14ac:dyDescent="0.25">
      <c r="A24" s="12"/>
      <c r="B24" s="12"/>
      <c r="C24" s="7">
        <v>36708</v>
      </c>
      <c r="D24" s="8">
        <v>2675</v>
      </c>
      <c r="E24" s="8"/>
      <c r="G24" s="12"/>
      <c r="H24" s="13"/>
      <c r="I24" s="12" t="s">
        <v>38</v>
      </c>
      <c r="J24" s="25">
        <f>J23-J21</f>
        <v>16955</v>
      </c>
      <c r="K24" s="8"/>
      <c r="L24" s="8"/>
      <c r="M24" s="23"/>
    </row>
    <row r="25" spans="1:15" x14ac:dyDescent="0.25">
      <c r="A25" s="12"/>
      <c r="B25" s="12" t="s">
        <v>40</v>
      </c>
      <c r="C25" s="12" t="s">
        <v>10</v>
      </c>
      <c r="D25" s="8">
        <v>9827</v>
      </c>
      <c r="E25" s="8"/>
      <c r="G25" s="12"/>
      <c r="H25" s="13"/>
      <c r="I25" s="31" t="s">
        <v>42</v>
      </c>
      <c r="J25" s="26">
        <f>J24*H18</f>
        <v>55103.75</v>
      </c>
      <c r="K25" s="8"/>
      <c r="L25" s="8"/>
      <c r="M25" s="8"/>
    </row>
    <row r="26" spans="1:15" x14ac:dyDescent="0.25">
      <c r="A26" s="12"/>
      <c r="B26" s="13"/>
      <c r="C26" s="31" t="s">
        <v>43</v>
      </c>
      <c r="D26" s="26">
        <f>D24*J74</f>
        <v>-214.0000000000002</v>
      </c>
      <c r="E26" s="25"/>
      <c r="G26" s="12"/>
      <c r="H26" s="13"/>
      <c r="I26" s="31" t="s">
        <v>43</v>
      </c>
      <c r="J26" s="26">
        <f>J20*J75</f>
        <v>-11449.519999999882</v>
      </c>
      <c r="K26" s="8"/>
      <c r="L26" s="8"/>
      <c r="M26" s="8"/>
    </row>
    <row r="27" spans="1:15" x14ac:dyDescent="0.25">
      <c r="A27" s="12"/>
      <c r="B27" s="13"/>
      <c r="C27" s="31"/>
      <c r="D27" s="26"/>
      <c r="E27" s="25"/>
      <c r="G27" s="12"/>
      <c r="H27" s="13"/>
      <c r="I27" s="12"/>
      <c r="J27" s="26"/>
      <c r="K27" s="8"/>
      <c r="L27" s="8"/>
      <c r="M27" s="8"/>
    </row>
    <row r="28" spans="1:15" x14ac:dyDescent="0.25">
      <c r="A28" s="12"/>
      <c r="B28" s="13"/>
      <c r="C28" s="31"/>
      <c r="D28" s="26"/>
      <c r="E28" s="25"/>
      <c r="G28" s="12"/>
      <c r="H28" s="13"/>
      <c r="I28" s="12"/>
      <c r="J28" s="25"/>
      <c r="K28" s="8"/>
      <c r="L28" s="23"/>
      <c r="M28" s="8"/>
    </row>
    <row r="29" spans="1:15" x14ac:dyDescent="0.25">
      <c r="A29" s="12"/>
      <c r="B29" s="12"/>
      <c r="D29" s="8"/>
      <c r="E29" s="8"/>
      <c r="F29" s="25"/>
      <c r="G29" s="12"/>
      <c r="H29" s="12"/>
      <c r="J29" s="8"/>
      <c r="L29" s="8"/>
      <c r="M29" s="8"/>
      <c r="N29" s="8"/>
      <c r="O29" s="8"/>
    </row>
    <row r="30" spans="1:15" x14ac:dyDescent="0.25">
      <c r="A30" s="12" t="s">
        <v>11</v>
      </c>
      <c r="B30" s="12" t="s">
        <v>17</v>
      </c>
      <c r="C30" s="7">
        <v>36617</v>
      </c>
      <c r="D30" s="8">
        <v>53989</v>
      </c>
      <c r="E30" s="8"/>
      <c r="G30" s="12" t="s">
        <v>16</v>
      </c>
      <c r="H30" s="12" t="s">
        <v>14</v>
      </c>
      <c r="I30" s="7">
        <v>36617</v>
      </c>
      <c r="J30" s="8">
        <v>8672</v>
      </c>
      <c r="L30" s="8"/>
      <c r="M30" s="8"/>
    </row>
    <row r="31" spans="1:15" x14ac:dyDescent="0.25">
      <c r="A31" s="12" t="s">
        <v>44</v>
      </c>
      <c r="B31" s="13">
        <v>4.08</v>
      </c>
      <c r="C31" s="7">
        <v>36647</v>
      </c>
      <c r="D31" s="8">
        <v>57051</v>
      </c>
      <c r="E31" s="8"/>
      <c r="G31" s="12" t="s">
        <v>44</v>
      </c>
      <c r="H31" s="13">
        <v>3.79</v>
      </c>
      <c r="I31" s="7">
        <v>36647</v>
      </c>
      <c r="J31" s="8">
        <v>8564</v>
      </c>
      <c r="K31" s="8"/>
      <c r="L31" s="8"/>
      <c r="M31" s="8"/>
    </row>
    <row r="32" spans="1:15" x14ac:dyDescent="0.25">
      <c r="A32" s="12" t="s">
        <v>27</v>
      </c>
      <c r="B32" s="13"/>
      <c r="C32" s="7">
        <v>36678</v>
      </c>
      <c r="D32" s="8">
        <v>56509</v>
      </c>
      <c r="E32" s="8"/>
      <c r="G32" s="12" t="s">
        <v>24</v>
      </c>
      <c r="I32" s="7">
        <v>36678</v>
      </c>
      <c r="J32" s="8">
        <v>10460</v>
      </c>
      <c r="K32" s="23"/>
      <c r="L32" s="8"/>
      <c r="M32" s="8"/>
    </row>
    <row r="33" spans="1:15" x14ac:dyDescent="0.25">
      <c r="A33" s="12"/>
      <c r="B33" s="12"/>
      <c r="C33" s="7">
        <v>36708</v>
      </c>
      <c r="D33" s="8">
        <v>52660</v>
      </c>
      <c r="E33" s="8"/>
      <c r="G33" s="12"/>
      <c r="H33" s="12"/>
      <c r="I33" s="7">
        <v>36708</v>
      </c>
      <c r="J33" s="8">
        <v>10540</v>
      </c>
      <c r="K33" s="8"/>
      <c r="L33" s="8"/>
      <c r="M33" s="8"/>
    </row>
    <row r="34" spans="1:15" x14ac:dyDescent="0.25">
      <c r="A34" s="12"/>
      <c r="B34" s="12" t="s">
        <v>40</v>
      </c>
      <c r="C34" s="12" t="s">
        <v>10</v>
      </c>
      <c r="D34" s="8">
        <v>220209</v>
      </c>
      <c r="E34" s="8"/>
      <c r="G34" s="12"/>
      <c r="H34" s="12" t="s">
        <v>40</v>
      </c>
      <c r="I34" s="12" t="s">
        <v>10</v>
      </c>
      <c r="J34" s="8">
        <v>38236</v>
      </c>
      <c r="K34" s="8"/>
      <c r="L34" s="8"/>
      <c r="M34" s="8"/>
    </row>
    <row r="35" spans="1:15" x14ac:dyDescent="0.25">
      <c r="C35" s="31" t="s">
        <v>43</v>
      </c>
      <c r="D35" s="26">
        <f>D33*J74</f>
        <v>-4212.8000000000038</v>
      </c>
      <c r="E35" s="8"/>
      <c r="G35" s="12"/>
      <c r="I35" s="7">
        <v>36678</v>
      </c>
      <c r="J35" s="8">
        <v>10895</v>
      </c>
      <c r="K35" s="8"/>
      <c r="L35" s="8"/>
      <c r="M35" s="8"/>
    </row>
    <row r="36" spans="1:15" x14ac:dyDescent="0.25">
      <c r="D36" s="8"/>
      <c r="E36" s="8"/>
      <c r="G36" s="12"/>
      <c r="H36" s="13"/>
      <c r="I36" s="7">
        <v>36708</v>
      </c>
      <c r="J36" s="8">
        <v>10920</v>
      </c>
      <c r="K36" s="8"/>
      <c r="L36" s="8"/>
      <c r="M36" s="8"/>
    </row>
    <row r="37" spans="1:15" x14ac:dyDescent="0.25">
      <c r="D37" s="8"/>
      <c r="E37" s="8"/>
      <c r="G37" s="12"/>
      <c r="H37" s="12" t="s">
        <v>41</v>
      </c>
      <c r="I37" s="12" t="s">
        <v>10</v>
      </c>
      <c r="J37" s="25">
        <f>J34-J32-J33+J35+J36</f>
        <v>39051</v>
      </c>
      <c r="L37" s="8"/>
      <c r="M37" s="8"/>
      <c r="N37" s="8"/>
      <c r="O37" s="8"/>
    </row>
    <row r="38" spans="1:15" ht="13.8" thickBot="1" x14ac:dyDescent="0.3">
      <c r="D38" s="8"/>
      <c r="E38" s="8"/>
      <c r="G38" s="12"/>
      <c r="H38" s="12"/>
      <c r="I38" s="12" t="s">
        <v>38</v>
      </c>
      <c r="J38" s="25">
        <f>J37-J34</f>
        <v>815</v>
      </c>
      <c r="K38" s="8"/>
      <c r="L38" s="8"/>
      <c r="M38" s="8"/>
    </row>
    <row r="39" spans="1:15" x14ac:dyDescent="0.25">
      <c r="B39" s="36" t="s">
        <v>21</v>
      </c>
      <c r="C39" s="16">
        <v>28896973.710000005</v>
      </c>
      <c r="D39" s="17"/>
      <c r="E39" s="27"/>
      <c r="G39" s="12"/>
      <c r="H39" s="12"/>
      <c r="I39" s="31" t="s">
        <v>42</v>
      </c>
      <c r="J39" s="26">
        <f>J38*H31</f>
        <v>3088.85</v>
      </c>
      <c r="K39" s="8"/>
      <c r="L39" s="8"/>
      <c r="M39" s="8"/>
    </row>
    <row r="40" spans="1:15" x14ac:dyDescent="0.25">
      <c r="A40" s="9"/>
      <c r="B40" s="37" t="s">
        <v>42</v>
      </c>
      <c r="C40" s="26">
        <f>J12+J25+J39+J53+J66</f>
        <v>-7906.1799999999967</v>
      </c>
      <c r="D40" s="38"/>
      <c r="E40" s="27"/>
      <c r="G40" s="12"/>
      <c r="H40" s="12"/>
      <c r="I40" s="31" t="s">
        <v>43</v>
      </c>
      <c r="J40" s="26">
        <f>J36*J76</f>
        <v>-764.40000000000305</v>
      </c>
      <c r="K40" s="8"/>
      <c r="L40" s="8"/>
      <c r="M40" s="23"/>
      <c r="O40" s="8"/>
    </row>
    <row r="41" spans="1:15" x14ac:dyDescent="0.25">
      <c r="B41" s="37" t="s">
        <v>43</v>
      </c>
      <c r="C41" s="26">
        <f>D8+D17+D26+D35+J13+J26+J40+J67</f>
        <v>-101091.69000000051</v>
      </c>
      <c r="D41" s="38"/>
      <c r="G41" s="12"/>
      <c r="H41" s="12"/>
      <c r="I41" s="31"/>
      <c r="J41" s="26"/>
      <c r="K41" s="8"/>
      <c r="L41" s="8"/>
      <c r="M41" s="8"/>
    </row>
    <row r="42" spans="1:15" x14ac:dyDescent="0.25">
      <c r="B42" s="37" t="s">
        <v>39</v>
      </c>
      <c r="C42" s="26">
        <f>SUM(C39:C41)</f>
        <v>28787975.840000004</v>
      </c>
      <c r="D42" s="38"/>
      <c r="G42" s="12"/>
      <c r="H42" s="12"/>
      <c r="I42" s="31"/>
      <c r="J42" s="26"/>
      <c r="K42" s="8"/>
      <c r="L42" s="8"/>
      <c r="M42" s="8"/>
    </row>
    <row r="43" spans="1:15" x14ac:dyDescent="0.25">
      <c r="B43" s="37" t="s">
        <v>22</v>
      </c>
      <c r="C43" s="28">
        <v>6392503</v>
      </c>
      <c r="D43" s="38" t="s">
        <v>20</v>
      </c>
      <c r="E43" s="27"/>
      <c r="G43" s="12"/>
      <c r="H43" s="12"/>
      <c r="I43" s="12"/>
      <c r="J43" s="25"/>
      <c r="K43" s="8"/>
      <c r="L43" s="8"/>
      <c r="M43" s="8"/>
    </row>
    <row r="44" spans="1:15" x14ac:dyDescent="0.25">
      <c r="B44" s="37" t="s">
        <v>37</v>
      </c>
      <c r="C44" s="28">
        <f>C43-J5+J8-J6+J9-J19+J22-J32+J35-J33+J36-J46+J49-J47+J50-J59-J60+J62+J63</f>
        <v>6396896</v>
      </c>
      <c r="D44" s="38" t="s">
        <v>20</v>
      </c>
      <c r="E44" s="27"/>
      <c r="G44" s="12" t="s">
        <v>11</v>
      </c>
      <c r="H44" s="12" t="s">
        <v>18</v>
      </c>
      <c r="I44" s="7">
        <v>36617</v>
      </c>
      <c r="J44" s="8">
        <v>247492</v>
      </c>
      <c r="K44" s="8"/>
      <c r="L44" s="8"/>
      <c r="M44" s="8"/>
    </row>
    <row r="45" spans="1:15" ht="13.8" thickBot="1" x14ac:dyDescent="0.3">
      <c r="B45" s="39" t="s">
        <v>38</v>
      </c>
      <c r="C45" s="19">
        <f>C44-C43</f>
        <v>4393</v>
      </c>
      <c r="D45" s="20" t="s">
        <v>20</v>
      </c>
      <c r="E45" s="27"/>
      <c r="G45" s="12" t="s">
        <v>44</v>
      </c>
      <c r="H45" s="13">
        <v>3.54</v>
      </c>
      <c r="I45" s="7">
        <v>36647</v>
      </c>
      <c r="J45" s="8">
        <v>25333</v>
      </c>
      <c r="K45" s="8"/>
      <c r="L45" s="8"/>
      <c r="M45" s="8"/>
    </row>
    <row r="46" spans="1:15" x14ac:dyDescent="0.25">
      <c r="D46" s="10"/>
      <c r="E46" s="10"/>
      <c r="G46" s="12"/>
      <c r="H46" s="12"/>
      <c r="I46" s="7">
        <v>36678</v>
      </c>
      <c r="J46" s="8">
        <v>24216</v>
      </c>
      <c r="K46" s="8"/>
      <c r="L46" s="23"/>
      <c r="M46" s="8"/>
    </row>
    <row r="47" spans="1:15" x14ac:dyDescent="0.25">
      <c r="D47" s="10"/>
      <c r="E47" s="10"/>
      <c r="G47" s="12"/>
      <c r="H47" s="12"/>
      <c r="I47" s="7">
        <v>36708</v>
      </c>
      <c r="J47" s="8">
        <v>-7068</v>
      </c>
      <c r="K47" s="8"/>
      <c r="L47" s="8"/>
      <c r="M47" s="8"/>
    </row>
    <row r="48" spans="1:15" x14ac:dyDescent="0.25">
      <c r="C48" s="40"/>
      <c r="D48" s="10"/>
      <c r="E48" s="10"/>
      <c r="G48" s="12"/>
      <c r="H48" s="12" t="s">
        <v>40</v>
      </c>
      <c r="I48" s="12" t="s">
        <v>10</v>
      </c>
      <c r="J48" s="8">
        <v>289973</v>
      </c>
      <c r="K48" s="8"/>
      <c r="L48" s="8"/>
    </row>
    <row r="49" spans="1:12" x14ac:dyDescent="0.25">
      <c r="D49" s="10"/>
      <c r="E49" s="10"/>
      <c r="G49" s="12"/>
      <c r="H49" s="13"/>
      <c r="I49" s="7">
        <v>36678</v>
      </c>
      <c r="J49" s="8">
        <v>24245</v>
      </c>
      <c r="K49" s="8"/>
      <c r="L49" s="8"/>
    </row>
    <row r="50" spans="1:12" x14ac:dyDescent="0.25">
      <c r="D50" s="10"/>
      <c r="E50" s="10"/>
      <c r="G50" s="12"/>
      <c r="H50" s="12"/>
      <c r="I50" s="7">
        <v>36708</v>
      </c>
      <c r="J50" s="8">
        <v>-7408</v>
      </c>
      <c r="K50" s="8"/>
      <c r="L50" s="8"/>
    </row>
    <row r="51" spans="1:12" x14ac:dyDescent="0.25">
      <c r="C51" s="23"/>
      <c r="D51" s="10"/>
      <c r="E51" s="10"/>
      <c r="G51" s="12"/>
      <c r="H51" s="12" t="s">
        <v>41</v>
      </c>
      <c r="I51" s="12" t="s">
        <v>10</v>
      </c>
      <c r="J51" s="25">
        <f>J48-J46-J47+J49+J50</f>
        <v>289662</v>
      </c>
      <c r="K51" s="23"/>
      <c r="L51" s="8"/>
    </row>
    <row r="52" spans="1:12" x14ac:dyDescent="0.25">
      <c r="A52" s="21"/>
      <c r="G52" s="12"/>
      <c r="H52" s="12"/>
      <c r="I52" s="12" t="s">
        <v>38</v>
      </c>
      <c r="J52" s="25">
        <f>J51-J48</f>
        <v>-311</v>
      </c>
      <c r="K52" s="8"/>
      <c r="L52" s="8"/>
    </row>
    <row r="53" spans="1:12" x14ac:dyDescent="0.25">
      <c r="A53" s="21"/>
      <c r="G53" s="12"/>
      <c r="H53" s="12"/>
      <c r="I53" s="31" t="s">
        <v>42</v>
      </c>
      <c r="J53" s="26">
        <f>J52*H45</f>
        <v>-1100.94</v>
      </c>
      <c r="K53" s="8"/>
      <c r="L53" s="8"/>
    </row>
    <row r="54" spans="1:12" x14ac:dyDescent="0.25">
      <c r="A54" s="21"/>
      <c r="G54" s="12"/>
      <c r="H54" s="12"/>
      <c r="I54" s="31"/>
      <c r="J54" s="26"/>
      <c r="K54" s="8"/>
    </row>
    <row r="55" spans="1:12" x14ac:dyDescent="0.25">
      <c r="A55" s="21"/>
      <c r="G55" s="12"/>
      <c r="H55" s="12"/>
      <c r="I55" s="31"/>
      <c r="J55" s="26"/>
      <c r="K55" s="8"/>
    </row>
    <row r="56" spans="1:12" x14ac:dyDescent="0.25">
      <c r="A56" s="21"/>
      <c r="G56" s="12"/>
      <c r="H56" s="12"/>
      <c r="J56" s="8"/>
      <c r="K56" s="8"/>
    </row>
    <row r="57" spans="1:12" x14ac:dyDescent="0.25">
      <c r="G57" s="12" t="s">
        <v>11</v>
      </c>
      <c r="H57" s="12" t="s">
        <v>19</v>
      </c>
      <c r="I57" s="7">
        <v>36617</v>
      </c>
      <c r="J57" s="8">
        <v>254713</v>
      </c>
      <c r="K57" s="8"/>
    </row>
    <row r="58" spans="1:12" x14ac:dyDescent="0.25">
      <c r="A58" s="21"/>
      <c r="G58" s="12" t="s">
        <v>44</v>
      </c>
      <c r="H58" s="13">
        <v>4.76</v>
      </c>
      <c r="I58" s="7">
        <v>36647</v>
      </c>
      <c r="J58" s="8">
        <v>185014</v>
      </c>
      <c r="K58" s="8"/>
    </row>
    <row r="59" spans="1:12" x14ac:dyDescent="0.25">
      <c r="A59" s="21"/>
      <c r="G59" s="12" t="s">
        <v>26</v>
      </c>
      <c r="H59" s="13"/>
      <c r="I59" s="7">
        <v>36678</v>
      </c>
      <c r="J59" s="8">
        <v>195432</v>
      </c>
      <c r="K59" s="8"/>
    </row>
    <row r="60" spans="1:12" x14ac:dyDescent="0.25">
      <c r="A60" s="21"/>
      <c r="G60" s="12"/>
      <c r="H60" s="12"/>
      <c r="I60" s="7">
        <v>36708</v>
      </c>
      <c r="J60" s="8">
        <v>144460</v>
      </c>
      <c r="K60" s="8"/>
    </row>
    <row r="61" spans="1:12" x14ac:dyDescent="0.25">
      <c r="A61" s="21"/>
      <c r="G61" s="12"/>
      <c r="H61" s="12" t="s">
        <v>40</v>
      </c>
      <c r="I61" s="12" t="s">
        <v>10</v>
      </c>
      <c r="J61" s="8">
        <v>779619</v>
      </c>
      <c r="K61" s="8"/>
    </row>
    <row r="62" spans="1:12" x14ac:dyDescent="0.25">
      <c r="A62" s="21"/>
      <c r="G62" s="12"/>
      <c r="I62" s="7">
        <v>36678</v>
      </c>
      <c r="J62" s="8">
        <v>193571</v>
      </c>
      <c r="K62" s="8"/>
    </row>
    <row r="63" spans="1:12" x14ac:dyDescent="0.25">
      <c r="I63" s="7">
        <v>36708</v>
      </c>
      <c r="J63" s="8">
        <v>138007</v>
      </c>
      <c r="K63" s="8"/>
    </row>
    <row r="64" spans="1:12" x14ac:dyDescent="0.25">
      <c r="H64" s="12" t="s">
        <v>41</v>
      </c>
      <c r="I64" s="12" t="s">
        <v>10</v>
      </c>
      <c r="J64" s="25">
        <f>J61-J59-J60+J62+J63</f>
        <v>771305</v>
      </c>
      <c r="K64" s="8"/>
    </row>
    <row r="65" spans="2:11" x14ac:dyDescent="0.25">
      <c r="I65" s="12" t="s">
        <v>38</v>
      </c>
      <c r="J65" s="25">
        <f>J64-J61</f>
        <v>-8314</v>
      </c>
      <c r="K65" s="8"/>
    </row>
    <row r="66" spans="2:11" x14ac:dyDescent="0.25">
      <c r="I66" s="31" t="s">
        <v>42</v>
      </c>
      <c r="J66" s="26">
        <f>J65*H58</f>
        <v>-39574.639999999999</v>
      </c>
      <c r="K66" s="8"/>
    </row>
    <row r="67" spans="2:11" x14ac:dyDescent="0.25">
      <c r="I67" s="31" t="s">
        <v>43</v>
      </c>
      <c r="J67" s="26">
        <f>J63*J73</f>
        <v>-9660.4900000000398</v>
      </c>
      <c r="K67" s="8"/>
    </row>
    <row r="68" spans="2:11" x14ac:dyDescent="0.25">
      <c r="I68" s="31"/>
      <c r="J68" s="26"/>
      <c r="K68" s="8"/>
    </row>
    <row r="69" spans="2:11" x14ac:dyDescent="0.25">
      <c r="I69" s="31"/>
      <c r="J69" s="26"/>
      <c r="K69" s="8"/>
    </row>
    <row r="70" spans="2:11" x14ac:dyDescent="0.25">
      <c r="B70" s="21" t="s">
        <v>28</v>
      </c>
      <c r="I70" s="12"/>
      <c r="J70" s="25"/>
      <c r="K70" s="8"/>
    </row>
    <row r="71" spans="2:11" x14ac:dyDescent="0.25">
      <c r="H71" s="29" t="s">
        <v>35</v>
      </c>
      <c r="I71" s="30" t="s">
        <v>36</v>
      </c>
      <c r="J71" s="30" t="s">
        <v>38</v>
      </c>
      <c r="K71" s="8"/>
    </row>
    <row r="72" spans="2:11" x14ac:dyDescent="0.25">
      <c r="G72" s="9" t="s">
        <v>29</v>
      </c>
      <c r="H72" s="13">
        <v>4.58</v>
      </c>
      <c r="I72" s="13">
        <v>4.5199999999999996</v>
      </c>
      <c r="J72" s="13">
        <f>I72-H72</f>
        <v>-6.0000000000000497E-2</v>
      </c>
      <c r="K72" s="8"/>
    </row>
    <row r="73" spans="2:11" x14ac:dyDescent="0.25">
      <c r="G73" s="9" t="s">
        <v>45</v>
      </c>
      <c r="H73" s="13">
        <v>4.42</v>
      </c>
      <c r="I73" s="13">
        <v>4.3499999999999996</v>
      </c>
      <c r="J73" s="13">
        <f>I73-H73</f>
        <v>-7.0000000000000284E-2</v>
      </c>
      <c r="K73" s="8"/>
    </row>
    <row r="74" spans="2:11" x14ac:dyDescent="0.25">
      <c r="G74" s="9" t="s">
        <v>46</v>
      </c>
      <c r="H74" s="13">
        <v>4.4400000000000004</v>
      </c>
      <c r="I74" s="13">
        <v>4.3600000000000003</v>
      </c>
      <c r="J74" s="13">
        <f>I74-H74</f>
        <v>-8.0000000000000071E-2</v>
      </c>
      <c r="K74" s="8"/>
    </row>
    <row r="75" spans="2:11" x14ac:dyDescent="0.25">
      <c r="G75" s="9" t="s">
        <v>30</v>
      </c>
      <c r="H75" s="13">
        <v>4.5599999999999996</v>
      </c>
      <c r="I75" s="13">
        <v>4.4800000000000004</v>
      </c>
      <c r="J75" s="13">
        <f>I75-H75</f>
        <v>-7.9999999999999183E-2</v>
      </c>
    </row>
    <row r="76" spans="2:11" x14ac:dyDescent="0.25">
      <c r="G76" s="9" t="s">
        <v>31</v>
      </c>
      <c r="H76" s="13">
        <v>4.5</v>
      </c>
      <c r="I76" s="13">
        <v>4.43</v>
      </c>
      <c r="J76" s="13">
        <f>I76-H76</f>
        <v>-7.0000000000000284E-2</v>
      </c>
    </row>
    <row r="80" spans="2:11" x14ac:dyDescent="0.25">
      <c r="H80" s="11"/>
      <c r="I80" s="11"/>
    </row>
  </sheetData>
  <printOptions horizontalCentered="1"/>
  <pageMargins left="0.75" right="0.75" top="1" bottom="1" header="0.5" footer="0.5"/>
  <pageSetup scale="6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5:H42"/>
  <sheetViews>
    <sheetView topLeftCell="A11" workbookViewId="0">
      <selection activeCell="I15" sqref="I15"/>
    </sheetView>
  </sheetViews>
  <sheetFormatPr defaultRowHeight="13.2" x14ac:dyDescent="0.25"/>
  <sheetData>
    <row r="15" spans="3:7" x14ac:dyDescent="0.25">
      <c r="F15" t="s">
        <v>53</v>
      </c>
      <c r="G15" t="s">
        <v>54</v>
      </c>
    </row>
    <row r="16" spans="3:7" x14ac:dyDescent="0.25">
      <c r="C16" t="s">
        <v>55</v>
      </c>
      <c r="E16" t="s">
        <v>56</v>
      </c>
      <c r="F16">
        <v>2</v>
      </c>
      <c r="G16">
        <v>1000</v>
      </c>
    </row>
    <row r="17" spans="3:8" x14ac:dyDescent="0.25">
      <c r="E17" t="s">
        <v>57</v>
      </c>
      <c r="F17">
        <v>2.2000000000000002</v>
      </c>
      <c r="G17">
        <v>900</v>
      </c>
    </row>
    <row r="18" spans="3:8" x14ac:dyDescent="0.25">
      <c r="E18" t="s">
        <v>58</v>
      </c>
      <c r="F18">
        <v>2.35</v>
      </c>
      <c r="G18">
        <v>950</v>
      </c>
    </row>
    <row r="19" spans="3:8" x14ac:dyDescent="0.25">
      <c r="E19" s="6" t="s">
        <v>59</v>
      </c>
      <c r="F19" s="6">
        <v>2.4</v>
      </c>
      <c r="G19" s="6">
        <v>1050</v>
      </c>
    </row>
    <row r="20" spans="3:8" x14ac:dyDescent="0.25">
      <c r="E20">
        <f>SUMPRODUCT(F16:F19,G16:G19)</f>
        <v>8732.5</v>
      </c>
      <c r="F20">
        <f>E20/G20</f>
        <v>2.2391025641025641</v>
      </c>
      <c r="G20">
        <f>SUM(G16:G19)</f>
        <v>3900</v>
      </c>
    </row>
    <row r="24" spans="3:8" x14ac:dyDescent="0.25">
      <c r="C24" t="s">
        <v>60</v>
      </c>
      <c r="E24" t="s">
        <v>56</v>
      </c>
      <c r="F24">
        <v>2</v>
      </c>
      <c r="G24">
        <v>1000</v>
      </c>
    </row>
    <row r="25" spans="3:8" x14ac:dyDescent="0.25">
      <c r="E25" t="s">
        <v>57</v>
      </c>
      <c r="F25">
        <v>2.2000000000000002</v>
      </c>
      <c r="G25">
        <v>900</v>
      </c>
    </row>
    <row r="26" spans="3:8" x14ac:dyDescent="0.25">
      <c r="E26" t="s">
        <v>58</v>
      </c>
      <c r="F26">
        <v>2.35</v>
      </c>
      <c r="G26">
        <v>950</v>
      </c>
    </row>
    <row r="27" spans="3:8" x14ac:dyDescent="0.25">
      <c r="E27" s="6" t="s">
        <v>59</v>
      </c>
      <c r="F27" s="6">
        <v>2.2999999999999998</v>
      </c>
      <c r="G27" s="6">
        <v>1060</v>
      </c>
    </row>
    <row r="28" spans="3:8" x14ac:dyDescent="0.25">
      <c r="E28">
        <f>SUMPRODUCT(F24:F27,G24:G27)</f>
        <v>8650.5</v>
      </c>
      <c r="F28">
        <f>E28/G28</f>
        <v>2.212404092071611</v>
      </c>
      <c r="G28">
        <f>SUM(G24:G27)</f>
        <v>3910</v>
      </c>
    </row>
    <row r="30" spans="3:8" x14ac:dyDescent="0.25">
      <c r="E30">
        <f>E28-E20</f>
        <v>-82</v>
      </c>
      <c r="G30">
        <f>10*F20</f>
        <v>22.391025641025642</v>
      </c>
    </row>
    <row r="31" spans="3:8" x14ac:dyDescent="0.25">
      <c r="G31">
        <f>G27*-0.1</f>
        <v>-106</v>
      </c>
    </row>
    <row r="32" spans="3:8" x14ac:dyDescent="0.25">
      <c r="G32">
        <f>G31+G30</f>
        <v>-83.608974358974365</v>
      </c>
      <c r="H32" s="44">
        <f>E20+G32</f>
        <v>8648.8910256410254</v>
      </c>
    </row>
    <row r="34" spans="3:8" x14ac:dyDescent="0.25">
      <c r="C34" t="s">
        <v>61</v>
      </c>
      <c r="E34" t="s">
        <v>56</v>
      </c>
      <c r="F34">
        <v>2</v>
      </c>
      <c r="G34">
        <v>1000</v>
      </c>
    </row>
    <row r="35" spans="3:8" x14ac:dyDescent="0.25">
      <c r="E35" t="s">
        <v>57</v>
      </c>
      <c r="F35">
        <v>2.2000000000000002</v>
      </c>
      <c r="G35">
        <v>900</v>
      </c>
    </row>
    <row r="36" spans="3:8" x14ac:dyDescent="0.25">
      <c r="E36" t="s">
        <v>58</v>
      </c>
      <c r="F36">
        <v>2.35</v>
      </c>
      <c r="G36">
        <v>950</v>
      </c>
    </row>
    <row r="37" spans="3:8" x14ac:dyDescent="0.25">
      <c r="E37" s="6" t="s">
        <v>59</v>
      </c>
      <c r="F37" s="6">
        <v>2.2999999999999998</v>
      </c>
      <c r="G37" s="6">
        <v>1070</v>
      </c>
    </row>
    <row r="38" spans="3:8" x14ac:dyDescent="0.25">
      <c r="E38">
        <f>SUMPRODUCT(F34:F37,G34:G37)</f>
        <v>8673.5</v>
      </c>
      <c r="F38">
        <f>E38/G38</f>
        <v>2.2126275510204083</v>
      </c>
      <c r="G38">
        <f>SUM(G34:G37)</f>
        <v>3920</v>
      </c>
    </row>
    <row r="40" spans="3:8" x14ac:dyDescent="0.25">
      <c r="E40" s="44">
        <f>E38-E28</f>
        <v>23</v>
      </c>
      <c r="G40">
        <f>10*F20</f>
        <v>22.391025641025642</v>
      </c>
    </row>
    <row r="41" spans="3:8" x14ac:dyDescent="0.25">
      <c r="G41">
        <f>10*-0.1</f>
        <v>-1</v>
      </c>
    </row>
    <row r="42" spans="3:8" x14ac:dyDescent="0.25">
      <c r="G42">
        <f>G40+G41</f>
        <v>21.391025641025642</v>
      </c>
      <c r="H42" s="44">
        <f>H32+G42</f>
        <v>8670.2820512820508</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workbookViewId="0">
      <selection activeCell="H23" sqref="H23"/>
    </sheetView>
  </sheetViews>
  <sheetFormatPr defaultRowHeight="13.2" x14ac:dyDescent="0.25"/>
  <cols>
    <col min="1" max="1" width="7.44140625" customWidth="1"/>
    <col min="2" max="2" width="11.6640625" customWidth="1"/>
    <col min="3" max="3" width="13.6640625" customWidth="1"/>
    <col min="4" max="4" width="10.109375" bestFit="1" customWidth="1"/>
    <col min="5" max="5" width="10.6640625" customWidth="1"/>
    <col min="6" max="6" width="2.6640625" customWidth="1"/>
    <col min="7" max="7" width="12.33203125" customWidth="1"/>
    <col min="8" max="8" width="9.6640625" customWidth="1"/>
    <col min="9" max="9" width="10.33203125" customWidth="1"/>
    <col min="10" max="10" width="2.5546875" customWidth="1"/>
    <col min="11" max="11" width="13.109375" customWidth="1"/>
    <col min="12" max="12" width="11.44140625" customWidth="1"/>
    <col min="14" max="14" width="2.44140625" customWidth="1"/>
    <col min="15" max="15" width="11.44140625" customWidth="1"/>
  </cols>
  <sheetData>
    <row r="1" spans="1:17" ht="15.6" x14ac:dyDescent="0.3">
      <c r="B1" s="45" t="s">
        <v>62</v>
      </c>
      <c r="C1" s="45"/>
    </row>
    <row r="3" spans="1:17" x14ac:dyDescent="0.25">
      <c r="B3" s="56" t="s">
        <v>88</v>
      </c>
    </row>
    <row r="4" spans="1:17" ht="16.2" thickBot="1" x14ac:dyDescent="0.35">
      <c r="C4" s="58" t="s">
        <v>63</v>
      </c>
      <c r="D4" s="58"/>
      <c r="E4" s="58"/>
      <c r="G4" s="58" t="s">
        <v>64</v>
      </c>
      <c r="H4" s="58"/>
      <c r="I4" s="58"/>
      <c r="K4" s="58" t="s">
        <v>65</v>
      </c>
      <c r="L4" s="58"/>
      <c r="M4" s="58"/>
      <c r="O4" s="58" t="s">
        <v>66</v>
      </c>
      <c r="P4" s="58"/>
      <c r="Q4" s="58"/>
    </row>
    <row r="5" spans="1:17" x14ac:dyDescent="0.25">
      <c r="C5" s="60" t="s">
        <v>67</v>
      </c>
      <c r="D5" s="60"/>
      <c r="E5" s="60"/>
      <c r="G5" s="60"/>
      <c r="H5" s="60"/>
      <c r="I5" s="60"/>
    </row>
    <row r="6" spans="1:17" x14ac:dyDescent="0.25">
      <c r="B6" s="46" t="s">
        <v>68</v>
      </c>
      <c r="C6" s="47" t="s">
        <v>69</v>
      </c>
      <c r="D6" s="46" t="s">
        <v>70</v>
      </c>
      <c r="E6" s="46" t="s">
        <v>71</v>
      </c>
      <c r="G6" s="47" t="s">
        <v>69</v>
      </c>
      <c r="H6" s="46" t="s">
        <v>72</v>
      </c>
      <c r="I6" s="46" t="s">
        <v>70</v>
      </c>
      <c r="K6" s="47" t="s">
        <v>69</v>
      </c>
      <c r="L6" s="46" t="s">
        <v>72</v>
      </c>
      <c r="M6" s="46" t="s">
        <v>70</v>
      </c>
      <c r="O6" s="47" t="s">
        <v>69</v>
      </c>
      <c r="P6" s="46" t="s">
        <v>72</v>
      </c>
      <c r="Q6" s="46" t="s">
        <v>70</v>
      </c>
    </row>
    <row r="7" spans="1:17" x14ac:dyDescent="0.25">
      <c r="B7" s="48" t="s">
        <v>73</v>
      </c>
      <c r="C7" s="49">
        <v>170981</v>
      </c>
      <c r="D7" s="50" t="s">
        <v>74</v>
      </c>
      <c r="E7" s="50" t="s">
        <v>74</v>
      </c>
      <c r="F7" s="51"/>
      <c r="G7" s="49">
        <v>981</v>
      </c>
      <c r="H7" s="50" t="s">
        <v>74</v>
      </c>
      <c r="I7" s="50" t="s">
        <v>74</v>
      </c>
      <c r="J7" s="51"/>
      <c r="K7" s="49">
        <v>53989</v>
      </c>
      <c r="L7" s="50" t="s">
        <v>74</v>
      </c>
      <c r="M7" s="50" t="s">
        <v>74</v>
      </c>
      <c r="N7" s="51"/>
      <c r="O7" s="49">
        <v>291</v>
      </c>
      <c r="P7" s="50" t="s">
        <v>74</v>
      </c>
      <c r="Q7" s="50" t="s">
        <v>74</v>
      </c>
    </row>
    <row r="8" spans="1:17" ht="18.75" customHeight="1" x14ac:dyDescent="0.25">
      <c r="A8" s="59" t="s">
        <v>75</v>
      </c>
      <c r="B8" s="52">
        <v>36617</v>
      </c>
      <c r="C8" s="12" t="s">
        <v>47</v>
      </c>
      <c r="D8" s="12" t="s">
        <v>47</v>
      </c>
      <c r="E8" s="12" t="s">
        <v>47</v>
      </c>
      <c r="G8" s="12" t="s">
        <v>47</v>
      </c>
      <c r="H8" s="12" t="s">
        <v>47</v>
      </c>
      <c r="I8" s="12" t="s">
        <v>47</v>
      </c>
      <c r="K8" t="s">
        <v>76</v>
      </c>
      <c r="O8" s="12" t="s">
        <v>47</v>
      </c>
      <c r="P8" s="12" t="s">
        <v>47</v>
      </c>
      <c r="Q8" s="12" t="s">
        <v>47</v>
      </c>
    </row>
    <row r="9" spans="1:17" x14ac:dyDescent="0.25">
      <c r="A9" s="59"/>
      <c r="B9" s="52">
        <v>36647</v>
      </c>
      <c r="C9" s="53">
        <v>1088289</v>
      </c>
      <c r="D9" t="s">
        <v>77</v>
      </c>
      <c r="E9" s="12">
        <v>4</v>
      </c>
      <c r="G9" s="53">
        <v>145584</v>
      </c>
      <c r="H9" t="s">
        <v>78</v>
      </c>
      <c r="I9" s="12" t="s">
        <v>77</v>
      </c>
      <c r="K9" s="53">
        <v>65503</v>
      </c>
      <c r="L9" t="s">
        <v>79</v>
      </c>
      <c r="M9" s="12" t="s">
        <v>77</v>
      </c>
      <c r="O9" s="53">
        <v>3968</v>
      </c>
      <c r="P9" t="s">
        <v>79</v>
      </c>
      <c r="Q9" s="12" t="s">
        <v>77</v>
      </c>
    </row>
    <row r="10" spans="1:17" x14ac:dyDescent="0.25">
      <c r="A10" s="59"/>
      <c r="B10" s="52">
        <v>36678</v>
      </c>
      <c r="C10" s="54">
        <v>497015</v>
      </c>
      <c r="D10" t="s">
        <v>80</v>
      </c>
      <c r="E10" s="12">
        <v>4</v>
      </c>
      <c r="G10" s="53">
        <v>146258</v>
      </c>
      <c r="H10" t="s">
        <v>81</v>
      </c>
      <c r="I10" s="12" t="s">
        <v>80</v>
      </c>
      <c r="K10" s="53">
        <v>63840</v>
      </c>
      <c r="L10" t="s">
        <v>82</v>
      </c>
      <c r="M10" s="12" t="s">
        <v>80</v>
      </c>
      <c r="O10" s="53">
        <v>3810</v>
      </c>
      <c r="P10" t="s">
        <v>82</v>
      </c>
      <c r="Q10" s="12" t="s">
        <v>80</v>
      </c>
    </row>
    <row r="11" spans="1:17" x14ac:dyDescent="0.25">
      <c r="A11" s="59"/>
      <c r="B11" s="52">
        <v>36708</v>
      </c>
      <c r="C11" s="53">
        <v>1089123</v>
      </c>
      <c r="D11" t="s">
        <v>83</v>
      </c>
      <c r="E11" s="12">
        <v>4</v>
      </c>
      <c r="G11" s="53">
        <v>135032</v>
      </c>
      <c r="H11" t="s">
        <v>84</v>
      </c>
      <c r="I11" s="12" t="s">
        <v>83</v>
      </c>
      <c r="K11" s="53">
        <v>53568</v>
      </c>
      <c r="L11" t="s">
        <v>85</v>
      </c>
      <c r="M11" s="12" t="s">
        <v>83</v>
      </c>
      <c r="O11" s="53">
        <v>2666</v>
      </c>
      <c r="P11" t="s">
        <v>85</v>
      </c>
      <c r="Q11" s="12" t="s">
        <v>83</v>
      </c>
    </row>
    <row r="13" spans="1:17" x14ac:dyDescent="0.25">
      <c r="B13" t="s">
        <v>86</v>
      </c>
    </row>
    <row r="15" spans="1:17" x14ac:dyDescent="0.25">
      <c r="C15" s="55" t="s">
        <v>87</v>
      </c>
    </row>
    <row r="18" spans="2:17" x14ac:dyDescent="0.25">
      <c r="B18" s="56" t="s">
        <v>89</v>
      </c>
    </row>
    <row r="19" spans="2:17" ht="16.2" thickBot="1" x14ac:dyDescent="0.35">
      <c r="C19" s="58" t="s">
        <v>63</v>
      </c>
      <c r="D19" s="58"/>
      <c r="E19" s="58"/>
      <c r="G19" s="58" t="s">
        <v>64</v>
      </c>
      <c r="H19" s="58"/>
      <c r="I19" s="58"/>
      <c r="K19" s="58" t="s">
        <v>65</v>
      </c>
      <c r="L19" s="58"/>
      <c r="M19" s="58"/>
      <c r="O19" s="58" t="s">
        <v>66</v>
      </c>
      <c r="P19" s="58"/>
      <c r="Q19" s="58"/>
    </row>
    <row r="20" spans="2:17" x14ac:dyDescent="0.25">
      <c r="C20" s="60"/>
      <c r="D20" s="60"/>
      <c r="E20" s="60"/>
      <c r="G20" s="60"/>
      <c r="H20" s="60"/>
      <c r="I20" s="60"/>
    </row>
    <row r="21" spans="2:17" x14ac:dyDescent="0.25">
      <c r="B21" s="46" t="s">
        <v>68</v>
      </c>
      <c r="C21" s="47" t="s">
        <v>69</v>
      </c>
      <c r="D21" s="46" t="s">
        <v>70</v>
      </c>
      <c r="E21" s="46" t="s">
        <v>71</v>
      </c>
      <c r="G21" s="47" t="s">
        <v>91</v>
      </c>
      <c r="H21" s="46" t="s">
        <v>92</v>
      </c>
      <c r="I21" s="46"/>
      <c r="K21" s="47" t="s">
        <v>69</v>
      </c>
      <c r="L21" s="46" t="s">
        <v>72</v>
      </c>
      <c r="M21" s="46" t="s">
        <v>70</v>
      </c>
      <c r="O21" s="47" t="s">
        <v>69</v>
      </c>
      <c r="P21" s="46" t="s">
        <v>72</v>
      </c>
      <c r="Q21" s="46" t="s">
        <v>70</v>
      </c>
    </row>
    <row r="22" spans="2:17" x14ac:dyDescent="0.25">
      <c r="B22" s="48" t="s">
        <v>73</v>
      </c>
      <c r="C22" s="49">
        <v>170981</v>
      </c>
      <c r="D22" s="50" t="s">
        <v>74</v>
      </c>
      <c r="E22" s="50" t="s">
        <v>74</v>
      </c>
      <c r="F22" s="51"/>
      <c r="G22" s="49">
        <v>981</v>
      </c>
      <c r="H22" s="50">
        <v>981</v>
      </c>
      <c r="I22" s="50" t="s">
        <v>74</v>
      </c>
      <c r="J22" s="51"/>
      <c r="K22" s="49">
        <f>53989-K23</f>
        <v>64408</v>
      </c>
      <c r="L22" s="50" t="s">
        <v>74</v>
      </c>
      <c r="M22" s="50" t="s">
        <v>74</v>
      </c>
      <c r="N22" s="51"/>
      <c r="O22" s="49">
        <v>291</v>
      </c>
      <c r="P22" s="50" t="s">
        <v>74</v>
      </c>
      <c r="Q22" s="50" t="s">
        <v>74</v>
      </c>
    </row>
    <row r="23" spans="2:17" x14ac:dyDescent="0.25">
      <c r="B23" s="52">
        <v>36617</v>
      </c>
      <c r="C23">
        <f>20252*30</f>
        <v>607560</v>
      </c>
      <c r="G23">
        <v>127500</v>
      </c>
      <c r="H23" s="57">
        <f>G23*(1-0.0075)</f>
        <v>126543.75</v>
      </c>
      <c r="K23">
        <v>-10419</v>
      </c>
      <c r="O23">
        <f>27*30</f>
        <v>810</v>
      </c>
    </row>
    <row r="24" spans="2:17" x14ac:dyDescent="0.25">
      <c r="B24" s="52">
        <v>36647</v>
      </c>
      <c r="C24">
        <f>35133*31</f>
        <v>1089123</v>
      </c>
      <c r="G24">
        <v>144491</v>
      </c>
      <c r="H24" s="57">
        <f>G24*(1-0.0075)</f>
        <v>143407.3175</v>
      </c>
      <c r="K24">
        <f>2113*31</f>
        <v>65503</v>
      </c>
      <c r="O24">
        <f>128*31</f>
        <v>3968</v>
      </c>
    </row>
    <row r="25" spans="2:17" x14ac:dyDescent="0.25">
      <c r="B25" s="52">
        <v>36678</v>
      </c>
      <c r="C25">
        <f>36304*30</f>
        <v>1089120</v>
      </c>
      <c r="G25">
        <v>144030</v>
      </c>
      <c r="H25" s="57">
        <f>G25*(1-0.0075)</f>
        <v>142949.77499999999</v>
      </c>
      <c r="K25">
        <v>62871</v>
      </c>
      <c r="O25">
        <f>127*30</f>
        <v>3810</v>
      </c>
    </row>
    <row r="26" spans="2:17" x14ac:dyDescent="0.25">
      <c r="B26" s="52">
        <v>36708</v>
      </c>
      <c r="C26">
        <f>35133*31</f>
        <v>1089123</v>
      </c>
      <c r="G26">
        <f>4052*31</f>
        <v>125612</v>
      </c>
      <c r="H26" s="57">
        <f>G26*(1-0.0076)</f>
        <v>124657.34879999999</v>
      </c>
      <c r="K26">
        <f>1700*31</f>
        <v>52700</v>
      </c>
      <c r="O26">
        <f>86*31</f>
        <v>2666</v>
      </c>
    </row>
    <row r="27" spans="2:17" x14ac:dyDescent="0.25">
      <c r="B27" t="s">
        <v>90</v>
      </c>
      <c r="C27" s="40">
        <f>SUM(C22:C26)</f>
        <v>4045907</v>
      </c>
      <c r="G27" s="40">
        <f>SUM(G22:G26)</f>
        <v>542614</v>
      </c>
      <c r="H27" s="40">
        <f>SUM(H22:H26)</f>
        <v>538539.19130000006</v>
      </c>
      <c r="K27" s="40">
        <f>SUM(K22:K26)</f>
        <v>235063</v>
      </c>
      <c r="O27" s="40">
        <f>SUM(O22:O26)</f>
        <v>11545</v>
      </c>
    </row>
  </sheetData>
  <mergeCells count="13">
    <mergeCell ref="O4:Q4"/>
    <mergeCell ref="C5:E5"/>
    <mergeCell ref="G5:I5"/>
    <mergeCell ref="K19:M19"/>
    <mergeCell ref="O19:Q19"/>
    <mergeCell ref="A8:A11"/>
    <mergeCell ref="G4:I4"/>
    <mergeCell ref="C4:E4"/>
    <mergeCell ref="C20:E20"/>
    <mergeCell ref="G20:I20"/>
    <mergeCell ref="C19:E19"/>
    <mergeCell ref="G19:I19"/>
    <mergeCell ref="K4:M4"/>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Post Close (2)</vt:lpstr>
      <vt:lpstr>Post Close</vt:lpstr>
      <vt:lpstr>Original</vt:lpstr>
      <vt:lpstr>Prior to close</vt:lpstr>
      <vt:lpstr>example</vt:lpstr>
      <vt:lpstr>ENA Invoice</vt:lpstr>
      <vt:lpstr>'ENA Invoice'!Print_Area</vt:lpstr>
    </vt:vector>
  </TitlesOfParts>
  <Company>Columbia Energy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P. Porter</dc:creator>
  <cp:lastModifiedBy>Havlíček Jan</cp:lastModifiedBy>
  <cp:lastPrinted>2000-08-23T12:37:44Z</cp:lastPrinted>
  <dcterms:created xsi:type="dcterms:W3CDTF">2000-06-28T21:58:49Z</dcterms:created>
  <dcterms:modified xsi:type="dcterms:W3CDTF">2023-09-10T12:07:33Z</dcterms:modified>
</cp:coreProperties>
</file>