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7140" windowHeight="9852" tabRatio="599" activeTab="1"/>
  </bookViews>
  <sheets>
    <sheet name="curves" sheetId="62" r:id="rId1"/>
    <sheet name="Jan 1" sheetId="100" r:id="rId2"/>
  </sheets>
  <externalReferences>
    <externalReference r:id="rId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'Jan 1'!$A$1:$P$40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P13" i="100"/>
  <c r="Q13" i="100"/>
  <c r="R13" i="100"/>
  <c r="F15" i="100"/>
  <c r="H15" i="100"/>
  <c r="O15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O32" i="100"/>
  <c r="P32" i="100"/>
  <c r="Q32" i="100"/>
  <c r="R32" i="100"/>
  <c r="P33" i="100"/>
  <c r="Q33" i="100"/>
  <c r="R33" i="100"/>
  <c r="P34" i="100"/>
  <c r="Q34" i="100"/>
  <c r="R34" i="100"/>
  <c r="F36" i="100"/>
  <c r="H36" i="100"/>
  <c r="P36" i="100"/>
  <c r="Q36" i="100"/>
  <c r="R36" i="100"/>
  <c r="P37" i="100"/>
  <c r="Q37" i="100"/>
  <c r="R37" i="100"/>
  <c r="J39" i="100"/>
  <c r="L39" i="100"/>
  <c r="N39" i="100"/>
  <c r="P39" i="100"/>
  <c r="Q39" i="100"/>
  <c r="R39" i="100"/>
  <c r="S39" i="100"/>
  <c r="N40" i="100"/>
  <c r="S40" i="100"/>
  <c r="Q41" i="100"/>
  <c r="R41" i="100"/>
  <c r="R42" i="100"/>
  <c r="R43" i="100"/>
</calcChain>
</file>

<file path=xl/sharedStrings.xml><?xml version="1.0" encoding="utf-8"?>
<sst xmlns="http://schemas.openxmlformats.org/spreadsheetml/2006/main" count="100" uniqueCount="69">
  <si>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</si>
  <si>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</si>
  <si>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</si>
  <si>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</si>
  <si>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</si>
  <si>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</si>
  <si>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</si>
  <si>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</si>
  <si>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</si>
  <si>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</si>
  <si>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</si>
  <si>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</si>
  <si>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</si>
  <si>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</si>
  <si>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</si>
  <si>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</si>
  <si>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</si>
  <si>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</si>
  <si>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</si>
  <si>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</si>
  <si>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</si>
  <si>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</si>
  <si>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</si>
  <si>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</si>
  <si>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</si>
  <si>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</si>
  <si>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</si>
  <si>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</si>
  <si>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</si>
  <si>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</si>
  <si>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</si>
  <si>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</si>
  <si>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</si>
  <si>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</si>
  <si>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</si>
  <si>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</si>
  <si>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</si>
  <si>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</si>
  <si>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</si>
  <si>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</si>
  <si>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</si>
  <si>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</si>
  <si>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</si>
  <si>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</si>
  <si>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</si>
  <si>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</si>
  <si>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</si>
  <si>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</si>
  <si>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</si>
  <si>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</si>
  <si>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</si>
  <si>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</si>
  <si>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</si>
  <si>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</si>
  <si>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</si>
  <si>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</si>
  <si>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</si>
  <si>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</si>
  <si>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</si>
  <si>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</si>
  <si>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</si>
  <si>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</si>
  <si>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</si>
  <si>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</si>
  <si>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</si>
  <si>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</si>
  <si>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</si>
  <si>
    <t>CES/NPC COH CHOICE NOMINATIONS TO ACTUALS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</si>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</sst>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19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3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3" applyFont="1" applyFill="1" applyBorder="1" applyAlignment="1">
      <alignment horizontal="center"/>
    </xf>
    <xf numFmtId="9" fontId="5" fillId="0" borderId="9" xfId="3" applyFont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an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Demand"/>
      <sheetName val="COH Demand"/>
      <sheetName val="Forcast-1"/>
      <sheetName val="Forcast-2"/>
      <sheetName val="$"/>
      <sheetName val="Usage"/>
      <sheetName val="COH"/>
      <sheetName val="Plan"/>
      <sheetName val="CMD"/>
      <sheetName val="CPA"/>
      <sheetName val="CGV"/>
      <sheetName val="Ohio"/>
    </sheetNames>
    <definedNames>
      <definedName name="buysell" refersTo="='COH'!$A$134:$IV$134"/>
      <definedName name="date" refersTo="='COH'!$A$3:$IV$3"/>
      <definedName name="enaft" refersTo="='COH'!$A$106:$IV$106"/>
    </definedNames>
    <sheetDataSet>
      <sheetData sheetId="0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6">
          <cell r="A106" t="str">
            <v>---</v>
          </cell>
          <cell r="G106" t="str">
            <v>-------</v>
          </cell>
          <cell r="H106" t="str">
            <v>-------</v>
          </cell>
          <cell r="I106" t="str">
            <v>---------</v>
          </cell>
          <cell r="J106" t="str">
            <v>---------</v>
          </cell>
          <cell r="K106" t="str">
            <v>--------</v>
          </cell>
          <cell r="L106" t="str">
            <v>--------</v>
          </cell>
          <cell r="M106" t="str">
            <v>--------</v>
          </cell>
        </row>
        <row r="134">
          <cell r="A134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1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6">
          <cell r="A106">
            <v>25</v>
          </cell>
          <cell r="B106" t="str">
            <v>CE</v>
          </cell>
          <cell r="C106">
            <v>3493</v>
          </cell>
          <cell r="D106" t="str">
            <v>C</v>
          </cell>
          <cell r="E106" t="str">
            <v>B</v>
          </cell>
          <cell r="F106">
            <v>4</v>
          </cell>
          <cell r="G106">
            <v>1044</v>
          </cell>
          <cell r="H106">
            <v>2518</v>
          </cell>
          <cell r="I106">
            <v>204913</v>
          </cell>
          <cell r="J106">
            <v>225997</v>
          </cell>
          <cell r="K106">
            <v>619.20000000000005</v>
          </cell>
          <cell r="L106">
            <v>0</v>
          </cell>
          <cell r="M106">
            <v>619.20000000000005</v>
          </cell>
          <cell r="N106" t="str">
            <v>Lancaster</v>
          </cell>
          <cell r="O106" t="str">
            <v>Columbia</v>
          </cell>
          <cell r="P106" t="str">
            <v>Energy</v>
          </cell>
          <cell r="Q106" t="str">
            <v>Services</v>
          </cell>
        </row>
      </sheetData>
      <sheetData sheetId="2">
        <row r="3">
          <cell r="A3" t="str">
            <v xml:space="preserve"> Normalization Report of Volumes for Year Ending November, 2000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November,</v>
          </cell>
          <cell r="J3">
            <v>2000</v>
          </cell>
        </row>
        <row r="106">
          <cell r="B106">
            <v>14</v>
          </cell>
          <cell r="C106">
            <v>48</v>
          </cell>
          <cell r="D106">
            <v>1361</v>
          </cell>
          <cell r="E106">
            <v>1411</v>
          </cell>
          <cell r="F106">
            <v>65</v>
          </cell>
          <cell r="G106">
            <v>-3</v>
          </cell>
          <cell r="H106">
            <v>5156</v>
          </cell>
          <cell r="I106">
            <v>5347</v>
          </cell>
        </row>
        <row r="134">
          <cell r="B134">
            <v>42</v>
          </cell>
          <cell r="C134">
            <v>20</v>
          </cell>
          <cell r="D134">
            <v>3445</v>
          </cell>
          <cell r="E134">
            <v>3572</v>
          </cell>
        </row>
      </sheetData>
      <sheetData sheetId="4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U3" t="str">
            <v>STO %</v>
          </cell>
          <cell r="V3" t="str">
            <v>Sell/buy</v>
          </cell>
        </row>
      </sheetData>
      <sheetData sheetId="5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Min</v>
          </cell>
          <cell r="K3" t="str">
            <v>Max</v>
          </cell>
          <cell r="L3" t="str">
            <v>capacity</v>
          </cell>
          <cell r="M3" t="str">
            <v>capacity</v>
          </cell>
          <cell r="N3" t="str">
            <v>Notes</v>
          </cell>
          <cell r="O3" t="str">
            <v>Cap</v>
          </cell>
          <cell r="P3" t="str">
            <v>Cap</v>
          </cell>
          <cell r="Q3" t="str">
            <v>Notes</v>
          </cell>
          <cell r="R3" t="str">
            <v>ENA EX 1</v>
          </cell>
          <cell r="S3" t="str">
            <v>ENA Vol</v>
          </cell>
          <cell r="T3" t="str">
            <v>Sto WD</v>
          </cell>
          <cell r="U3" t="str">
            <v>Flowing</v>
          </cell>
          <cell r="W3" t="str">
            <v>STO %</v>
          </cell>
          <cell r="X3" t="str">
            <v>Sell/buy</v>
          </cell>
        </row>
      </sheetData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>
            <v>36922</v>
          </cell>
          <cell r="AM3" t="str">
            <v>Sum</v>
          </cell>
        </row>
        <row r="106">
          <cell r="C106" t="str">
            <v>sumif</v>
          </cell>
          <cell r="F106" t="str">
            <v>ENA FT Deliveries</v>
          </cell>
          <cell r="H106">
            <v>15702</v>
          </cell>
          <cell r="I106">
            <v>15702</v>
          </cell>
          <cell r="J106">
            <v>15702</v>
          </cell>
          <cell r="K106">
            <v>15702</v>
          </cell>
          <cell r="L106">
            <v>15702</v>
          </cell>
          <cell r="M106">
            <v>15702</v>
          </cell>
          <cell r="N106">
            <v>15702</v>
          </cell>
          <cell r="O106">
            <v>15702</v>
          </cell>
          <cell r="P106">
            <v>15702</v>
          </cell>
          <cell r="Q106">
            <v>15702</v>
          </cell>
          <cell r="R106">
            <v>15702</v>
          </cell>
          <cell r="S106">
            <v>15702</v>
          </cell>
          <cell r="T106">
            <v>15702</v>
          </cell>
          <cell r="U106">
            <v>15702</v>
          </cell>
          <cell r="V106">
            <v>15702</v>
          </cell>
          <cell r="W106">
            <v>15702</v>
          </cell>
          <cell r="X106">
            <v>15702</v>
          </cell>
          <cell r="Y106">
            <v>15702</v>
          </cell>
          <cell r="Z106">
            <v>15702</v>
          </cell>
          <cell r="AA106">
            <v>15702</v>
          </cell>
          <cell r="AB106">
            <v>15702</v>
          </cell>
          <cell r="AC106">
            <v>15702</v>
          </cell>
          <cell r="AD106">
            <v>15702</v>
          </cell>
          <cell r="AE106">
            <v>15702</v>
          </cell>
          <cell r="AF106">
            <v>15702</v>
          </cell>
          <cell r="AG106">
            <v>15702</v>
          </cell>
          <cell r="AH106">
            <v>15702</v>
          </cell>
          <cell r="AI106">
            <v>15702</v>
          </cell>
          <cell r="AJ106">
            <v>15702</v>
          </cell>
          <cell r="AK106">
            <v>15702</v>
          </cell>
          <cell r="AL106">
            <v>15702</v>
          </cell>
          <cell r="AM106">
            <v>486762</v>
          </cell>
        </row>
        <row r="126">
          <cell r="G126">
            <v>42984</v>
          </cell>
        </row>
        <row r="134">
          <cell r="F134" t="str">
            <v>Term Buy/(Sale)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1512651.78</v>
          </cell>
          <cell r="Q3" t="str">
            <v>IF TCO App</v>
          </cell>
        </row>
      </sheetData>
      <sheetData sheetId="10"/>
      <sheetData sheetId="11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 t="str">
            <v>Sum</v>
          </cell>
        </row>
      </sheetData>
      <sheetData sheetId="12"/>
      <sheetData sheetId="13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48</v>
      </c>
    </row>
    <row r="2" spans="1:14" s="46" customFormat="1" x14ac:dyDescent="0.25">
      <c r="A2" s="46" t="s">
        <v>49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50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abSelected="1" zoomScale="70" workbookViewId="0">
      <pane xSplit="5" topLeftCell="F1" activePane="topRight" state="frozenSplit"/>
      <selection pane="topRight" activeCell="P1" sqref="P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75" customWidth="1"/>
    <col min="13" max="13" width="1.44140625" style="5" customWidth="1"/>
    <col min="14" max="14" width="15.6640625" style="5" bestFit="1" customWidth="1"/>
    <col min="15" max="15" width="13.88671875" style="70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80">
        <f ca="1">NOW()</f>
        <v>36889.545285069442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36892</v>
      </c>
      <c r="L2" s="71"/>
      <c r="O2" s="79">
        <f ca="1">NOW()</f>
        <v>36889.545285069442</v>
      </c>
    </row>
    <row r="3" spans="1:25" s="3" customFormat="1" ht="15" customHeight="1" thickTop="1" x14ac:dyDescent="0.25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2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3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63</v>
      </c>
      <c r="M4" s="20"/>
      <c r="N4" s="20"/>
      <c r="O4" s="83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5">
      <c r="B5" s="24" t="s">
        <v>32</v>
      </c>
      <c r="C5" s="25" t="s">
        <v>8</v>
      </c>
      <c r="D5" s="39">
        <v>3342</v>
      </c>
      <c r="E5" s="26"/>
      <c r="F5" s="27">
        <f>T14</f>
        <v>13</v>
      </c>
      <c r="G5" s="27"/>
      <c r="H5" s="28" t="str">
        <f>V14</f>
        <v>*</v>
      </c>
      <c r="I5" s="27"/>
      <c r="J5" s="29">
        <v>1481</v>
      </c>
      <c r="K5" s="29"/>
      <c r="L5" s="81" t="s">
        <v>64</v>
      </c>
      <c r="M5" s="28"/>
      <c r="N5" s="41">
        <v>67694</v>
      </c>
      <c r="O5" s="84">
        <f>$T$23</f>
        <v>0.6</v>
      </c>
      <c r="P5" s="61" t="str">
        <f>IF(Q5&lt;0,ABS(Q5),"")</f>
        <v/>
      </c>
      <c r="Q5" s="58">
        <f>IF(L$39&gt;0,L5-R5,J5-R5)</f>
        <v>889</v>
      </c>
      <c r="R5" s="58">
        <f>ROUND((1-O5)*J5,0)</f>
        <v>592</v>
      </c>
      <c r="T5" s="51">
        <v>5</v>
      </c>
      <c r="U5" s="51">
        <v>1</v>
      </c>
      <c r="V5" s="51" t="s">
        <v>68</v>
      </c>
    </row>
    <row r="6" spans="1:25" s="2" customFormat="1" ht="15" customHeight="1" x14ac:dyDescent="0.25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1"/>
      <c r="M6" s="26"/>
      <c r="N6" s="42"/>
      <c r="O6" s="84"/>
      <c r="P6" s="12"/>
      <c r="Q6" s="58"/>
      <c r="R6" s="58"/>
      <c r="T6" s="52">
        <v>8</v>
      </c>
      <c r="U6" s="52">
        <v>2</v>
      </c>
      <c r="V6" s="52" t="s">
        <v>68</v>
      </c>
    </row>
    <row r="7" spans="1:25" s="2" customFormat="1" ht="15" customHeight="1" x14ac:dyDescent="0.25">
      <c r="B7" s="24" t="s">
        <v>33</v>
      </c>
      <c r="C7" s="25" t="s">
        <v>18</v>
      </c>
      <c r="D7" s="39">
        <v>3343</v>
      </c>
      <c r="E7" s="26"/>
      <c r="F7" s="30">
        <f>T6</f>
        <v>8</v>
      </c>
      <c r="G7" s="30"/>
      <c r="H7" s="26" t="str">
        <f>V6</f>
        <v>*</v>
      </c>
      <c r="I7" s="30"/>
      <c r="J7" s="29">
        <v>9979</v>
      </c>
      <c r="K7" s="29"/>
      <c r="L7" s="81" t="s">
        <v>64</v>
      </c>
      <c r="M7" s="26"/>
      <c r="N7" s="41">
        <v>67694</v>
      </c>
      <c r="O7" s="84">
        <f>$T$23</f>
        <v>0.6</v>
      </c>
      <c r="P7" s="61" t="str">
        <f>IF(Q7&lt;0,ABS(Q7),"")</f>
        <v/>
      </c>
      <c r="Q7" s="58">
        <f>IF(L$39&gt;0,L7-R7,J7-R7)</f>
        <v>5987</v>
      </c>
      <c r="R7" s="58">
        <f>ROUND((1-O7)*J7,0)</f>
        <v>3992</v>
      </c>
      <c r="T7" s="52">
        <v>6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5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1" t="s">
        <v>65</v>
      </c>
      <c r="M8" s="26"/>
      <c r="N8" s="41">
        <v>68918</v>
      </c>
      <c r="O8" s="84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9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5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1"/>
      <c r="M9" s="26"/>
      <c r="N9" s="42"/>
      <c r="O9" s="84"/>
      <c r="P9" s="12"/>
      <c r="Q9" s="58"/>
      <c r="R9" s="58"/>
      <c r="T9" s="52">
        <v>8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5">
      <c r="B10" s="24" t="s">
        <v>34</v>
      </c>
      <c r="C10" s="25" t="s">
        <v>19</v>
      </c>
      <c r="D10" s="39">
        <v>3344</v>
      </c>
      <c r="E10" s="26"/>
      <c r="F10" s="30">
        <f>T11</f>
        <v>7</v>
      </c>
      <c r="G10" s="30"/>
      <c r="H10" s="26" t="str">
        <f>V11</f>
        <v>*</v>
      </c>
      <c r="I10" s="30"/>
      <c r="J10" s="29">
        <v>2956</v>
      </c>
      <c r="K10" s="29"/>
      <c r="L10" s="81" t="s">
        <v>64</v>
      </c>
      <c r="M10" s="26"/>
      <c r="N10" s="41">
        <v>67694</v>
      </c>
      <c r="O10" s="84">
        <f>$T$23</f>
        <v>0.6</v>
      </c>
      <c r="P10" s="61" t="str">
        <f>IF(Q10&lt;0,ABS(Q10),"")</f>
        <v/>
      </c>
      <c r="Q10" s="58">
        <f>IF(L$39&gt;0,L10-R10,J10-R10)</f>
        <v>1774</v>
      </c>
      <c r="R10" s="58">
        <f>ROUND((1-O10)*J10,0)</f>
        <v>1182</v>
      </c>
      <c r="T10" s="52">
        <v>6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5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1" t="s">
        <v>65</v>
      </c>
      <c r="M11" s="26"/>
      <c r="N11" s="41">
        <v>68915</v>
      </c>
      <c r="O11" s="84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7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5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1" t="s">
        <v>65</v>
      </c>
      <c r="M12" s="26"/>
      <c r="N12" s="41">
        <v>69148</v>
      </c>
      <c r="O12" s="84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9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5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1" t="s">
        <v>65</v>
      </c>
      <c r="M13" s="26"/>
      <c r="N13" s="41">
        <v>69693</v>
      </c>
      <c r="O13" s="84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8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5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1"/>
      <c r="M14" s="26"/>
      <c r="N14" s="42"/>
      <c r="O14" s="84"/>
      <c r="P14" s="12"/>
      <c r="Q14" s="58"/>
      <c r="R14" s="58"/>
      <c r="T14" s="52">
        <v>13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5">
      <c r="B15" s="24" t="s">
        <v>35</v>
      </c>
      <c r="C15" s="25" t="s">
        <v>9</v>
      </c>
      <c r="D15" s="39">
        <v>3788</v>
      </c>
      <c r="E15" s="26"/>
      <c r="F15" s="30">
        <f>T5</f>
        <v>5</v>
      </c>
      <c r="G15" s="30"/>
      <c r="H15" s="26" t="str">
        <f>V5</f>
        <v>*</v>
      </c>
      <c r="I15" s="30"/>
      <c r="J15" s="29">
        <v>17730</v>
      </c>
      <c r="K15" s="29"/>
      <c r="L15" s="81" t="s">
        <v>64</v>
      </c>
      <c r="M15" s="26"/>
      <c r="N15" s="41">
        <v>67694</v>
      </c>
      <c r="O15" s="84">
        <f>$T$23</f>
        <v>0.6</v>
      </c>
      <c r="P15" s="61" t="str">
        <f>IF(Q15&lt;0,ABS(Q15),"")</f>
        <v/>
      </c>
      <c r="Q15" s="58">
        <f>IF(L$39&gt;0,L15-R15,J15-R15)</f>
        <v>10638</v>
      </c>
      <c r="R15" s="58">
        <f>ROUND((1-O15)*J15,0)</f>
        <v>7092</v>
      </c>
      <c r="T15" s="52">
        <v>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3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1" t="s">
        <v>65</v>
      </c>
      <c r="M16" s="26"/>
      <c r="N16" s="41">
        <v>68917</v>
      </c>
      <c r="O16" s="84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9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5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1" t="s">
        <v>65</v>
      </c>
      <c r="M17" s="26"/>
      <c r="N17" s="41">
        <v>69149</v>
      </c>
      <c r="O17" s="84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1"/>
      <c r="M18" s="26"/>
      <c r="N18" s="42"/>
      <c r="O18" s="84"/>
      <c r="Q18" s="58"/>
      <c r="R18" s="58"/>
      <c r="T18" s="54">
        <f>AVERAGE(T5:T16)</f>
        <v>8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">
      <c r="B19" s="24" t="s">
        <v>36</v>
      </c>
      <c r="C19" s="25" t="s">
        <v>10</v>
      </c>
      <c r="D19" s="39">
        <v>3789</v>
      </c>
      <c r="E19" s="26"/>
      <c r="F19" s="30">
        <f>T7</f>
        <v>6</v>
      </c>
      <c r="G19" s="30"/>
      <c r="H19" s="26" t="str">
        <f>V7</f>
        <v>*</v>
      </c>
      <c r="I19" s="30"/>
      <c r="J19" s="29">
        <v>3423</v>
      </c>
      <c r="K19" s="29"/>
      <c r="L19" s="81" t="s">
        <v>64</v>
      </c>
      <c r="M19" s="26"/>
      <c r="N19" s="41">
        <v>67694</v>
      </c>
      <c r="O19" s="84">
        <f>$T$23</f>
        <v>0.6</v>
      </c>
      <c r="P19" s="61" t="str">
        <f>IF(Q19&lt;0,ABS(Q19),"")</f>
        <v/>
      </c>
      <c r="Q19" s="58">
        <f>IF(L$39&gt;0,L19-R19,J19-R19)</f>
        <v>2054</v>
      </c>
      <c r="R19" s="58">
        <f>ROUND((1-O19)*J19,0)</f>
        <v>1369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81"/>
      <c r="M20" s="26"/>
      <c r="N20" s="42"/>
      <c r="O20" s="84"/>
      <c r="Q20" s="58"/>
      <c r="R20" s="58"/>
      <c r="T20" s="64" t="s">
        <v>59</v>
      </c>
    </row>
    <row r="21" spans="1:25" s="2" customFormat="1" ht="15" customHeight="1" x14ac:dyDescent="0.3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9</v>
      </c>
      <c r="G21" s="30"/>
      <c r="H21" s="26" t="str">
        <f>V8</f>
        <v>*</v>
      </c>
      <c r="I21" s="30"/>
      <c r="J21" s="29">
        <v>2506</v>
      </c>
      <c r="K21" s="29"/>
      <c r="L21" s="81" t="s">
        <v>64</v>
      </c>
      <c r="M21" s="30"/>
      <c r="N21" s="41">
        <v>67694</v>
      </c>
      <c r="O21" s="84">
        <f>$T$23</f>
        <v>0.6</v>
      </c>
      <c r="P21" s="61" t="str">
        <f>IF(Q21&lt;0,ABS(Q21),"")</f>
        <v/>
      </c>
      <c r="Q21" s="58">
        <f>IF(L$39&gt;0,L21-R21,J21-R21)</f>
        <v>1504</v>
      </c>
      <c r="R21" s="58">
        <f>ROUND((1-O21)*J21,0)</f>
        <v>1002</v>
      </c>
      <c r="T21" s="65" t="s">
        <v>60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1" t="s">
        <v>65</v>
      </c>
      <c r="M22" s="30"/>
      <c r="N22" s="41">
        <v>68916</v>
      </c>
      <c r="O22" s="84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1"/>
      <c r="M23" s="26"/>
      <c r="N23" s="42"/>
      <c r="O23" s="84"/>
      <c r="Q23" s="58"/>
      <c r="R23" s="58"/>
      <c r="T23" s="66">
        <v>0.6</v>
      </c>
    </row>
    <row r="24" spans="1:25" s="2" customFormat="1" ht="15" customHeight="1" thickTop="1" x14ac:dyDescent="0.25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8</v>
      </c>
      <c r="G24" s="30"/>
      <c r="H24" s="26" t="str">
        <f>V9</f>
        <v>*</v>
      </c>
      <c r="I24" s="30"/>
      <c r="J24" s="29">
        <v>20571</v>
      </c>
      <c r="K24" s="29"/>
      <c r="L24" s="81" t="s">
        <v>64</v>
      </c>
      <c r="M24" s="26"/>
      <c r="N24" s="41">
        <v>67694</v>
      </c>
      <c r="O24" s="84">
        <f>$T$23</f>
        <v>0.6</v>
      </c>
      <c r="P24" s="61" t="str">
        <f>IF(Q24&lt;0,ABS(Q24),"")</f>
        <v/>
      </c>
      <c r="Q24" s="58">
        <f>IF(L$39&gt;0,L24-R24,J24-R24)</f>
        <v>12342.6</v>
      </c>
      <c r="R24" s="58">
        <f>(1-O24)*J24</f>
        <v>8228.4</v>
      </c>
    </row>
    <row r="25" spans="1:25" s="2" customFormat="1" ht="15" customHeight="1" x14ac:dyDescent="0.25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1"/>
      <c r="M25" s="26"/>
      <c r="N25" s="42"/>
      <c r="O25" s="84"/>
      <c r="Q25" s="58"/>
      <c r="R25" s="58"/>
    </row>
    <row r="26" spans="1:25" s="2" customFormat="1" ht="15" customHeight="1" x14ac:dyDescent="0.25">
      <c r="B26" s="24" t="s">
        <v>39</v>
      </c>
      <c r="C26" s="25" t="s">
        <v>13</v>
      </c>
      <c r="D26" s="39">
        <v>3346</v>
      </c>
      <c r="E26" s="26"/>
      <c r="F26" s="30">
        <f>T10</f>
        <v>6</v>
      </c>
      <c r="G26" s="30"/>
      <c r="H26" s="26" t="str">
        <f>V10</f>
        <v>*</v>
      </c>
      <c r="I26" s="30"/>
      <c r="J26" s="29">
        <v>4321</v>
      </c>
      <c r="K26" s="29"/>
      <c r="L26" s="81" t="s">
        <v>64</v>
      </c>
      <c r="M26" s="26"/>
      <c r="N26" s="41">
        <v>67694</v>
      </c>
      <c r="O26" s="84">
        <f>$T$23</f>
        <v>0.6</v>
      </c>
      <c r="P26" s="61" t="str">
        <f>IF(Q26&lt;0,ABS(Q26),"")</f>
        <v/>
      </c>
      <c r="Q26" s="58">
        <f>IF(L$39&gt;0,L26-R26,J26-R26)</f>
        <v>2593</v>
      </c>
      <c r="R26" s="58">
        <f>ROUND((1-O26)*J26,0)</f>
        <v>1728</v>
      </c>
    </row>
    <row r="27" spans="1:25" ht="15" x14ac:dyDescent="0.25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1"/>
      <c r="M27" s="26"/>
      <c r="N27" s="42"/>
      <c r="O27" s="84"/>
      <c r="P27" s="2"/>
      <c r="Q27" s="58"/>
      <c r="R27" s="58"/>
      <c r="S27" s="2"/>
    </row>
    <row r="28" spans="1:25" ht="15" x14ac:dyDescent="0.25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9</v>
      </c>
      <c r="G28" s="30"/>
      <c r="H28" s="26" t="str">
        <f>V12</f>
        <v>*</v>
      </c>
      <c r="I28" s="30"/>
      <c r="J28" s="29">
        <v>4769</v>
      </c>
      <c r="K28" s="29"/>
      <c r="L28" s="81" t="s">
        <v>64</v>
      </c>
      <c r="M28" s="26"/>
      <c r="N28" s="41">
        <v>67694</v>
      </c>
      <c r="O28" s="84">
        <f>$T$23</f>
        <v>0.6</v>
      </c>
      <c r="P28" s="61" t="str">
        <f>IF(Q28&lt;0,ABS(Q28),"")</f>
        <v/>
      </c>
      <c r="Q28" s="58">
        <f>IF(L$39&gt;0,L28-R28,J28-R28)</f>
        <v>2861</v>
      </c>
      <c r="R28" s="58">
        <f>ROUND((1-O28)*J28,0)</f>
        <v>1908</v>
      </c>
      <c r="S28" s="2"/>
    </row>
    <row r="29" spans="1:25" ht="15" x14ac:dyDescent="0.25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1"/>
      <c r="M29" s="26"/>
      <c r="N29" s="42"/>
      <c r="O29" s="84"/>
      <c r="P29" s="2"/>
      <c r="Q29" s="58"/>
      <c r="R29" s="58"/>
    </row>
    <row r="30" spans="1:25" ht="15" x14ac:dyDescent="0.25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8</v>
      </c>
      <c r="G30" s="30"/>
      <c r="H30" s="26" t="str">
        <f>V13</f>
        <v>*</v>
      </c>
      <c r="I30" s="30"/>
      <c r="J30" s="29">
        <v>5625</v>
      </c>
      <c r="K30" s="29"/>
      <c r="L30" s="81" t="s">
        <v>64</v>
      </c>
      <c r="M30" s="26"/>
      <c r="N30" s="41">
        <v>67694</v>
      </c>
      <c r="O30" s="84">
        <f>$T$23</f>
        <v>0.6</v>
      </c>
      <c r="P30" s="61" t="str">
        <f>IF(Q30&lt;0,ABS(Q30),"")</f>
        <v/>
      </c>
      <c r="Q30" s="58">
        <f>IF(L$39&gt;0,L30-R30,J30-R30)</f>
        <v>3375</v>
      </c>
      <c r="R30" s="58">
        <f>ROUND((1-O30)*J30,0)</f>
        <v>2250</v>
      </c>
    </row>
    <row r="31" spans="1:25" ht="15" x14ac:dyDescent="0.25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1"/>
      <c r="M31" s="26"/>
      <c r="N31" s="42"/>
      <c r="O31" s="84"/>
      <c r="Q31" s="58"/>
      <c r="R31" s="59"/>
    </row>
    <row r="32" spans="1:25" ht="1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8</v>
      </c>
      <c r="G32" s="30"/>
      <c r="H32" s="26" t="str">
        <f>V15</f>
        <v>*</v>
      </c>
      <c r="I32" s="30"/>
      <c r="J32" s="29">
        <v>3192</v>
      </c>
      <c r="K32" s="29"/>
      <c r="L32" s="81" t="s">
        <v>64</v>
      </c>
      <c r="M32" s="26"/>
      <c r="N32" s="41">
        <v>67694</v>
      </c>
      <c r="O32" s="84">
        <f>$T$23</f>
        <v>0.6</v>
      </c>
      <c r="P32" s="61" t="str">
        <f>IF(Q32&lt;0,ABS(Q32),"")</f>
        <v/>
      </c>
      <c r="Q32" s="58">
        <f>IF(L$39&gt;0,L32-R32,J32-R32)</f>
        <v>1915</v>
      </c>
      <c r="R32" s="58">
        <f>ROUND((1-O32)*J32,0)</f>
        <v>1277</v>
      </c>
    </row>
    <row r="33" spans="1:19" ht="15" x14ac:dyDescent="0.25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1" t="s">
        <v>66</v>
      </c>
      <c r="M33" s="26"/>
      <c r="N33" s="41">
        <v>69708</v>
      </c>
      <c r="O33" s="84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5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1" t="s">
        <v>66</v>
      </c>
      <c r="M34" s="26"/>
      <c r="N34" s="41">
        <v>69823</v>
      </c>
      <c r="O34" s="84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5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1"/>
      <c r="M35" s="26"/>
      <c r="N35" s="42"/>
      <c r="O35" s="84"/>
      <c r="Q35" s="58"/>
      <c r="R35" s="59"/>
    </row>
    <row r="36" spans="1:19" ht="15" x14ac:dyDescent="0.25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9</v>
      </c>
      <c r="G36" s="30"/>
      <c r="H36" s="26" t="str">
        <f>V16</f>
        <v>*</v>
      </c>
      <c r="I36" s="30"/>
      <c r="J36" s="29">
        <v>57</v>
      </c>
      <c r="K36" s="29"/>
      <c r="L36" s="81" t="s">
        <v>64</v>
      </c>
      <c r="M36" s="26"/>
      <c r="N36" s="41">
        <v>67694</v>
      </c>
      <c r="O36" s="84">
        <v>1</v>
      </c>
      <c r="P36" s="61" t="str">
        <f>IF(Q36&lt;0,ABS(Q36),"")</f>
        <v/>
      </c>
      <c r="Q36" s="58">
        <f>IF(L$39&gt;0,L36-R36,J36-R36)</f>
        <v>57</v>
      </c>
      <c r="R36" s="58">
        <f>ROUND((1-O36)*J36,0)</f>
        <v>0</v>
      </c>
    </row>
    <row r="37" spans="1:19" ht="15" x14ac:dyDescent="0.25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1" t="s">
        <v>66</v>
      </c>
      <c r="M37" s="26"/>
      <c r="N37" s="41">
        <v>69708</v>
      </c>
      <c r="O37" s="84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5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5"/>
      <c r="S38" s="61"/>
    </row>
    <row r="39" spans="1:19" ht="15.6" x14ac:dyDescent="0.3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92313</v>
      </c>
      <c r="K39" s="31"/>
      <c r="L39" s="72">
        <f>SUM(L5:L38)</f>
        <v>0</v>
      </c>
      <c r="M39" s="26"/>
      <c r="N39" s="61">
        <f>+J39-L39</f>
        <v>92313</v>
      </c>
      <c r="O39" s="67"/>
      <c r="P39" s="62">
        <f>SUM(P5:P38)</f>
        <v>0</v>
      </c>
      <c r="Q39" s="63">
        <f>SUM(Q5:Q38)/IF($L$39&gt;0,$L39,$J39)</f>
        <v>0.49819202062548068</v>
      </c>
      <c r="R39" s="63">
        <f>SUM(R5:R38)/IF($L$39&gt;0,$L39,$J39)</f>
        <v>0.50180797937451926</v>
      </c>
      <c r="S39" s="78">
        <f>Q41/(Q41+(R41-LOOKUP(J2,[1]!date,[1]!enaft)))</f>
        <v>0.60030021798436251</v>
      </c>
    </row>
    <row r="40" spans="1:19" ht="16.2" thickBot="1" x14ac:dyDescent="0.3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1</v>
      </c>
      <c r="O40" s="68"/>
      <c r="S40" s="60">
        <f>SUM(Q41:R41)</f>
        <v>92313</v>
      </c>
    </row>
    <row r="41" spans="1:19" ht="16.2" thickTop="1" x14ac:dyDescent="0.3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45989.599999999999</v>
      </c>
      <c r="R41" s="60">
        <f>SUM(R5:R38)</f>
        <v>46323.4</v>
      </c>
      <c r="S41" s="56"/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>
        <f>LOOKUP(J2,[1]!date,[1]!buysell)+[1]COH!$G$126</f>
        <v>42984</v>
      </c>
      <c r="S42" s="2" t="s">
        <v>61</v>
      </c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R43" s="77">
        <f>(R41-R42)/0.97816</f>
        <v>3413.9609061912174</v>
      </c>
      <c r="S43" s="2" t="s">
        <v>62</v>
      </c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.6" x14ac:dyDescent="0.3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.6" x14ac:dyDescent="0.3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curves</vt:lpstr>
      <vt:lpstr>Jan 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'Jan 1'!Print_Area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2023-09-10T12:07:36Z</dcterms:modified>
</cp:coreProperties>
</file>