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716" windowWidth="15132" windowHeight="4848" tabRatio="599" activeTab="1"/>
  </bookViews>
  <sheets>
    <sheet name="curves" sheetId="62" r:id="rId1"/>
    <sheet name="Jan 1" sheetId="100" r:id="rId2"/>
  </sheets>
  <externalReferences>
    <externalReference r:id="rId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'Jan 1'!$A$1:$P$38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100"/>
  <c r="O2" i="100"/>
  <c r="F5" i="100"/>
  <c r="H5" i="100"/>
  <c r="P5" i="100"/>
  <c r="Q5" i="100"/>
  <c r="R5" i="100"/>
  <c r="F7" i="100"/>
  <c r="H7" i="100"/>
  <c r="P7" i="100"/>
  <c r="Q7" i="100"/>
  <c r="R7" i="100"/>
  <c r="P8" i="100"/>
  <c r="Q8" i="100"/>
  <c r="R8" i="100"/>
  <c r="F10" i="100"/>
  <c r="H10" i="100"/>
  <c r="P10" i="100"/>
  <c r="Q10" i="100"/>
  <c r="R10" i="100"/>
  <c r="P11" i="100"/>
  <c r="Q11" i="100"/>
  <c r="R11" i="100"/>
  <c r="P12" i="100"/>
  <c r="Q12" i="100"/>
  <c r="R12" i="100"/>
  <c r="P13" i="100"/>
  <c r="Q13" i="100"/>
  <c r="R13" i="100"/>
  <c r="F15" i="100"/>
  <c r="H15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P19" i="100"/>
  <c r="Q19" i="100"/>
  <c r="R19" i="100"/>
  <c r="F21" i="100"/>
  <c r="H21" i="100"/>
  <c r="P21" i="100"/>
  <c r="Q21" i="100"/>
  <c r="R21" i="100"/>
  <c r="P22" i="100"/>
  <c r="Q22" i="100"/>
  <c r="R22" i="100"/>
  <c r="F24" i="100"/>
  <c r="H24" i="100"/>
  <c r="P24" i="100"/>
  <c r="Q24" i="100"/>
  <c r="R24" i="100"/>
  <c r="F26" i="100"/>
  <c r="H26" i="100"/>
  <c r="P26" i="100"/>
  <c r="Q26" i="100"/>
  <c r="R26" i="100"/>
  <c r="F28" i="100"/>
  <c r="H28" i="100"/>
  <c r="P28" i="100"/>
  <c r="Q28" i="100"/>
  <c r="R28" i="100"/>
  <c r="F30" i="100"/>
  <c r="H30" i="100"/>
  <c r="P30" i="100"/>
  <c r="Q30" i="100"/>
  <c r="R30" i="100"/>
  <c r="F32" i="100"/>
  <c r="H32" i="100"/>
  <c r="P32" i="100"/>
  <c r="Q32" i="100"/>
  <c r="R32" i="100"/>
  <c r="P33" i="100"/>
  <c r="Q33" i="100"/>
  <c r="R33" i="100"/>
  <c r="F35" i="100"/>
  <c r="H35" i="100"/>
  <c r="P35" i="100"/>
  <c r="Q35" i="100"/>
  <c r="R35" i="100"/>
  <c r="J37" i="100"/>
  <c r="L37" i="100"/>
  <c r="N37" i="100"/>
  <c r="P37" i="100"/>
  <c r="Q37" i="100"/>
  <c r="R37" i="100"/>
  <c r="S37" i="100"/>
  <c r="N38" i="100"/>
  <c r="S38" i="100"/>
  <c r="Q39" i="100"/>
  <c r="R39" i="100"/>
  <c r="R40" i="100"/>
  <c r="R41" i="100"/>
</calcChain>
</file>

<file path=xl/sharedStrings.xml><?xml version="1.0" encoding="utf-8"?>
<sst xmlns="http://schemas.openxmlformats.org/spreadsheetml/2006/main" count="98" uniqueCount="68">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</sst>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1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/>
    <xf numFmtId="9" fontId="18" fillId="0" borderId="10" xfId="3" applyFont="1" applyFill="1" applyBorder="1" applyAlignment="1">
      <alignment horizontal="center"/>
    </xf>
    <xf numFmtId="9" fontId="18" fillId="0" borderId="10" xfId="3" applyFont="1" applyBorder="1"/>
    <xf numFmtId="1" fontId="19" fillId="0" borderId="10" xfId="0" applyNumberFormat="1" applyFont="1" applyBorder="1"/>
    <xf numFmtId="9" fontId="19" fillId="0" borderId="11" xfId="3" applyFont="1" applyBorder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PC/Noms/Dec00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  <row r="132">
          <cell r="D132">
            <v>2</v>
          </cell>
          <cell r="E132">
            <v>60</v>
          </cell>
          <cell r="F132">
            <v>476</v>
          </cell>
          <cell r="G132">
            <v>494</v>
          </cell>
          <cell r="H132">
            <v>53</v>
          </cell>
          <cell r="I132">
            <v>9</v>
          </cell>
          <cell r="J132">
            <v>4293</v>
          </cell>
          <cell r="K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20000</v>
          </cell>
          <cell r="AB132">
            <v>20000</v>
          </cell>
          <cell r="AC132">
            <v>20000</v>
          </cell>
          <cell r="AD132">
            <v>20000</v>
          </cell>
          <cell r="AE132">
            <v>20000</v>
          </cell>
          <cell r="AF132">
            <v>20000</v>
          </cell>
          <cell r="AG132">
            <v>20000</v>
          </cell>
          <cell r="AH132">
            <v>20000</v>
          </cell>
          <cell r="AI132">
            <v>20000</v>
          </cell>
          <cell r="AJ132">
            <v>20000</v>
          </cell>
          <cell r="AK132">
            <v>20000</v>
          </cell>
          <cell r="AL132">
            <v>20000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topLeftCell="A4" zoomScale="75" workbookViewId="0">
      <pane xSplit="5" topLeftCell="F1" activePane="topRight" state="frozenSplit"/>
      <selection pane="topRight" activeCell="A40" sqref="A40:IV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9" customWidth="1"/>
    <col min="13" max="13" width="1.44140625" style="5" customWidth="1"/>
    <col min="14" max="14" width="15.6640625" style="5" bestFit="1" customWidth="1"/>
    <col min="15" max="15" width="13.88671875" style="74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5"/>
      <c r="N1" s="44"/>
      <c r="O1" s="84">
        <f ca="1">NOW()</f>
        <v>36881.632587037035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36892</v>
      </c>
      <c r="L2" s="75"/>
      <c r="O2" s="83">
        <f ca="1">NOW()</f>
        <v>36881.632587037035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7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64</v>
      </c>
      <c r="M4" s="20"/>
      <c r="N4" s="20"/>
      <c r="O4" s="68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1698</v>
      </c>
      <c r="K5" s="29"/>
      <c r="L5" s="85" t="s">
        <v>65</v>
      </c>
      <c r="M5" s="28"/>
      <c r="N5" s="41">
        <v>67694</v>
      </c>
      <c r="O5" s="69">
        <v>0.5</v>
      </c>
      <c r="P5" s="61" t="str">
        <f>IF(Q5&lt;0,ABS(Q5),"")</f>
        <v/>
      </c>
      <c r="Q5" s="58">
        <f>IF(L$37&gt;0,L5-R5,J5-R5)</f>
        <v>849</v>
      </c>
      <c r="R5" s="58">
        <f>ROUND((1-O5)*J5,0)</f>
        <v>849</v>
      </c>
      <c r="T5" s="51">
        <v>17</v>
      </c>
      <c r="U5" s="51">
        <v>1</v>
      </c>
      <c r="V5" s="51" t="s">
        <v>54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5"/>
      <c r="M6" s="26"/>
      <c r="N6" s="42"/>
      <c r="O6" s="69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8052</v>
      </c>
      <c r="K7" s="29"/>
      <c r="L7" s="85" t="s">
        <v>65</v>
      </c>
      <c r="M7" s="26"/>
      <c r="N7" s="41">
        <v>67694</v>
      </c>
      <c r="O7" s="69">
        <v>0.6</v>
      </c>
      <c r="P7" s="61" t="str">
        <f>IF(Q7&lt;0,ABS(Q7),"")</f>
        <v/>
      </c>
      <c r="Q7" s="58">
        <f>IF(L$37&gt;0,L7-R7,J7-R7)</f>
        <v>4831</v>
      </c>
      <c r="R7" s="58">
        <f>ROUND((1-O7)*J7,0)</f>
        <v>3221</v>
      </c>
      <c r="T7" s="52">
        <v>18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5" t="s">
        <v>66</v>
      </c>
      <c r="M8" s="26"/>
      <c r="N8" s="41">
        <v>68918</v>
      </c>
      <c r="O8" s="69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7000</v>
      </c>
      <c r="T8" s="52">
        <v>19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5"/>
      <c r="M9" s="26"/>
      <c r="N9" s="42"/>
      <c r="O9" s="69"/>
      <c r="P9" s="12"/>
      <c r="Q9" s="58"/>
      <c r="R9" s="58"/>
      <c r="T9" s="52">
        <v>22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 t="str">
        <f>V11</f>
        <v>x</v>
      </c>
      <c r="I10" s="30"/>
      <c r="J10" s="29">
        <v>2059</v>
      </c>
      <c r="K10" s="29"/>
      <c r="L10" s="85" t="s">
        <v>65</v>
      </c>
      <c r="M10" s="26"/>
      <c r="N10" s="41">
        <v>67694</v>
      </c>
      <c r="O10" s="69">
        <v>0.9</v>
      </c>
      <c r="P10" s="61" t="str">
        <f>IF(Q10&lt;0,ABS(Q10),"")</f>
        <v/>
      </c>
      <c r="Q10" s="58">
        <f>IF(L$37&gt;0,L10-R10,J10-R10)</f>
        <v>1853</v>
      </c>
      <c r="R10" s="58">
        <f>ROUND((1-O10)*J10,0)</f>
        <v>206</v>
      </c>
      <c r="T10" s="52">
        <v>19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5" t="s">
        <v>66</v>
      </c>
      <c r="M11" s="26"/>
      <c r="N11" s="41">
        <v>68915</v>
      </c>
      <c r="O11" s="69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2400</v>
      </c>
      <c r="T11" s="52">
        <v>19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5" t="s">
        <v>66</v>
      </c>
      <c r="M12" s="26"/>
      <c r="N12" s="41">
        <v>69148</v>
      </c>
      <c r="O12" s="69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500</v>
      </c>
      <c r="T12" s="52">
        <v>22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5" t="s">
        <v>66</v>
      </c>
      <c r="M13" s="26"/>
      <c r="N13" s="41">
        <v>69693</v>
      </c>
      <c r="O13" s="69">
        <v>0</v>
      </c>
      <c r="P13" s="61" t="str">
        <f>IF(Q13&lt;0,ABS(Q13),"")</f>
        <v/>
      </c>
      <c r="Q13" s="58">
        <f>IF(L$37&gt;0,L13-R13,J13-R13)</f>
        <v>0</v>
      </c>
      <c r="R13" s="58">
        <f>ROUND((1-O13)*J13,0)</f>
        <v>1600</v>
      </c>
      <c r="T13" s="52">
        <v>21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5"/>
      <c r="M14" s="26"/>
      <c r="N14" s="42"/>
      <c r="O14" s="69"/>
      <c r="P14" s="12"/>
      <c r="Q14" s="58"/>
      <c r="R14" s="58"/>
      <c r="T14" s="52">
        <v>24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17</v>
      </c>
      <c r="G15" s="30"/>
      <c r="H15" s="26" t="str">
        <f>V5</f>
        <v>x</v>
      </c>
      <c r="I15" s="30"/>
      <c r="J15" s="29">
        <v>13140</v>
      </c>
      <c r="K15" s="29"/>
      <c r="L15" s="85" t="s">
        <v>65</v>
      </c>
      <c r="M15" s="26"/>
      <c r="N15" s="41">
        <v>67694</v>
      </c>
      <c r="O15" s="69">
        <v>0.75</v>
      </c>
      <c r="P15" s="61" t="str">
        <f>IF(Q15&lt;0,ABS(Q15),"")</f>
        <v/>
      </c>
      <c r="Q15" s="58">
        <f>IF(L$37&gt;0,L15-R15,J15-R15)</f>
        <v>9855</v>
      </c>
      <c r="R15" s="58">
        <f>ROUND((1-O15)*J15,0)</f>
        <v>3285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5" t="s">
        <v>66</v>
      </c>
      <c r="M16" s="26"/>
      <c r="N16" s="41">
        <v>68917</v>
      </c>
      <c r="O16" s="69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85</v>
      </c>
      <c r="T16" s="53">
        <v>19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5" t="s">
        <v>66</v>
      </c>
      <c r="M17" s="26"/>
      <c r="N17" s="41">
        <v>69149</v>
      </c>
      <c r="O17" s="69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5"/>
      <c r="M18" s="26"/>
      <c r="N18" s="42"/>
      <c r="O18" s="69"/>
      <c r="Q18" s="58"/>
      <c r="R18" s="58"/>
      <c r="T18" s="54">
        <f>AVERAGE(T5:T16)</f>
        <v>20.083333333333332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 t="str">
        <f>V7</f>
        <v>x</v>
      </c>
      <c r="I19" s="30"/>
      <c r="J19" s="29">
        <v>2644</v>
      </c>
      <c r="K19" s="29"/>
      <c r="L19" s="85" t="s">
        <v>65</v>
      </c>
      <c r="M19" s="26"/>
      <c r="N19" s="41">
        <v>67694</v>
      </c>
      <c r="O19" s="69">
        <v>0.6</v>
      </c>
      <c r="P19" s="61" t="str">
        <f>IF(Q19&lt;0,ABS(Q19),"")</f>
        <v/>
      </c>
      <c r="Q19" s="58">
        <f>IF(L$37&gt;0,L19-R19,J19-R19)</f>
        <v>1586</v>
      </c>
      <c r="R19" s="58">
        <f>ROUND((1-O19)*J19,0)</f>
        <v>1058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5"/>
      <c r="M20" s="26"/>
      <c r="N20" s="42"/>
      <c r="O20" s="69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 t="str">
        <f>V8</f>
        <v>x</v>
      </c>
      <c r="I21" s="30"/>
      <c r="J21" s="29">
        <v>2200</v>
      </c>
      <c r="K21" s="29"/>
      <c r="L21" s="85" t="s">
        <v>65</v>
      </c>
      <c r="M21" s="30"/>
      <c r="N21" s="41">
        <v>67694</v>
      </c>
      <c r="O21" s="69">
        <v>0.5</v>
      </c>
      <c r="P21" s="61" t="str">
        <f>IF(Q21&lt;0,ABS(Q21),"")</f>
        <v/>
      </c>
      <c r="Q21" s="58">
        <f>IF(L$37&gt;0,L21-R21,J21-R21)</f>
        <v>1100</v>
      </c>
      <c r="R21" s="58">
        <f>ROUND((1-O21)*J21,0)</f>
        <v>1100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5" t="s">
        <v>66</v>
      </c>
      <c r="M22" s="30"/>
      <c r="N22" s="41">
        <v>68916</v>
      </c>
      <c r="O22" s="69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5"/>
      <c r="M23" s="26"/>
      <c r="N23" s="42"/>
      <c r="O23" s="69"/>
      <c r="Q23" s="58"/>
      <c r="R23" s="58"/>
      <c r="T23" s="66">
        <v>0.4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 t="str">
        <f>V9</f>
        <v>x</v>
      </c>
      <c r="I24" s="30"/>
      <c r="J24" s="29">
        <v>15982</v>
      </c>
      <c r="K24" s="29"/>
      <c r="L24" s="85" t="s">
        <v>65</v>
      </c>
      <c r="M24" s="26"/>
      <c r="N24" s="41">
        <v>67694</v>
      </c>
      <c r="O24" s="69">
        <v>0.55000000000000004</v>
      </c>
      <c r="P24" s="61" t="str">
        <f>IF(Q24&lt;0,ABS(Q24),"")</f>
        <v/>
      </c>
      <c r="Q24" s="58">
        <f>IF(L$37&gt;0,L24-R24,J24-R24)</f>
        <v>8790.1</v>
      </c>
      <c r="R24" s="58">
        <f>(1-O24)*J24</f>
        <v>7191.9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5"/>
      <c r="M25" s="26"/>
      <c r="N25" s="42"/>
      <c r="O25" s="69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 t="str">
        <f>V10</f>
        <v>x</v>
      </c>
      <c r="I26" s="30"/>
      <c r="J26" s="29">
        <v>3354</v>
      </c>
      <c r="K26" s="29"/>
      <c r="L26" s="85" t="s">
        <v>65</v>
      </c>
      <c r="M26" s="26"/>
      <c r="N26" s="41">
        <v>67694</v>
      </c>
      <c r="O26" s="69">
        <v>0.5</v>
      </c>
      <c r="P26" s="61" t="str">
        <f>IF(Q26&lt;0,ABS(Q26),"")</f>
        <v/>
      </c>
      <c r="Q26" s="58">
        <f>IF(L$37&gt;0,L26-R26,J26-R26)</f>
        <v>1677</v>
      </c>
      <c r="R26" s="58">
        <f>ROUND((1-O26)*J26,0)</f>
        <v>1677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5"/>
      <c r="M27" s="26"/>
      <c r="N27" s="42"/>
      <c r="O27" s="69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 t="str">
        <f>V12</f>
        <v>x</v>
      </c>
      <c r="I28" s="30"/>
      <c r="J28" s="29">
        <v>5649</v>
      </c>
      <c r="K28" s="29"/>
      <c r="L28" s="85" t="s">
        <v>65</v>
      </c>
      <c r="M28" s="26"/>
      <c r="N28" s="41">
        <v>67694</v>
      </c>
      <c r="O28" s="69">
        <v>0.3</v>
      </c>
      <c r="P28" s="61" t="str">
        <f>IF(Q28&lt;0,ABS(Q28),"")</f>
        <v/>
      </c>
      <c r="Q28" s="58">
        <f>IF(L$37&gt;0,L28-R28,J28-R28)</f>
        <v>1695</v>
      </c>
      <c r="R28" s="58">
        <f>ROUND((1-O28)*J28,0)</f>
        <v>3954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5"/>
      <c r="M29" s="26"/>
      <c r="N29" s="42"/>
      <c r="O29" s="69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 t="str">
        <f>V13</f>
        <v>x</v>
      </c>
      <c r="I30" s="30"/>
      <c r="J30" s="29">
        <v>5706</v>
      </c>
      <c r="K30" s="29"/>
      <c r="L30" s="85" t="s">
        <v>65</v>
      </c>
      <c r="M30" s="26"/>
      <c r="N30" s="41">
        <v>67694</v>
      </c>
      <c r="O30" s="69">
        <v>0.35</v>
      </c>
      <c r="P30" s="61" t="str">
        <f>IF(Q30&lt;0,ABS(Q30),"")</f>
        <v/>
      </c>
      <c r="Q30" s="58">
        <f>IF(L$37&gt;0,L30-R30,J30-R30)</f>
        <v>1997</v>
      </c>
      <c r="R30" s="58">
        <f>ROUND((1-O30)*J30,0)</f>
        <v>3709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5"/>
      <c r="M31" s="26"/>
      <c r="N31" s="42"/>
      <c r="O31" s="69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2735</v>
      </c>
      <c r="K32" s="29"/>
      <c r="L32" s="85" t="s">
        <v>65</v>
      </c>
      <c r="M32" s="26"/>
      <c r="N32" s="41">
        <v>67694</v>
      </c>
      <c r="O32" s="69">
        <v>0.4</v>
      </c>
      <c r="P32" s="61" t="str">
        <f>IF(Q32&lt;0,ABS(Q32),"")</f>
        <v/>
      </c>
      <c r="Q32" s="58">
        <f>IF(L$37&gt;0,L32-R32,J32-R32)</f>
        <v>1094</v>
      </c>
      <c r="R32" s="58">
        <f>ROUND((1-O32)*J32,0)</f>
        <v>1641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85" t="s">
        <v>67</v>
      </c>
      <c r="M33" s="26"/>
      <c r="N33" s="41">
        <v>69823</v>
      </c>
      <c r="O33" s="69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85"/>
      <c r="M34" s="26"/>
      <c r="N34" s="42"/>
      <c r="O34" s="69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 t="str">
        <f>V16</f>
        <v>x</v>
      </c>
      <c r="I35" s="30"/>
      <c r="J35" s="29">
        <v>56</v>
      </c>
      <c r="K35" s="29"/>
      <c r="L35" s="85" t="s">
        <v>65</v>
      </c>
      <c r="M35" s="26"/>
      <c r="N35" s="41">
        <v>67694</v>
      </c>
      <c r="O35" s="69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6"/>
      <c r="M36" s="26"/>
      <c r="N36" s="39"/>
      <c r="O36" s="70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78775</v>
      </c>
      <c r="K37" s="31"/>
      <c r="L37" s="76">
        <f>SUM(L5:L35)</f>
        <v>0</v>
      </c>
      <c r="M37" s="26"/>
      <c r="N37" s="61">
        <f>+J37-L37</f>
        <v>78775</v>
      </c>
      <c r="O37" s="71"/>
      <c r="P37" s="62">
        <f>SUM(P5:P35)</f>
        <v>0</v>
      </c>
      <c r="Q37" s="63">
        <f>SUM(Q5:Q35)/IF($L$37&gt;0,$L37,$J37)</f>
        <v>0.44916661377340528</v>
      </c>
      <c r="R37" s="63">
        <f>SUM(R5:R35)/IF($L$37&gt;0,$L37,$J37)</f>
        <v>0.55083338622659472</v>
      </c>
      <c r="S37" s="82">
        <f>Q39/(Q39+(R39-LOOKUP(J2,[1]!date,[1]!enaft)))</f>
        <v>0.52722463940874953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77"/>
      <c r="M38" s="36"/>
      <c r="N38" s="43">
        <f>1-(+L37/J37)</f>
        <v>1</v>
      </c>
      <c r="O38" s="72"/>
      <c r="S38" s="60">
        <f>SUM(Q39:R39)</f>
        <v>78775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78"/>
      <c r="M39" s="2"/>
      <c r="N39" s="2"/>
      <c r="O39" s="73"/>
      <c r="P39" s="2"/>
      <c r="Q39" s="60">
        <f>SUM(Q5:Q35)</f>
        <v>35383.1</v>
      </c>
      <c r="R39" s="60">
        <f>SUM(R5:R35)</f>
        <v>43391.9</v>
      </c>
      <c r="S39" s="56"/>
    </row>
    <row r="40" spans="1:19" ht="15.6" hidden="1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78" t="s">
        <v>47</v>
      </c>
      <c r="M40" s="2"/>
      <c r="N40" s="2"/>
      <c r="O40" s="73"/>
      <c r="P40" s="2"/>
      <c r="R40" s="80">
        <f>LOOKUP(J2,[1]!date,[1]!buysell)+[1]COH!$G$124</f>
        <v>46991</v>
      </c>
      <c r="S40" s="2" t="s">
        <v>62</v>
      </c>
    </row>
    <row r="41" spans="1:19" ht="15.6" hidden="1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78" t="s">
        <v>48</v>
      </c>
      <c r="M41" s="2"/>
      <c r="N41" s="2"/>
      <c r="O41" s="73"/>
      <c r="P41" s="2"/>
      <c r="R41" s="81">
        <f>(R39-R40)/0.97816</f>
        <v>-3679.4593931463141</v>
      </c>
      <c r="S41" s="2" t="s">
        <v>63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78"/>
      <c r="M42" s="2"/>
      <c r="N42" s="2"/>
      <c r="O42" s="73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8"/>
      <c r="M43" s="2"/>
      <c r="N43" s="2"/>
      <c r="O43" s="73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8"/>
      <c r="M44" s="2"/>
      <c r="N44" s="2"/>
      <c r="O44" s="73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8"/>
      <c r="M45" s="2"/>
      <c r="N45" s="2"/>
      <c r="O45" s="73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78"/>
      <c r="M46" s="2"/>
      <c r="N46" s="2"/>
      <c r="O46" s="73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curves</vt:lpstr>
      <vt:lpstr>Jan 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'Jan 1'!Print_Area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2023-09-10T12:07:37Z</dcterms:modified>
</cp:coreProperties>
</file>