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908" yWindow="0" windowWidth="14796" windowHeight="8856" tabRatio="602" activeTab="2"/>
  </bookViews>
  <sheets>
    <sheet name="3rd Party Deals" sheetId="30" r:id="rId1"/>
    <sheet name="Spot wENA" sheetId="21" r:id="rId2"/>
    <sheet name="CGAS" sheetId="22" r:id="rId3"/>
    <sheet name="Pricing" sheetId="25" r:id="rId4"/>
    <sheet name="NEW Retail East" sheetId="19" r:id="rId5"/>
    <sheet name="New Retail Mrkt" sheetId="28" r:id="rId6"/>
    <sheet name="Sheet1" sheetId="29" r:id="rId7"/>
  </sheets>
  <definedNames>
    <definedName name="_xlnm.Print_Area" localSheetId="4">'NEW Retail East'!$A$1:$AC$84</definedName>
    <definedName name="_xlnm.Print_Area" localSheetId="5">'New Retail Mrkt'!$A$7:$V$68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0" fullCalcOnLoad="1"/>
</workbook>
</file>

<file path=xl/calcChain.xml><?xml version="1.0" encoding="utf-8"?>
<calcChain xmlns="http://schemas.openxmlformats.org/spreadsheetml/2006/main">
  <c r="C6" i="30" l="1"/>
  <c r="D6" i="30"/>
  <c r="G6" i="30"/>
  <c r="H6" i="30"/>
  <c r="K6" i="30"/>
  <c r="L6" i="30"/>
  <c r="P6" i="30"/>
  <c r="T6" i="30"/>
  <c r="W6" i="30"/>
  <c r="X6" i="30"/>
  <c r="A7" i="30"/>
  <c r="B7" i="30"/>
  <c r="C7" i="30"/>
  <c r="D7" i="30"/>
  <c r="F7" i="30"/>
  <c r="G7" i="30"/>
  <c r="H7" i="30"/>
  <c r="J7" i="30"/>
  <c r="K7" i="30"/>
  <c r="L7" i="30"/>
  <c r="N7" i="30"/>
  <c r="O7" i="30"/>
  <c r="P7" i="30"/>
  <c r="R7" i="30"/>
  <c r="S7" i="30"/>
  <c r="T7" i="30"/>
  <c r="W7" i="30"/>
  <c r="X7" i="30"/>
  <c r="A8" i="30"/>
  <c r="B8" i="30"/>
  <c r="C8" i="30"/>
  <c r="D8" i="30"/>
  <c r="F8" i="30"/>
  <c r="G8" i="30"/>
  <c r="H8" i="30"/>
  <c r="J8" i="30"/>
  <c r="K8" i="30"/>
  <c r="L8" i="30"/>
  <c r="N8" i="30"/>
  <c r="O8" i="30"/>
  <c r="P8" i="30"/>
  <c r="R8" i="30"/>
  <c r="S8" i="30"/>
  <c r="T8" i="30"/>
  <c r="W8" i="30"/>
  <c r="X8" i="30"/>
  <c r="A9" i="30"/>
  <c r="B9" i="30"/>
  <c r="C9" i="30"/>
  <c r="D9" i="30"/>
  <c r="F9" i="30"/>
  <c r="G9" i="30"/>
  <c r="H9" i="30"/>
  <c r="J9" i="30"/>
  <c r="K9" i="30"/>
  <c r="L9" i="30"/>
  <c r="N9" i="30"/>
  <c r="O9" i="30"/>
  <c r="P9" i="30"/>
  <c r="R9" i="30"/>
  <c r="S9" i="30"/>
  <c r="T9" i="30"/>
  <c r="W9" i="30"/>
  <c r="X9" i="30"/>
  <c r="A10" i="30"/>
  <c r="B10" i="30"/>
  <c r="C10" i="30"/>
  <c r="D10" i="30"/>
  <c r="F10" i="30"/>
  <c r="G10" i="30"/>
  <c r="H10" i="30"/>
  <c r="J10" i="30"/>
  <c r="K10" i="30"/>
  <c r="L10" i="30"/>
  <c r="N10" i="30"/>
  <c r="O10" i="30"/>
  <c r="P10" i="30"/>
  <c r="R10" i="30"/>
  <c r="S10" i="30"/>
  <c r="T10" i="30"/>
  <c r="W10" i="30"/>
  <c r="X10" i="30"/>
  <c r="A11" i="30"/>
  <c r="B11" i="30"/>
  <c r="C11" i="30"/>
  <c r="D11" i="30"/>
  <c r="F11" i="30"/>
  <c r="G11" i="30"/>
  <c r="H11" i="30"/>
  <c r="J11" i="30"/>
  <c r="K11" i="30"/>
  <c r="L11" i="30"/>
  <c r="N11" i="30"/>
  <c r="O11" i="30"/>
  <c r="P11" i="30"/>
  <c r="R11" i="30"/>
  <c r="S11" i="30"/>
  <c r="T11" i="30"/>
  <c r="W11" i="30"/>
  <c r="X11" i="30"/>
  <c r="A12" i="30"/>
  <c r="B12" i="30"/>
  <c r="C12" i="30"/>
  <c r="D12" i="30"/>
  <c r="F12" i="30"/>
  <c r="G12" i="30"/>
  <c r="H12" i="30"/>
  <c r="J12" i="30"/>
  <c r="K12" i="30"/>
  <c r="L12" i="30"/>
  <c r="N12" i="30"/>
  <c r="O12" i="30"/>
  <c r="P12" i="30"/>
  <c r="R12" i="30"/>
  <c r="S12" i="30"/>
  <c r="T12" i="30"/>
  <c r="W12" i="30"/>
  <c r="X12" i="30"/>
  <c r="A13" i="30"/>
  <c r="B13" i="30"/>
  <c r="C13" i="30"/>
  <c r="D13" i="30"/>
  <c r="F13" i="30"/>
  <c r="G13" i="30"/>
  <c r="H13" i="30"/>
  <c r="J13" i="30"/>
  <c r="K13" i="30"/>
  <c r="L13" i="30"/>
  <c r="N13" i="30"/>
  <c r="O13" i="30"/>
  <c r="P13" i="30"/>
  <c r="R13" i="30"/>
  <c r="S13" i="30"/>
  <c r="T13" i="30"/>
  <c r="W13" i="30"/>
  <c r="X13" i="30"/>
  <c r="A14" i="30"/>
  <c r="B14" i="30"/>
  <c r="C14" i="30"/>
  <c r="D14" i="30"/>
  <c r="F14" i="30"/>
  <c r="G14" i="30"/>
  <c r="H14" i="30"/>
  <c r="J14" i="30"/>
  <c r="K14" i="30"/>
  <c r="L14" i="30"/>
  <c r="N14" i="30"/>
  <c r="O14" i="30"/>
  <c r="P14" i="30"/>
  <c r="R14" i="30"/>
  <c r="S14" i="30"/>
  <c r="T14" i="30"/>
  <c r="W14" i="30"/>
  <c r="X14" i="30"/>
  <c r="A15" i="30"/>
  <c r="B15" i="30"/>
  <c r="C15" i="30"/>
  <c r="D15" i="30"/>
  <c r="F15" i="30"/>
  <c r="G15" i="30"/>
  <c r="H15" i="30"/>
  <c r="J15" i="30"/>
  <c r="K15" i="30"/>
  <c r="L15" i="30"/>
  <c r="N15" i="30"/>
  <c r="O15" i="30"/>
  <c r="P15" i="30"/>
  <c r="R15" i="30"/>
  <c r="S15" i="30"/>
  <c r="T15" i="30"/>
  <c r="W15" i="30"/>
  <c r="X15" i="30"/>
  <c r="A16" i="30"/>
  <c r="B16" i="30"/>
  <c r="C16" i="30"/>
  <c r="D16" i="30"/>
  <c r="F16" i="30"/>
  <c r="G16" i="30"/>
  <c r="H16" i="30"/>
  <c r="J16" i="30"/>
  <c r="K16" i="30"/>
  <c r="L16" i="30"/>
  <c r="N16" i="30"/>
  <c r="O16" i="30"/>
  <c r="P16" i="30"/>
  <c r="R16" i="30"/>
  <c r="S16" i="30"/>
  <c r="T16" i="30"/>
  <c r="W16" i="30"/>
  <c r="X16" i="30"/>
  <c r="A17" i="30"/>
  <c r="B17" i="30"/>
  <c r="C17" i="30"/>
  <c r="D17" i="30"/>
  <c r="F17" i="30"/>
  <c r="G17" i="30"/>
  <c r="H17" i="30"/>
  <c r="J17" i="30"/>
  <c r="K17" i="30"/>
  <c r="L17" i="30"/>
  <c r="N17" i="30"/>
  <c r="O17" i="30"/>
  <c r="P17" i="30"/>
  <c r="R17" i="30"/>
  <c r="S17" i="30"/>
  <c r="T17" i="30"/>
  <c r="W17" i="30"/>
  <c r="X17" i="30"/>
  <c r="A18" i="30"/>
  <c r="B18" i="30"/>
  <c r="C18" i="30"/>
  <c r="D18" i="30"/>
  <c r="F18" i="30"/>
  <c r="G18" i="30"/>
  <c r="H18" i="30"/>
  <c r="J18" i="30"/>
  <c r="K18" i="30"/>
  <c r="L18" i="30"/>
  <c r="N18" i="30"/>
  <c r="O18" i="30"/>
  <c r="P18" i="30"/>
  <c r="R18" i="30"/>
  <c r="S18" i="30"/>
  <c r="T18" i="30"/>
  <c r="W18" i="30"/>
  <c r="X18" i="30"/>
  <c r="A19" i="30"/>
  <c r="B19" i="30"/>
  <c r="C19" i="30"/>
  <c r="D19" i="30"/>
  <c r="F19" i="30"/>
  <c r="G19" i="30"/>
  <c r="H19" i="30"/>
  <c r="J19" i="30"/>
  <c r="K19" i="30"/>
  <c r="L19" i="30"/>
  <c r="N19" i="30"/>
  <c r="O19" i="30"/>
  <c r="P19" i="30"/>
  <c r="R19" i="30"/>
  <c r="S19" i="30"/>
  <c r="T19" i="30"/>
  <c r="W19" i="30"/>
  <c r="X19" i="30"/>
  <c r="A20" i="30"/>
  <c r="B20" i="30"/>
  <c r="C20" i="30"/>
  <c r="D20" i="30"/>
  <c r="F20" i="30"/>
  <c r="G20" i="30"/>
  <c r="H20" i="30"/>
  <c r="J20" i="30"/>
  <c r="K20" i="30"/>
  <c r="L20" i="30"/>
  <c r="N20" i="30"/>
  <c r="O20" i="30"/>
  <c r="P20" i="30"/>
  <c r="R20" i="30"/>
  <c r="S20" i="30"/>
  <c r="T20" i="30"/>
  <c r="W20" i="30"/>
  <c r="X20" i="30"/>
  <c r="A21" i="30"/>
  <c r="B21" i="30"/>
  <c r="C21" i="30"/>
  <c r="D21" i="30"/>
  <c r="F21" i="30"/>
  <c r="G21" i="30"/>
  <c r="H21" i="30"/>
  <c r="J21" i="30"/>
  <c r="K21" i="30"/>
  <c r="L21" i="30"/>
  <c r="N21" i="30"/>
  <c r="O21" i="30"/>
  <c r="P21" i="30"/>
  <c r="R21" i="30"/>
  <c r="S21" i="30"/>
  <c r="T21" i="30"/>
  <c r="W21" i="30"/>
  <c r="X21" i="30"/>
  <c r="A22" i="30"/>
  <c r="B22" i="30"/>
  <c r="C22" i="30"/>
  <c r="D22" i="30"/>
  <c r="F22" i="30"/>
  <c r="G22" i="30"/>
  <c r="H22" i="30"/>
  <c r="J22" i="30"/>
  <c r="K22" i="30"/>
  <c r="L22" i="30"/>
  <c r="N22" i="30"/>
  <c r="O22" i="30"/>
  <c r="P22" i="30"/>
  <c r="R22" i="30"/>
  <c r="S22" i="30"/>
  <c r="T22" i="30"/>
  <c r="W22" i="30"/>
  <c r="X22" i="30"/>
  <c r="A23" i="30"/>
  <c r="B23" i="30"/>
  <c r="C23" i="30"/>
  <c r="D23" i="30"/>
  <c r="F23" i="30"/>
  <c r="G23" i="30"/>
  <c r="H23" i="30"/>
  <c r="J23" i="30"/>
  <c r="K23" i="30"/>
  <c r="L23" i="30"/>
  <c r="N23" i="30"/>
  <c r="O23" i="30"/>
  <c r="P23" i="30"/>
  <c r="R23" i="30"/>
  <c r="S23" i="30"/>
  <c r="T23" i="30"/>
  <c r="W23" i="30"/>
  <c r="X23" i="30"/>
  <c r="A24" i="30"/>
  <c r="B24" i="30"/>
  <c r="C24" i="30"/>
  <c r="D24" i="30"/>
  <c r="F24" i="30"/>
  <c r="G24" i="30"/>
  <c r="H24" i="30"/>
  <c r="J24" i="30"/>
  <c r="K24" i="30"/>
  <c r="L24" i="30"/>
  <c r="N24" i="30"/>
  <c r="O24" i="30"/>
  <c r="P24" i="30"/>
  <c r="R24" i="30"/>
  <c r="S24" i="30"/>
  <c r="T24" i="30"/>
  <c r="W24" i="30"/>
  <c r="X24" i="30"/>
  <c r="A25" i="30"/>
  <c r="B25" i="30"/>
  <c r="C25" i="30"/>
  <c r="D25" i="30"/>
  <c r="F25" i="30"/>
  <c r="G25" i="30"/>
  <c r="H25" i="30"/>
  <c r="J25" i="30"/>
  <c r="K25" i="30"/>
  <c r="L25" i="30"/>
  <c r="N25" i="30"/>
  <c r="O25" i="30"/>
  <c r="P25" i="30"/>
  <c r="R25" i="30"/>
  <c r="S25" i="30"/>
  <c r="T25" i="30"/>
  <c r="W25" i="30"/>
  <c r="X25" i="30"/>
  <c r="A26" i="30"/>
  <c r="B26" i="30"/>
  <c r="C26" i="30"/>
  <c r="D26" i="30"/>
  <c r="F26" i="30"/>
  <c r="G26" i="30"/>
  <c r="H26" i="30"/>
  <c r="J26" i="30"/>
  <c r="K26" i="30"/>
  <c r="L26" i="30"/>
  <c r="N26" i="30"/>
  <c r="O26" i="30"/>
  <c r="P26" i="30"/>
  <c r="R26" i="30"/>
  <c r="S26" i="30"/>
  <c r="T26" i="30"/>
  <c r="W26" i="30"/>
  <c r="X26" i="30"/>
  <c r="A27" i="30"/>
  <c r="B27" i="30"/>
  <c r="C27" i="30"/>
  <c r="D27" i="30"/>
  <c r="F27" i="30"/>
  <c r="G27" i="30"/>
  <c r="H27" i="30"/>
  <c r="J27" i="30"/>
  <c r="K27" i="30"/>
  <c r="L27" i="30"/>
  <c r="N27" i="30"/>
  <c r="O27" i="30"/>
  <c r="P27" i="30"/>
  <c r="R27" i="30"/>
  <c r="S27" i="30"/>
  <c r="T27" i="30"/>
  <c r="W27" i="30"/>
  <c r="X27" i="30"/>
  <c r="A28" i="30"/>
  <c r="B28" i="30"/>
  <c r="C28" i="30"/>
  <c r="D28" i="30"/>
  <c r="F28" i="30"/>
  <c r="G28" i="30"/>
  <c r="H28" i="30"/>
  <c r="J28" i="30"/>
  <c r="K28" i="30"/>
  <c r="L28" i="30"/>
  <c r="N28" i="30"/>
  <c r="O28" i="30"/>
  <c r="P28" i="30"/>
  <c r="R28" i="30"/>
  <c r="S28" i="30"/>
  <c r="T28" i="30"/>
  <c r="W28" i="30"/>
  <c r="X28" i="30"/>
  <c r="A29" i="30"/>
  <c r="B29" i="30"/>
  <c r="C29" i="30"/>
  <c r="D29" i="30"/>
  <c r="F29" i="30"/>
  <c r="G29" i="30"/>
  <c r="H29" i="30"/>
  <c r="J29" i="30"/>
  <c r="K29" i="30"/>
  <c r="L29" i="30"/>
  <c r="N29" i="30"/>
  <c r="O29" i="30"/>
  <c r="P29" i="30"/>
  <c r="R29" i="30"/>
  <c r="S29" i="30"/>
  <c r="T29" i="30"/>
  <c r="W29" i="30"/>
  <c r="X29" i="30"/>
  <c r="A30" i="30"/>
  <c r="B30" i="30"/>
  <c r="C30" i="30"/>
  <c r="D30" i="30"/>
  <c r="F30" i="30"/>
  <c r="G30" i="30"/>
  <c r="H30" i="30"/>
  <c r="J30" i="30"/>
  <c r="K30" i="30"/>
  <c r="L30" i="30"/>
  <c r="N30" i="30"/>
  <c r="O30" i="30"/>
  <c r="P30" i="30"/>
  <c r="R30" i="30"/>
  <c r="S30" i="30"/>
  <c r="T30" i="30"/>
  <c r="W30" i="30"/>
  <c r="X30" i="30"/>
  <c r="A31" i="30"/>
  <c r="B31" i="30"/>
  <c r="C31" i="30"/>
  <c r="D31" i="30"/>
  <c r="F31" i="30"/>
  <c r="G31" i="30"/>
  <c r="H31" i="30"/>
  <c r="J31" i="30"/>
  <c r="K31" i="30"/>
  <c r="L31" i="30"/>
  <c r="N31" i="30"/>
  <c r="O31" i="30"/>
  <c r="P31" i="30"/>
  <c r="R31" i="30"/>
  <c r="S31" i="30"/>
  <c r="T31" i="30"/>
  <c r="W31" i="30"/>
  <c r="X31" i="30"/>
  <c r="A32" i="30"/>
  <c r="B32" i="30"/>
  <c r="C32" i="30"/>
  <c r="D32" i="30"/>
  <c r="F32" i="30"/>
  <c r="G32" i="30"/>
  <c r="H32" i="30"/>
  <c r="J32" i="30"/>
  <c r="K32" i="30"/>
  <c r="L32" i="30"/>
  <c r="N32" i="30"/>
  <c r="O32" i="30"/>
  <c r="P32" i="30"/>
  <c r="R32" i="30"/>
  <c r="S32" i="30"/>
  <c r="T32" i="30"/>
  <c r="W32" i="30"/>
  <c r="X32" i="30"/>
  <c r="A33" i="30"/>
  <c r="B33" i="30"/>
  <c r="C33" i="30"/>
  <c r="D33" i="30"/>
  <c r="F33" i="30"/>
  <c r="G33" i="30"/>
  <c r="H33" i="30"/>
  <c r="J33" i="30"/>
  <c r="K33" i="30"/>
  <c r="L33" i="30"/>
  <c r="N33" i="30"/>
  <c r="O33" i="30"/>
  <c r="P33" i="30"/>
  <c r="R33" i="30"/>
  <c r="S33" i="30"/>
  <c r="T33" i="30"/>
  <c r="W33" i="30"/>
  <c r="X33" i="30"/>
  <c r="A34" i="30"/>
  <c r="B34" i="30"/>
  <c r="C34" i="30"/>
  <c r="D34" i="30"/>
  <c r="F34" i="30"/>
  <c r="G34" i="30"/>
  <c r="H34" i="30"/>
  <c r="J34" i="30"/>
  <c r="K34" i="30"/>
  <c r="L34" i="30"/>
  <c r="N34" i="30"/>
  <c r="O34" i="30"/>
  <c r="P34" i="30"/>
  <c r="R34" i="30"/>
  <c r="S34" i="30"/>
  <c r="T34" i="30"/>
  <c r="W34" i="30"/>
  <c r="X34" i="30"/>
  <c r="A35" i="30"/>
  <c r="B35" i="30"/>
  <c r="C35" i="30"/>
  <c r="D35" i="30"/>
  <c r="F35" i="30"/>
  <c r="G35" i="30"/>
  <c r="H35" i="30"/>
  <c r="J35" i="30"/>
  <c r="K35" i="30"/>
  <c r="L35" i="30"/>
  <c r="N35" i="30"/>
  <c r="O35" i="30"/>
  <c r="P35" i="30"/>
  <c r="R35" i="30"/>
  <c r="S35" i="30"/>
  <c r="T35" i="30"/>
  <c r="W35" i="30"/>
  <c r="X35" i="30"/>
  <c r="A36" i="30"/>
  <c r="B36" i="30"/>
  <c r="C36" i="30"/>
  <c r="D36" i="30"/>
  <c r="F36" i="30"/>
  <c r="G36" i="30"/>
  <c r="H36" i="30"/>
  <c r="J36" i="30"/>
  <c r="K36" i="30"/>
  <c r="L36" i="30"/>
  <c r="N36" i="30"/>
  <c r="O36" i="30"/>
  <c r="P36" i="30"/>
  <c r="R36" i="30"/>
  <c r="S36" i="30"/>
  <c r="T36" i="30"/>
  <c r="W36" i="30"/>
  <c r="X36" i="30"/>
  <c r="F6" i="22"/>
  <c r="I6" i="22"/>
  <c r="K6" i="22"/>
  <c r="N6" i="22"/>
  <c r="O6" i="22"/>
  <c r="P6" i="22"/>
  <c r="R6" i="22"/>
  <c r="T6" i="22"/>
  <c r="V6" i="22"/>
  <c r="Y6" i="22"/>
  <c r="AA6" i="22"/>
  <c r="AH6" i="22"/>
  <c r="A7" i="22"/>
  <c r="C7" i="22"/>
  <c r="F7" i="22"/>
  <c r="H7" i="22"/>
  <c r="I7" i="22"/>
  <c r="K7" i="22"/>
  <c r="M7" i="22"/>
  <c r="N7" i="22"/>
  <c r="O7" i="22"/>
  <c r="P7" i="22"/>
  <c r="R7" i="22"/>
  <c r="T7" i="22"/>
  <c r="V7" i="22"/>
  <c r="Y7" i="22"/>
  <c r="AA7" i="22"/>
  <c r="AH7" i="22"/>
  <c r="A8" i="22"/>
  <c r="C8" i="22"/>
  <c r="F8" i="22"/>
  <c r="H8" i="22"/>
  <c r="I8" i="22"/>
  <c r="K8" i="22"/>
  <c r="M8" i="22"/>
  <c r="N8" i="22"/>
  <c r="O8" i="22"/>
  <c r="P8" i="22"/>
  <c r="R8" i="22"/>
  <c r="T8" i="22"/>
  <c r="V8" i="22"/>
  <c r="Y8" i="22"/>
  <c r="AA8" i="22"/>
  <c r="AH8" i="22"/>
  <c r="A9" i="22"/>
  <c r="C9" i="22"/>
  <c r="F9" i="22"/>
  <c r="H9" i="22"/>
  <c r="I9" i="22"/>
  <c r="K9" i="22"/>
  <c r="M9" i="22"/>
  <c r="N9" i="22"/>
  <c r="O9" i="22"/>
  <c r="P9" i="22"/>
  <c r="R9" i="22"/>
  <c r="T9" i="22"/>
  <c r="V9" i="22"/>
  <c r="Y9" i="22"/>
  <c r="AA9" i="22"/>
  <c r="AH9" i="22"/>
  <c r="A10" i="22"/>
  <c r="C10" i="22"/>
  <c r="F10" i="22"/>
  <c r="H10" i="22"/>
  <c r="I10" i="22"/>
  <c r="K10" i="22"/>
  <c r="M10" i="22"/>
  <c r="N10" i="22"/>
  <c r="O10" i="22"/>
  <c r="P10" i="22"/>
  <c r="R10" i="22"/>
  <c r="T10" i="22"/>
  <c r="V10" i="22"/>
  <c r="Y10" i="22"/>
  <c r="AA10" i="22"/>
  <c r="AH10" i="22"/>
  <c r="A11" i="22"/>
  <c r="C11" i="22"/>
  <c r="F11" i="22"/>
  <c r="H11" i="22"/>
  <c r="I11" i="22"/>
  <c r="K11" i="22"/>
  <c r="M11" i="22"/>
  <c r="N11" i="22"/>
  <c r="O11" i="22"/>
  <c r="P11" i="22"/>
  <c r="R11" i="22"/>
  <c r="T11" i="22"/>
  <c r="V11" i="22"/>
  <c r="Y11" i="22"/>
  <c r="AA11" i="22"/>
  <c r="AH11" i="22"/>
  <c r="A12" i="22"/>
  <c r="C12" i="22"/>
  <c r="F12" i="22"/>
  <c r="H12" i="22"/>
  <c r="I12" i="22"/>
  <c r="K12" i="22"/>
  <c r="M12" i="22"/>
  <c r="N12" i="22"/>
  <c r="O12" i="22"/>
  <c r="P12" i="22"/>
  <c r="R12" i="22"/>
  <c r="T12" i="22"/>
  <c r="V12" i="22"/>
  <c r="Y12" i="22"/>
  <c r="AA12" i="22"/>
  <c r="AH12" i="22"/>
  <c r="A13" i="22"/>
  <c r="C13" i="22"/>
  <c r="F13" i="22"/>
  <c r="H13" i="22"/>
  <c r="I13" i="22"/>
  <c r="K13" i="22"/>
  <c r="M13" i="22"/>
  <c r="N13" i="22"/>
  <c r="O13" i="22"/>
  <c r="P13" i="22"/>
  <c r="R13" i="22"/>
  <c r="T13" i="22"/>
  <c r="V13" i="22"/>
  <c r="Y13" i="22"/>
  <c r="AA13" i="22"/>
  <c r="AH13" i="22"/>
  <c r="A14" i="22"/>
  <c r="C14" i="22"/>
  <c r="F14" i="22"/>
  <c r="H14" i="22"/>
  <c r="I14" i="22"/>
  <c r="K14" i="22"/>
  <c r="M14" i="22"/>
  <c r="N14" i="22"/>
  <c r="O14" i="22"/>
  <c r="P14" i="22"/>
  <c r="R14" i="22"/>
  <c r="T14" i="22"/>
  <c r="V14" i="22"/>
  <c r="Y14" i="22"/>
  <c r="AA14" i="22"/>
  <c r="AH14" i="22"/>
  <c r="A15" i="22"/>
  <c r="C15" i="22"/>
  <c r="F15" i="22"/>
  <c r="H15" i="22"/>
  <c r="I15" i="22"/>
  <c r="K15" i="22"/>
  <c r="M15" i="22"/>
  <c r="N15" i="22"/>
  <c r="O15" i="22"/>
  <c r="P15" i="22"/>
  <c r="R15" i="22"/>
  <c r="T15" i="22"/>
  <c r="V15" i="22"/>
  <c r="Y15" i="22"/>
  <c r="AA15" i="22"/>
  <c r="AH15" i="22"/>
  <c r="A16" i="22"/>
  <c r="C16" i="22"/>
  <c r="F16" i="22"/>
  <c r="H16" i="22"/>
  <c r="I16" i="22"/>
  <c r="K16" i="22"/>
  <c r="M16" i="22"/>
  <c r="N16" i="22"/>
  <c r="O16" i="22"/>
  <c r="P16" i="22"/>
  <c r="R16" i="22"/>
  <c r="T16" i="22"/>
  <c r="V16" i="22"/>
  <c r="Y16" i="22"/>
  <c r="AA16" i="22"/>
  <c r="AH16" i="22"/>
  <c r="A17" i="22"/>
  <c r="C17" i="22"/>
  <c r="F17" i="22"/>
  <c r="H17" i="22"/>
  <c r="I17" i="22"/>
  <c r="K17" i="22"/>
  <c r="M17" i="22"/>
  <c r="N17" i="22"/>
  <c r="O17" i="22"/>
  <c r="P17" i="22"/>
  <c r="R17" i="22"/>
  <c r="T17" i="22"/>
  <c r="V17" i="22"/>
  <c r="Y17" i="22"/>
  <c r="AA17" i="22"/>
  <c r="AH17" i="22"/>
  <c r="A18" i="22"/>
  <c r="C18" i="22"/>
  <c r="F18" i="22"/>
  <c r="H18" i="22"/>
  <c r="I18" i="22"/>
  <c r="K18" i="22"/>
  <c r="M18" i="22"/>
  <c r="N18" i="22"/>
  <c r="O18" i="22"/>
  <c r="P18" i="22"/>
  <c r="R18" i="22"/>
  <c r="T18" i="22"/>
  <c r="V18" i="22"/>
  <c r="Y18" i="22"/>
  <c r="AA18" i="22"/>
  <c r="AH18" i="22"/>
  <c r="A19" i="22"/>
  <c r="C19" i="22"/>
  <c r="F19" i="22"/>
  <c r="H19" i="22"/>
  <c r="I19" i="22"/>
  <c r="K19" i="22"/>
  <c r="M19" i="22"/>
  <c r="N19" i="22"/>
  <c r="O19" i="22"/>
  <c r="P19" i="22"/>
  <c r="R19" i="22"/>
  <c r="T19" i="22"/>
  <c r="V19" i="22"/>
  <c r="Y19" i="22"/>
  <c r="AA19" i="22"/>
  <c r="AH19" i="22"/>
  <c r="A20" i="22"/>
  <c r="C20" i="22"/>
  <c r="F20" i="22"/>
  <c r="H20" i="22"/>
  <c r="I20" i="22"/>
  <c r="K20" i="22"/>
  <c r="M20" i="22"/>
  <c r="N20" i="22"/>
  <c r="O20" i="22"/>
  <c r="P20" i="22"/>
  <c r="R20" i="22"/>
  <c r="T20" i="22"/>
  <c r="V20" i="22"/>
  <c r="Y20" i="22"/>
  <c r="AA20" i="22"/>
  <c r="AH20" i="22"/>
  <c r="A21" i="22"/>
  <c r="C21" i="22"/>
  <c r="F21" i="22"/>
  <c r="H21" i="22"/>
  <c r="I21" i="22"/>
  <c r="K21" i="22"/>
  <c r="M21" i="22"/>
  <c r="N21" i="22"/>
  <c r="O21" i="22"/>
  <c r="P21" i="22"/>
  <c r="R21" i="22"/>
  <c r="T21" i="22"/>
  <c r="V21" i="22"/>
  <c r="Y21" i="22"/>
  <c r="AA21" i="22"/>
  <c r="AH21" i="22"/>
  <c r="A22" i="22"/>
  <c r="C22" i="22"/>
  <c r="F22" i="22"/>
  <c r="H22" i="22"/>
  <c r="I22" i="22"/>
  <c r="K22" i="22"/>
  <c r="M22" i="22"/>
  <c r="N22" i="22"/>
  <c r="O22" i="22"/>
  <c r="P22" i="22"/>
  <c r="R22" i="22"/>
  <c r="T22" i="22"/>
  <c r="V22" i="22"/>
  <c r="Y22" i="22"/>
  <c r="AA22" i="22"/>
  <c r="AH22" i="22"/>
  <c r="A23" i="22"/>
  <c r="C23" i="22"/>
  <c r="F23" i="22"/>
  <c r="H23" i="22"/>
  <c r="I23" i="22"/>
  <c r="K23" i="22"/>
  <c r="M23" i="22"/>
  <c r="N23" i="22"/>
  <c r="O23" i="22"/>
  <c r="P23" i="22"/>
  <c r="R23" i="22"/>
  <c r="T23" i="22"/>
  <c r="V23" i="22"/>
  <c r="Y23" i="22"/>
  <c r="AA23" i="22"/>
  <c r="AH23" i="22"/>
  <c r="A24" i="22"/>
  <c r="C24" i="22"/>
  <c r="F24" i="22"/>
  <c r="H24" i="22"/>
  <c r="I24" i="22"/>
  <c r="K24" i="22"/>
  <c r="M24" i="22"/>
  <c r="N24" i="22"/>
  <c r="O24" i="22"/>
  <c r="P24" i="22"/>
  <c r="R24" i="22"/>
  <c r="T24" i="22"/>
  <c r="V24" i="22"/>
  <c r="Y24" i="22"/>
  <c r="AA24" i="22"/>
  <c r="AH24" i="22"/>
  <c r="A25" i="22"/>
  <c r="C25" i="22"/>
  <c r="F25" i="22"/>
  <c r="H25" i="22"/>
  <c r="I25" i="22"/>
  <c r="K25" i="22"/>
  <c r="M25" i="22"/>
  <c r="N25" i="22"/>
  <c r="O25" i="22"/>
  <c r="P25" i="22"/>
  <c r="R25" i="22"/>
  <c r="T25" i="22"/>
  <c r="V25" i="22"/>
  <c r="Y25" i="22"/>
  <c r="AA25" i="22"/>
  <c r="AH25" i="22"/>
  <c r="A26" i="22"/>
  <c r="C26" i="22"/>
  <c r="F26" i="22"/>
  <c r="H26" i="22"/>
  <c r="I26" i="22"/>
  <c r="K26" i="22"/>
  <c r="M26" i="22"/>
  <c r="N26" i="22"/>
  <c r="O26" i="22"/>
  <c r="P26" i="22"/>
  <c r="R26" i="22"/>
  <c r="T26" i="22"/>
  <c r="V26" i="22"/>
  <c r="Y26" i="22"/>
  <c r="AA26" i="22"/>
  <c r="AH26" i="22"/>
  <c r="A27" i="22"/>
  <c r="C27" i="22"/>
  <c r="F27" i="22"/>
  <c r="H27" i="22"/>
  <c r="I27" i="22"/>
  <c r="K27" i="22"/>
  <c r="M27" i="22"/>
  <c r="N27" i="22"/>
  <c r="O27" i="22"/>
  <c r="P27" i="22"/>
  <c r="R27" i="22"/>
  <c r="T27" i="22"/>
  <c r="V27" i="22"/>
  <c r="Y27" i="22"/>
  <c r="AA27" i="22"/>
  <c r="AH27" i="22"/>
  <c r="A28" i="22"/>
  <c r="F28" i="22"/>
  <c r="H28" i="22"/>
  <c r="I28" i="22"/>
  <c r="K28" i="22"/>
  <c r="M28" i="22"/>
  <c r="N28" i="22"/>
  <c r="O28" i="22"/>
  <c r="P28" i="22"/>
  <c r="R28" i="22"/>
  <c r="T28" i="22"/>
  <c r="V28" i="22"/>
  <c r="Y28" i="22"/>
  <c r="AA28" i="22"/>
  <c r="AH28" i="22"/>
  <c r="A29" i="22"/>
  <c r="C29" i="22"/>
  <c r="F29" i="22"/>
  <c r="H29" i="22"/>
  <c r="I29" i="22"/>
  <c r="K29" i="22"/>
  <c r="M29" i="22"/>
  <c r="N29" i="22"/>
  <c r="O29" i="22"/>
  <c r="P29" i="22"/>
  <c r="R29" i="22"/>
  <c r="T29" i="22"/>
  <c r="V29" i="22"/>
  <c r="Y29" i="22"/>
  <c r="AA29" i="22"/>
  <c r="AH29" i="22"/>
  <c r="A30" i="22"/>
  <c r="C30" i="22"/>
  <c r="F30" i="22"/>
  <c r="H30" i="22"/>
  <c r="I30" i="22"/>
  <c r="K30" i="22"/>
  <c r="M30" i="22"/>
  <c r="N30" i="22"/>
  <c r="O30" i="22"/>
  <c r="P30" i="22"/>
  <c r="R30" i="22"/>
  <c r="T30" i="22"/>
  <c r="V30" i="22"/>
  <c r="Y30" i="22"/>
  <c r="AA30" i="22"/>
  <c r="AH30" i="22"/>
  <c r="A31" i="22"/>
  <c r="C31" i="22"/>
  <c r="F31" i="22"/>
  <c r="H31" i="22"/>
  <c r="I31" i="22"/>
  <c r="K31" i="22"/>
  <c r="M31" i="22"/>
  <c r="N31" i="22"/>
  <c r="O31" i="22"/>
  <c r="P31" i="22"/>
  <c r="R31" i="22"/>
  <c r="T31" i="22"/>
  <c r="V31" i="22"/>
  <c r="Y31" i="22"/>
  <c r="AA31" i="22"/>
  <c r="A32" i="22"/>
  <c r="C32" i="22"/>
  <c r="F32" i="22"/>
  <c r="H32" i="22"/>
  <c r="I32" i="22"/>
  <c r="K32" i="22"/>
  <c r="M32" i="22"/>
  <c r="N32" i="22"/>
  <c r="O32" i="22"/>
  <c r="P32" i="22"/>
  <c r="R32" i="22"/>
  <c r="T32" i="22"/>
  <c r="V32" i="22"/>
  <c r="Y32" i="22"/>
  <c r="AA32" i="22"/>
  <c r="A33" i="22"/>
  <c r="C33" i="22"/>
  <c r="F33" i="22"/>
  <c r="H33" i="22"/>
  <c r="I33" i="22"/>
  <c r="K33" i="22"/>
  <c r="M33" i="22"/>
  <c r="N33" i="22"/>
  <c r="O33" i="22"/>
  <c r="P33" i="22"/>
  <c r="R33" i="22"/>
  <c r="T33" i="22"/>
  <c r="V33" i="22"/>
  <c r="Y33" i="22"/>
  <c r="AA33" i="22"/>
  <c r="A34" i="22"/>
  <c r="C34" i="22"/>
  <c r="F34" i="22"/>
  <c r="H34" i="22"/>
  <c r="I34" i="22"/>
  <c r="K34" i="22"/>
  <c r="M34" i="22"/>
  <c r="N34" i="22"/>
  <c r="O34" i="22"/>
  <c r="P34" i="22"/>
  <c r="R34" i="22"/>
  <c r="T34" i="22"/>
  <c r="V34" i="22"/>
  <c r="Y34" i="22"/>
  <c r="AA34" i="22"/>
  <c r="A35" i="22"/>
  <c r="C35" i="22"/>
  <c r="F35" i="22"/>
  <c r="H35" i="22"/>
  <c r="I35" i="22"/>
  <c r="K35" i="22"/>
  <c r="M35" i="22"/>
  <c r="N35" i="22"/>
  <c r="O35" i="22"/>
  <c r="P35" i="22"/>
  <c r="R35" i="22"/>
  <c r="T35" i="22"/>
  <c r="V35" i="22"/>
  <c r="Y35" i="22"/>
  <c r="AA35" i="22"/>
  <c r="A36" i="22"/>
  <c r="C36" i="22"/>
  <c r="F36" i="22"/>
  <c r="H36" i="22"/>
  <c r="I36" i="22"/>
  <c r="K36" i="22"/>
  <c r="M36" i="22"/>
  <c r="N36" i="22"/>
  <c r="O36" i="22"/>
  <c r="P36" i="22"/>
  <c r="R36" i="22"/>
  <c r="T36" i="22"/>
  <c r="V36" i="22"/>
  <c r="Y36" i="22"/>
  <c r="AA36" i="22"/>
  <c r="B38" i="22"/>
  <c r="C38" i="22"/>
  <c r="E38" i="22"/>
  <c r="F38" i="22"/>
  <c r="K38" i="22"/>
  <c r="M38" i="22"/>
  <c r="N38" i="22"/>
  <c r="O38" i="22"/>
  <c r="P38" i="22"/>
  <c r="R38" i="22"/>
  <c r="T38" i="22"/>
  <c r="V38" i="22"/>
  <c r="AA38" i="22"/>
  <c r="AA39" i="22"/>
  <c r="E42" i="22"/>
  <c r="F43" i="22"/>
  <c r="G43" i="22"/>
  <c r="E44" i="22"/>
  <c r="F44" i="22"/>
  <c r="G44" i="22"/>
  <c r="E45" i="22"/>
  <c r="G45" i="22"/>
  <c r="G47" i="22"/>
  <c r="W11" i="19"/>
  <c r="J12" i="19"/>
  <c r="T12" i="19"/>
  <c r="J13" i="19"/>
  <c r="T13" i="19"/>
  <c r="J14" i="19"/>
  <c r="T14" i="19"/>
  <c r="J15" i="19"/>
  <c r="T15" i="19"/>
  <c r="J16" i="19"/>
  <c r="P16" i="19"/>
  <c r="T16" i="19"/>
  <c r="J17" i="19"/>
  <c r="P17" i="19"/>
  <c r="T17" i="19"/>
  <c r="J18" i="19"/>
  <c r="P18" i="19"/>
  <c r="T18" i="19"/>
  <c r="J19" i="19"/>
  <c r="T19" i="19"/>
  <c r="J20" i="19"/>
  <c r="T20" i="19"/>
  <c r="J21" i="19"/>
  <c r="T21" i="19"/>
  <c r="J22" i="19"/>
  <c r="T22" i="19"/>
  <c r="J23" i="19"/>
  <c r="T23" i="19"/>
  <c r="J24" i="19"/>
  <c r="T24" i="19"/>
  <c r="J25" i="19"/>
  <c r="T25" i="19"/>
  <c r="R27" i="19"/>
  <c r="T27" i="19"/>
  <c r="W28" i="19"/>
  <c r="P29" i="19"/>
  <c r="T29" i="19"/>
  <c r="J30" i="19"/>
  <c r="P30" i="19"/>
  <c r="T30" i="19"/>
  <c r="P31" i="19"/>
  <c r="T31" i="19"/>
  <c r="J32" i="19"/>
  <c r="P32" i="19"/>
  <c r="T32" i="19"/>
  <c r="P33" i="19"/>
  <c r="T33" i="19"/>
  <c r="J34" i="19"/>
  <c r="P34" i="19"/>
  <c r="T34" i="19"/>
  <c r="P35" i="19"/>
  <c r="T35" i="19"/>
  <c r="J36" i="19"/>
  <c r="P36" i="19"/>
  <c r="T36" i="19"/>
  <c r="J37" i="19"/>
  <c r="T37" i="19"/>
  <c r="J38" i="19"/>
  <c r="T38" i="19"/>
  <c r="J39" i="19"/>
  <c r="R39" i="19"/>
  <c r="T39" i="19"/>
  <c r="J40" i="19"/>
  <c r="R40" i="19"/>
  <c r="T40" i="19"/>
  <c r="J41" i="19"/>
  <c r="R41" i="19"/>
  <c r="T41" i="19"/>
  <c r="J42" i="19"/>
  <c r="T42" i="19"/>
  <c r="J43" i="19"/>
  <c r="T43" i="19"/>
  <c r="J44" i="19"/>
  <c r="T44" i="19"/>
  <c r="J45" i="19"/>
  <c r="T45" i="19"/>
  <c r="J46" i="19"/>
  <c r="T46" i="19"/>
  <c r="J47" i="19"/>
  <c r="T47" i="19"/>
  <c r="T49" i="19"/>
  <c r="W50" i="19"/>
  <c r="T52" i="19"/>
  <c r="W53" i="19"/>
  <c r="J54" i="19"/>
  <c r="P54" i="19"/>
  <c r="T54" i="19"/>
  <c r="J55" i="19"/>
  <c r="P55" i="19"/>
  <c r="Q55" i="19"/>
  <c r="S55" i="19"/>
  <c r="T55" i="19"/>
  <c r="V55" i="19"/>
  <c r="J56" i="19"/>
  <c r="P56" i="19"/>
  <c r="Q56" i="19"/>
  <c r="R56" i="19"/>
  <c r="S56" i="19"/>
  <c r="T56" i="19"/>
  <c r="V56" i="19"/>
  <c r="J57" i="19"/>
  <c r="P57" i="19"/>
  <c r="T57" i="19"/>
  <c r="J58" i="19"/>
  <c r="P58" i="19"/>
  <c r="S58" i="19"/>
  <c r="T58" i="19"/>
  <c r="J59" i="19"/>
  <c r="P59" i="19"/>
  <c r="R59" i="19"/>
  <c r="S59" i="19"/>
  <c r="T59" i="19"/>
  <c r="J60" i="19"/>
  <c r="P60" i="19"/>
  <c r="T60" i="19"/>
  <c r="J61" i="19"/>
  <c r="P61" i="19"/>
  <c r="S61" i="19"/>
  <c r="T61" i="19"/>
  <c r="J62" i="19"/>
  <c r="P62" i="19"/>
  <c r="R62" i="19"/>
  <c r="S62" i="19"/>
  <c r="T62" i="19"/>
  <c r="J63" i="19"/>
  <c r="P63" i="19"/>
  <c r="T63" i="19"/>
  <c r="J64" i="19"/>
  <c r="P64" i="19"/>
  <c r="T64" i="19"/>
  <c r="J65" i="19"/>
  <c r="P65" i="19"/>
  <c r="Q65" i="19"/>
  <c r="S65" i="19"/>
  <c r="T65" i="19"/>
  <c r="J66" i="19"/>
  <c r="P66" i="19"/>
  <c r="Q66" i="19"/>
  <c r="R66" i="19"/>
  <c r="S66" i="19"/>
  <c r="T66" i="19"/>
  <c r="J67" i="19"/>
  <c r="P67" i="19"/>
  <c r="T67" i="19"/>
  <c r="J68" i="19"/>
  <c r="P68" i="19"/>
  <c r="T68" i="19"/>
  <c r="J69" i="19"/>
  <c r="P69" i="19"/>
  <c r="T69" i="19"/>
  <c r="J70" i="19"/>
  <c r="P70" i="19"/>
  <c r="S70" i="19"/>
  <c r="T70" i="19"/>
  <c r="V70" i="19"/>
  <c r="J71" i="19"/>
  <c r="P71" i="19"/>
  <c r="R71" i="19"/>
  <c r="S71" i="19"/>
  <c r="T71" i="19"/>
  <c r="V71" i="19"/>
  <c r="P72" i="19"/>
  <c r="T72" i="19"/>
  <c r="P73" i="19"/>
  <c r="T73" i="19"/>
  <c r="P74" i="19"/>
  <c r="T74" i="19"/>
  <c r="P75" i="19"/>
  <c r="T75" i="19"/>
  <c r="P76" i="19"/>
  <c r="T76" i="19"/>
  <c r="P77" i="19"/>
  <c r="T77" i="19"/>
  <c r="P78" i="19"/>
  <c r="T78" i="19"/>
  <c r="P79" i="19"/>
  <c r="T79" i="19"/>
  <c r="J80" i="19"/>
  <c r="T80" i="19"/>
  <c r="J81" i="19"/>
  <c r="T81" i="19"/>
  <c r="J82" i="19"/>
  <c r="T82" i="19"/>
  <c r="T83" i="19"/>
  <c r="T87" i="19"/>
  <c r="V7" i="28"/>
  <c r="P8" i="28"/>
  <c r="P9" i="28"/>
  <c r="J10" i="28"/>
  <c r="P10" i="28"/>
  <c r="T10" i="28"/>
  <c r="J11" i="28"/>
  <c r="P11" i="28"/>
  <c r="T11" i="28"/>
  <c r="J12" i="28"/>
  <c r="T12" i="28"/>
  <c r="J13" i="28"/>
  <c r="T13" i="28"/>
  <c r="T14" i="28"/>
  <c r="J15" i="28"/>
  <c r="T15" i="28"/>
  <c r="J16" i="28"/>
  <c r="T16" i="28"/>
  <c r="J17" i="28"/>
  <c r="T17" i="28"/>
  <c r="J18" i="28"/>
  <c r="T18" i="28"/>
  <c r="J19" i="28"/>
  <c r="T19" i="28"/>
  <c r="J20" i="28"/>
  <c r="T20" i="28"/>
  <c r="J21" i="28"/>
  <c r="P21" i="28"/>
  <c r="T21" i="28"/>
  <c r="P22" i="28"/>
  <c r="T22" i="28"/>
  <c r="P23" i="28"/>
  <c r="T23" i="28"/>
  <c r="P24" i="28"/>
  <c r="T24" i="28"/>
  <c r="P25" i="28"/>
  <c r="T25" i="28"/>
  <c r="J26" i="28"/>
  <c r="T26" i="28"/>
  <c r="J27" i="28"/>
  <c r="T27" i="28"/>
  <c r="J28" i="28"/>
  <c r="T28" i="28"/>
  <c r="J29" i="28"/>
  <c r="T29" i="28"/>
  <c r="J30" i="28"/>
  <c r="P30" i="28"/>
  <c r="T30" i="28"/>
  <c r="J31" i="28"/>
  <c r="P31" i="28"/>
  <c r="T31" i="28"/>
  <c r="J32" i="28"/>
  <c r="P32" i="28"/>
  <c r="T32" i="28"/>
  <c r="J33" i="28"/>
  <c r="P33" i="28"/>
  <c r="T33" i="28"/>
  <c r="J34" i="28"/>
  <c r="P34" i="28"/>
  <c r="T34" i="28"/>
  <c r="J35" i="28"/>
  <c r="P35" i="28"/>
  <c r="T35" i="28"/>
  <c r="J36" i="28"/>
  <c r="P36" i="28"/>
  <c r="T36" i="28"/>
  <c r="J37" i="28"/>
  <c r="P37" i="28"/>
  <c r="T37" i="28"/>
  <c r="J38" i="28"/>
  <c r="P38" i="28"/>
  <c r="T38" i="28"/>
  <c r="J39" i="28"/>
  <c r="P39" i="28"/>
  <c r="T39" i="28"/>
  <c r="J40" i="28"/>
  <c r="P40" i="28"/>
  <c r="T40" i="28"/>
  <c r="J41" i="28"/>
  <c r="P41" i="28"/>
  <c r="T41" i="28"/>
  <c r="J42" i="28"/>
  <c r="P42" i="28"/>
  <c r="T42" i="28"/>
  <c r="J43" i="28"/>
  <c r="P43" i="28"/>
  <c r="T43" i="28"/>
  <c r="J44" i="28"/>
  <c r="P44" i="28"/>
  <c r="T44" i="28"/>
  <c r="J45" i="28"/>
  <c r="T45" i="28"/>
  <c r="J46" i="28"/>
  <c r="T46" i="28"/>
  <c r="J47" i="28"/>
  <c r="T47" i="28"/>
  <c r="J48" i="28"/>
  <c r="T48" i="28"/>
  <c r="J49" i="28"/>
  <c r="T49" i="28"/>
  <c r="J50" i="28"/>
  <c r="P50" i="28"/>
  <c r="T50" i="28"/>
  <c r="J51" i="28"/>
  <c r="P51" i="28"/>
  <c r="T51" i="28"/>
  <c r="J52" i="28"/>
  <c r="T52" i="28"/>
  <c r="J53" i="28"/>
  <c r="T53" i="28"/>
  <c r="J54" i="28"/>
  <c r="T54" i="28"/>
  <c r="J55" i="28"/>
  <c r="P55" i="28"/>
  <c r="T55" i="28"/>
  <c r="J56" i="28"/>
  <c r="P56" i="28"/>
  <c r="T56" i="28"/>
  <c r="J57" i="28"/>
  <c r="P57" i="28"/>
  <c r="T57" i="28"/>
  <c r="J58" i="28"/>
  <c r="P58" i="28"/>
  <c r="T58" i="28"/>
  <c r="J59" i="28"/>
  <c r="P59" i="28"/>
  <c r="T59" i="28"/>
  <c r="J60" i="28"/>
  <c r="P60" i="28"/>
  <c r="T60" i="28"/>
  <c r="J61" i="28"/>
  <c r="P61" i="28"/>
  <c r="T61" i="28"/>
  <c r="J62" i="28"/>
  <c r="P62" i="28"/>
  <c r="T62" i="28"/>
  <c r="J63" i="28"/>
  <c r="P63" i="28"/>
  <c r="T63" i="28"/>
  <c r="J64" i="28"/>
  <c r="P64" i="28"/>
  <c r="T64" i="28"/>
  <c r="J65" i="28"/>
  <c r="T65" i="28"/>
  <c r="J66" i="28"/>
  <c r="T66" i="28"/>
  <c r="J67" i="28"/>
  <c r="T67" i="28"/>
  <c r="T69" i="28"/>
  <c r="T72" i="28"/>
  <c r="E9" i="25"/>
  <c r="I10" i="25"/>
  <c r="C11" i="25"/>
  <c r="E11" i="25"/>
  <c r="I11" i="25"/>
  <c r="C12" i="25"/>
  <c r="E13" i="25"/>
  <c r="D22" i="25"/>
  <c r="C23" i="25"/>
  <c r="C24" i="25"/>
  <c r="C56" i="25"/>
  <c r="C57" i="25"/>
  <c r="C67" i="25"/>
  <c r="K67" i="25"/>
  <c r="C68" i="25"/>
  <c r="K68" i="25"/>
  <c r="C90" i="25"/>
  <c r="C91" i="25"/>
  <c r="C104" i="25"/>
  <c r="C105" i="25"/>
  <c r="C112" i="25"/>
  <c r="C114" i="25"/>
  <c r="C115" i="25"/>
  <c r="D6" i="21"/>
  <c r="H6" i="21"/>
  <c r="L6" i="21"/>
  <c r="P6" i="21"/>
  <c r="T6" i="21"/>
  <c r="X6" i="21"/>
  <c r="Z6" i="21"/>
  <c r="A7" i="21"/>
  <c r="B7" i="21"/>
  <c r="C7" i="21"/>
  <c r="D7" i="21"/>
  <c r="H7" i="21"/>
  <c r="J7" i="21"/>
  <c r="K7" i="21"/>
  <c r="L7" i="21"/>
  <c r="N7" i="21"/>
  <c r="O7" i="21"/>
  <c r="P7" i="21"/>
  <c r="R7" i="21"/>
  <c r="S7" i="21"/>
  <c r="T7" i="21"/>
  <c r="V7" i="21"/>
  <c r="W7" i="21"/>
  <c r="X7" i="21"/>
  <c r="Z7" i="21"/>
  <c r="A8" i="21"/>
  <c r="B8" i="21"/>
  <c r="C8" i="21"/>
  <c r="D8" i="21"/>
  <c r="F8" i="21"/>
  <c r="G8" i="21"/>
  <c r="H8" i="21"/>
  <c r="J8" i="21"/>
  <c r="K8" i="21"/>
  <c r="L8" i="21"/>
  <c r="N8" i="21"/>
  <c r="O8" i="21"/>
  <c r="P8" i="21"/>
  <c r="R8" i="21"/>
  <c r="S8" i="21"/>
  <c r="T8" i="21"/>
  <c r="V8" i="21"/>
  <c r="W8" i="21"/>
  <c r="X8" i="21"/>
  <c r="Z8" i="21"/>
  <c r="A9" i="21"/>
  <c r="B9" i="21"/>
  <c r="C9" i="21"/>
  <c r="D9" i="21"/>
  <c r="F9" i="21"/>
  <c r="G9" i="21"/>
  <c r="H9" i="21"/>
  <c r="J9" i="21"/>
  <c r="K9" i="21"/>
  <c r="L9" i="21"/>
  <c r="N9" i="21"/>
  <c r="O9" i="21"/>
  <c r="P9" i="21"/>
  <c r="R9" i="21"/>
  <c r="S9" i="21"/>
  <c r="T9" i="21"/>
  <c r="V9" i="21"/>
  <c r="W9" i="21"/>
  <c r="X9" i="21"/>
  <c r="Z9" i="21"/>
  <c r="A10" i="21"/>
  <c r="B10" i="21"/>
  <c r="C10" i="21"/>
  <c r="D10" i="21"/>
  <c r="F10" i="21"/>
  <c r="G10" i="21"/>
  <c r="H10" i="21"/>
  <c r="L10" i="21"/>
  <c r="N10" i="21"/>
  <c r="O10" i="21"/>
  <c r="P10" i="21"/>
  <c r="R10" i="21"/>
  <c r="S10" i="21"/>
  <c r="T10" i="21"/>
  <c r="V10" i="21"/>
  <c r="W10" i="21"/>
  <c r="X10" i="21"/>
  <c r="Z10" i="21"/>
  <c r="A11" i="21"/>
  <c r="B11" i="21"/>
  <c r="C11" i="21"/>
  <c r="D11" i="21"/>
  <c r="F11" i="21"/>
  <c r="G11" i="21"/>
  <c r="H11" i="21"/>
  <c r="J11" i="21"/>
  <c r="K11" i="21"/>
  <c r="L11" i="21"/>
  <c r="N11" i="21"/>
  <c r="O11" i="21"/>
  <c r="P11" i="21"/>
  <c r="R11" i="21"/>
  <c r="S11" i="21"/>
  <c r="T11" i="21"/>
  <c r="V11" i="21"/>
  <c r="W11" i="21"/>
  <c r="X11" i="21"/>
  <c r="Z11" i="21"/>
  <c r="A12" i="21"/>
  <c r="B12" i="21"/>
  <c r="C12" i="21"/>
  <c r="D12" i="21"/>
  <c r="F12" i="21"/>
  <c r="G12" i="21"/>
  <c r="H12" i="21"/>
  <c r="J12" i="21"/>
  <c r="K12" i="21"/>
  <c r="L12" i="21"/>
  <c r="N12" i="21"/>
  <c r="O12" i="21"/>
  <c r="P12" i="21"/>
  <c r="R12" i="21"/>
  <c r="S12" i="21"/>
  <c r="T12" i="21"/>
  <c r="V12" i="21"/>
  <c r="W12" i="21"/>
  <c r="X12" i="21"/>
  <c r="Z12" i="21"/>
  <c r="A13" i="21"/>
  <c r="B13" i="21"/>
  <c r="C13" i="21"/>
  <c r="D13" i="21"/>
  <c r="F13" i="21"/>
  <c r="G13" i="21"/>
  <c r="H13" i="21"/>
  <c r="J13" i="21"/>
  <c r="K13" i="21"/>
  <c r="L13" i="21"/>
  <c r="N13" i="21"/>
  <c r="O13" i="21"/>
  <c r="P13" i="21"/>
  <c r="R13" i="21"/>
  <c r="S13" i="21"/>
  <c r="T13" i="21"/>
  <c r="V13" i="21"/>
  <c r="W13" i="21"/>
  <c r="X13" i="21"/>
  <c r="Z13" i="21"/>
  <c r="A14" i="21"/>
  <c r="B14" i="21"/>
  <c r="C14" i="21"/>
  <c r="D14" i="21"/>
  <c r="F14" i="21"/>
  <c r="G14" i="21"/>
  <c r="H14" i="21"/>
  <c r="J14" i="21"/>
  <c r="K14" i="21"/>
  <c r="L14" i="21"/>
  <c r="P14" i="21"/>
  <c r="R14" i="21"/>
  <c r="S14" i="21"/>
  <c r="T14" i="21"/>
  <c r="V14" i="21"/>
  <c r="W14" i="21"/>
  <c r="X14" i="21"/>
  <c r="Z14" i="21"/>
  <c r="A15" i="21"/>
  <c r="B15" i="21"/>
  <c r="C15" i="21"/>
  <c r="D15" i="21"/>
  <c r="F15" i="21"/>
  <c r="G15" i="21"/>
  <c r="H15" i="21"/>
  <c r="J15" i="21"/>
  <c r="K15" i="21"/>
  <c r="L15" i="21"/>
  <c r="N15" i="21"/>
  <c r="O15" i="21"/>
  <c r="P15" i="21"/>
  <c r="R15" i="21"/>
  <c r="S15" i="21"/>
  <c r="T15" i="21"/>
  <c r="V15" i="21"/>
  <c r="W15" i="21"/>
  <c r="X15" i="21"/>
  <c r="Z15" i="21"/>
  <c r="A16" i="21"/>
  <c r="B16" i="21"/>
  <c r="C16" i="21"/>
  <c r="D16" i="21"/>
  <c r="F16" i="21"/>
  <c r="G16" i="21"/>
  <c r="H16" i="21"/>
  <c r="J16" i="21"/>
  <c r="K16" i="21"/>
  <c r="L16" i="21"/>
  <c r="N16" i="21"/>
  <c r="O16" i="21"/>
  <c r="P16" i="21"/>
  <c r="R16" i="21"/>
  <c r="S16" i="21"/>
  <c r="T16" i="21"/>
  <c r="V16" i="21"/>
  <c r="W16" i="21"/>
  <c r="X16" i="21"/>
  <c r="Z16" i="21"/>
  <c r="A17" i="21"/>
  <c r="B17" i="21"/>
  <c r="C17" i="21"/>
  <c r="D17" i="21"/>
  <c r="F17" i="21"/>
  <c r="G17" i="21"/>
  <c r="H17" i="21"/>
  <c r="J17" i="21"/>
  <c r="K17" i="21"/>
  <c r="L17" i="21"/>
  <c r="P17" i="21"/>
  <c r="R17" i="21"/>
  <c r="S17" i="21"/>
  <c r="T17" i="21"/>
  <c r="V17" i="21"/>
  <c r="W17" i="21"/>
  <c r="X17" i="21"/>
  <c r="Z17" i="21"/>
  <c r="A18" i="21"/>
  <c r="B18" i="21"/>
  <c r="C18" i="21"/>
  <c r="D18" i="21"/>
  <c r="F18" i="21"/>
  <c r="G18" i="21"/>
  <c r="H18" i="21"/>
  <c r="J18" i="21"/>
  <c r="K18" i="21"/>
  <c r="L18" i="21"/>
  <c r="N18" i="21"/>
  <c r="O18" i="21"/>
  <c r="P18" i="21"/>
  <c r="R18" i="21"/>
  <c r="S18" i="21"/>
  <c r="T18" i="21"/>
  <c r="V18" i="21"/>
  <c r="W18" i="21"/>
  <c r="X18" i="21"/>
  <c r="Z18" i="21"/>
  <c r="A19" i="21"/>
  <c r="B19" i="21"/>
  <c r="C19" i="21"/>
  <c r="D19" i="21"/>
  <c r="F19" i="21"/>
  <c r="G19" i="21"/>
  <c r="H19" i="21"/>
  <c r="J19" i="21"/>
  <c r="K19" i="21"/>
  <c r="L19" i="21"/>
  <c r="N19" i="21"/>
  <c r="O19" i="21"/>
  <c r="P19" i="21"/>
  <c r="R19" i="21"/>
  <c r="S19" i="21"/>
  <c r="T19" i="21"/>
  <c r="V19" i="21"/>
  <c r="W19" i="21"/>
  <c r="X19" i="21"/>
  <c r="Z19" i="21"/>
  <c r="A20" i="21"/>
  <c r="B20" i="21"/>
  <c r="C20" i="21"/>
  <c r="D20" i="21"/>
  <c r="F20" i="21"/>
  <c r="G20" i="21"/>
  <c r="H20" i="21"/>
  <c r="J20" i="21"/>
  <c r="K20" i="21"/>
  <c r="L20" i="21"/>
  <c r="N20" i="21"/>
  <c r="O20" i="21"/>
  <c r="P20" i="21"/>
  <c r="R20" i="21"/>
  <c r="S20" i="21"/>
  <c r="T20" i="21"/>
  <c r="V20" i="21"/>
  <c r="W20" i="21"/>
  <c r="X20" i="21"/>
  <c r="Z20" i="21"/>
  <c r="A21" i="21"/>
  <c r="B21" i="21"/>
  <c r="C21" i="21"/>
  <c r="D21" i="21"/>
  <c r="F21" i="21"/>
  <c r="G21" i="21"/>
  <c r="H21" i="21"/>
  <c r="J21" i="21"/>
  <c r="K21" i="21"/>
  <c r="L21" i="21"/>
  <c r="N21" i="21"/>
  <c r="O21" i="21"/>
  <c r="P21" i="21"/>
  <c r="R21" i="21"/>
  <c r="S21" i="21"/>
  <c r="T21" i="21"/>
  <c r="V21" i="21"/>
  <c r="W21" i="21"/>
  <c r="X21" i="21"/>
  <c r="Z21" i="21"/>
  <c r="A22" i="21"/>
  <c r="B22" i="21"/>
  <c r="C22" i="21"/>
  <c r="D22" i="21"/>
  <c r="F22" i="21"/>
  <c r="G22" i="21"/>
  <c r="H22" i="21"/>
  <c r="J22" i="21"/>
  <c r="K22" i="21"/>
  <c r="L22" i="21"/>
  <c r="N22" i="21"/>
  <c r="O22" i="21"/>
  <c r="P22" i="21"/>
  <c r="R22" i="21"/>
  <c r="S22" i="21"/>
  <c r="T22" i="21"/>
  <c r="V22" i="21"/>
  <c r="W22" i="21"/>
  <c r="X22" i="21"/>
  <c r="Z22" i="21"/>
  <c r="A23" i="21"/>
  <c r="B23" i="21"/>
  <c r="C23" i="21"/>
  <c r="D23" i="21"/>
  <c r="F23" i="21"/>
  <c r="G23" i="21"/>
  <c r="H23" i="21"/>
  <c r="J23" i="21"/>
  <c r="K23" i="21"/>
  <c r="L23" i="21"/>
  <c r="N23" i="21"/>
  <c r="O23" i="21"/>
  <c r="P23" i="21"/>
  <c r="R23" i="21"/>
  <c r="S23" i="21"/>
  <c r="T23" i="21"/>
  <c r="V23" i="21"/>
  <c r="W23" i="21"/>
  <c r="X23" i="21"/>
  <c r="Z23" i="21"/>
  <c r="A24" i="21"/>
  <c r="B24" i="21"/>
  <c r="C24" i="21"/>
  <c r="D24" i="21"/>
  <c r="F24" i="21"/>
  <c r="G24" i="21"/>
  <c r="H24" i="21"/>
  <c r="J24" i="21"/>
  <c r="K24" i="21"/>
  <c r="L24" i="21"/>
  <c r="N24" i="21"/>
  <c r="O24" i="21"/>
  <c r="P24" i="21"/>
  <c r="R24" i="21"/>
  <c r="S24" i="21"/>
  <c r="T24" i="21"/>
  <c r="V24" i="21"/>
  <c r="W24" i="21"/>
  <c r="X24" i="21"/>
  <c r="Z24" i="21"/>
  <c r="A25" i="21"/>
  <c r="B25" i="21"/>
  <c r="C25" i="21"/>
  <c r="D25" i="21"/>
  <c r="F25" i="21"/>
  <c r="G25" i="21"/>
  <c r="H25" i="21"/>
  <c r="J25" i="21"/>
  <c r="K25" i="21"/>
  <c r="L25" i="21"/>
  <c r="N25" i="21"/>
  <c r="O25" i="21"/>
  <c r="P25" i="21"/>
  <c r="T25" i="21"/>
  <c r="V25" i="21"/>
  <c r="W25" i="21"/>
  <c r="X25" i="21"/>
  <c r="Z25" i="21"/>
  <c r="A26" i="21"/>
  <c r="B26" i="21"/>
  <c r="C26" i="21"/>
  <c r="D26" i="21"/>
  <c r="F26" i="21"/>
  <c r="G26" i="21"/>
  <c r="H26" i="21"/>
  <c r="J26" i="21"/>
  <c r="K26" i="21"/>
  <c r="L26" i="21"/>
  <c r="N26" i="21"/>
  <c r="O26" i="21"/>
  <c r="P26" i="21"/>
  <c r="R26" i="21"/>
  <c r="S26" i="21"/>
  <c r="T26" i="21"/>
  <c r="V26" i="21"/>
  <c r="W26" i="21"/>
  <c r="X26" i="21"/>
  <c r="Z26" i="21"/>
  <c r="A27" i="21"/>
  <c r="B27" i="21"/>
  <c r="C27" i="21"/>
  <c r="D27" i="21"/>
  <c r="F27" i="21"/>
  <c r="G27" i="21"/>
  <c r="H27" i="21"/>
  <c r="J27" i="21"/>
  <c r="K27" i="21"/>
  <c r="L27" i="21"/>
  <c r="N27" i="21"/>
  <c r="O27" i="21"/>
  <c r="P27" i="21"/>
  <c r="R27" i="21"/>
  <c r="S27" i="21"/>
  <c r="T27" i="21"/>
  <c r="V27" i="21"/>
  <c r="W27" i="21"/>
  <c r="X27" i="21"/>
  <c r="Z27" i="21"/>
  <c r="A28" i="21"/>
  <c r="B28" i="21"/>
  <c r="C28" i="21"/>
  <c r="D28" i="21"/>
  <c r="F28" i="21"/>
  <c r="G28" i="21"/>
  <c r="H28" i="21"/>
  <c r="J28" i="21"/>
  <c r="K28" i="21"/>
  <c r="L28" i="21"/>
  <c r="N28" i="21"/>
  <c r="O28" i="21"/>
  <c r="P28" i="21"/>
  <c r="R28" i="21"/>
  <c r="S28" i="21"/>
  <c r="T28" i="21"/>
  <c r="W28" i="21"/>
  <c r="X28" i="21"/>
  <c r="Z28" i="21"/>
  <c r="A29" i="21"/>
  <c r="B29" i="21"/>
  <c r="C29" i="21"/>
  <c r="D29" i="21"/>
  <c r="F29" i="21"/>
  <c r="G29" i="21"/>
  <c r="H29" i="21"/>
  <c r="J29" i="21"/>
  <c r="K29" i="21"/>
  <c r="L29" i="21"/>
  <c r="N29" i="21"/>
  <c r="O29" i="21"/>
  <c r="P29" i="21"/>
  <c r="R29" i="21"/>
  <c r="S29" i="21"/>
  <c r="T29" i="21"/>
  <c r="V29" i="21"/>
  <c r="W29" i="21"/>
  <c r="X29" i="21"/>
  <c r="Z29" i="21"/>
  <c r="A30" i="21"/>
  <c r="B30" i="21"/>
  <c r="C30" i="21"/>
  <c r="D30" i="21"/>
  <c r="F30" i="21"/>
  <c r="G30" i="21"/>
  <c r="H30" i="21"/>
  <c r="J30" i="21"/>
  <c r="K30" i="21"/>
  <c r="L30" i="21"/>
  <c r="N30" i="21"/>
  <c r="O30" i="21"/>
  <c r="P30" i="21"/>
  <c r="R30" i="21"/>
  <c r="S30" i="21"/>
  <c r="T30" i="21"/>
  <c r="V30" i="21"/>
  <c r="W30" i="21"/>
  <c r="X30" i="21"/>
  <c r="Z30" i="21"/>
  <c r="A31" i="21"/>
  <c r="B31" i="21"/>
  <c r="C31" i="21"/>
  <c r="D31" i="21"/>
  <c r="F31" i="21"/>
  <c r="G31" i="21"/>
  <c r="H31" i="21"/>
  <c r="J31" i="21"/>
  <c r="K31" i="21"/>
  <c r="L31" i="21"/>
  <c r="N31" i="21"/>
  <c r="O31" i="21"/>
  <c r="P31" i="21"/>
  <c r="R31" i="21"/>
  <c r="S31" i="21"/>
  <c r="T31" i="21"/>
  <c r="V31" i="21"/>
  <c r="W31" i="21"/>
  <c r="X31" i="21"/>
  <c r="Z31" i="21"/>
  <c r="A32" i="21"/>
  <c r="B32" i="21"/>
  <c r="C32" i="21"/>
  <c r="D32" i="21"/>
  <c r="F32" i="21"/>
  <c r="G32" i="21"/>
  <c r="H32" i="21"/>
  <c r="J32" i="21"/>
  <c r="K32" i="21"/>
  <c r="L32" i="21"/>
  <c r="N32" i="21"/>
  <c r="O32" i="21"/>
  <c r="P32" i="21"/>
  <c r="R32" i="21"/>
  <c r="S32" i="21"/>
  <c r="T32" i="21"/>
  <c r="V32" i="21"/>
  <c r="W32" i="21"/>
  <c r="X32" i="21"/>
  <c r="Z32" i="21"/>
  <c r="A33" i="21"/>
  <c r="B33" i="21"/>
  <c r="C33" i="21"/>
  <c r="D33" i="21"/>
  <c r="F33" i="21"/>
  <c r="G33" i="21"/>
  <c r="H33" i="21"/>
  <c r="J33" i="21"/>
  <c r="K33" i="21"/>
  <c r="L33" i="21"/>
  <c r="N33" i="21"/>
  <c r="O33" i="21"/>
  <c r="P33" i="21"/>
  <c r="R33" i="21"/>
  <c r="S33" i="21"/>
  <c r="T33" i="21"/>
  <c r="V33" i="21"/>
  <c r="W33" i="21"/>
  <c r="X33" i="21"/>
  <c r="Z33" i="21"/>
  <c r="A34" i="21"/>
  <c r="B34" i="21"/>
  <c r="C34" i="21"/>
  <c r="D34" i="21"/>
  <c r="F34" i="21"/>
  <c r="G34" i="21"/>
  <c r="H34" i="21"/>
  <c r="J34" i="21"/>
  <c r="K34" i="21"/>
  <c r="L34" i="21"/>
  <c r="N34" i="21"/>
  <c r="O34" i="21"/>
  <c r="P34" i="21"/>
  <c r="R34" i="21"/>
  <c r="S34" i="21"/>
  <c r="T34" i="21"/>
  <c r="V34" i="21"/>
  <c r="W34" i="21"/>
  <c r="X34" i="21"/>
  <c r="Z34" i="21"/>
  <c r="A35" i="21"/>
  <c r="B35" i="21"/>
  <c r="C35" i="21"/>
  <c r="D35" i="21"/>
  <c r="F35" i="21"/>
  <c r="G35" i="21"/>
  <c r="H35" i="21"/>
  <c r="J35" i="21"/>
  <c r="K35" i="21"/>
  <c r="L35" i="21"/>
  <c r="N35" i="21"/>
  <c r="O35" i="21"/>
  <c r="P35" i="21"/>
  <c r="R35" i="21"/>
  <c r="S35" i="21"/>
  <c r="T35" i="21"/>
  <c r="V35" i="21"/>
  <c r="W35" i="21"/>
  <c r="X35" i="21"/>
  <c r="Z35" i="21"/>
  <c r="B36" i="21"/>
  <c r="C36" i="21"/>
  <c r="D36" i="21"/>
  <c r="F36" i="21"/>
  <c r="G36" i="21"/>
  <c r="H36" i="21"/>
  <c r="J36" i="21"/>
  <c r="K36" i="21"/>
  <c r="L36" i="21"/>
  <c r="N36" i="21"/>
  <c r="O36" i="21"/>
  <c r="P36" i="21"/>
  <c r="R36" i="21"/>
  <c r="S36" i="21"/>
  <c r="T36" i="21"/>
  <c r="V36" i="21"/>
  <c r="W36" i="21"/>
  <c r="X36" i="21"/>
  <c r="Z36" i="21"/>
</calcChain>
</file>

<file path=xl/comments1.xml><?xml version="1.0" encoding="utf-8"?>
<comments xmlns="http://schemas.openxmlformats.org/spreadsheetml/2006/main">
  <authors>
    <author>cgerman</author>
  </authors>
  <commentList>
    <comment ref="B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Dominion at A06</t>
        </r>
      </text>
    </comment>
    <comment ref="F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Broad Run.</t>
        </r>
      </text>
    </comment>
    <comment ref="J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Delmont.
</t>
        </r>
      </text>
    </comment>
    <comment ref="N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the Central Desk at F4 - Monclova.  In Sitara, ENA is getting gas from the Central Desk at Nx1 + .1275, ENA will buy gas from New Power at IF + .0125 (deal 533305) and sell the gas to New Power at NX1 + .1275 (deal 533306).</t>
        </r>
      </text>
    </comment>
    <comment ref="R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purchased 1857 at A06 from dick Jenkins at IF + .20
Deals 521753 (sale at IF +  .20) with deal 521780 (purchase at IF + .0125)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B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sold FOM gas back at IF flat. Bookout dDeal 509454 (purchase at IF flat) with deal 522203 (sale at IF + .0125)</t>
        </r>
      </text>
    </comment>
    <comment ref="F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purchased 15,000 day from Dick 2nd-31st, at $6.89
This is entered at the pool as a buy/sale, deals 514122 and 514126</t>
        </r>
      </text>
    </comment>
    <comment ref="J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Porter sold ENA 5000 day at 7.61.  I created a purchase deal (533319 at $7.61) to bookout with deal 533317 (sale at IF + .0125)</t>
        </r>
      </text>
    </comment>
    <comment ref="N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purchased 35,000 from Jeff at $8.40 (deal 525128) and bookout with deal 525121 (sale at IF + $.0125)</t>
        </r>
      </text>
    </commen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the Central Desk.  I created a purchase deal (#547910) at IF + .0125, and the volumes will be included in the citygate deal.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<sst xmlns="http://schemas.openxmlformats.org/spreadsheetml/2006/main" count="1628" uniqueCount="315">
  <si>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</si>
  <si>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</si>
  <si>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</si>
  <si>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</si>
  <si>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</si>
  <si>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</si>
  <si>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</si>
  <si>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</si>
  <si>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</si>
  <si>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</si>
  <si>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</si>
  <si>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</si>
  <si>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</si>
  <si>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</si>
  <si>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</si>
  <si>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</si>
  <si>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</si>
  <si>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</si>
  <si>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</si>
  <si>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</si>
  <si>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</si>
  <si>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</si>
  <si>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</si>
  <si>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</si>
  <si>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</si>
  <si>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</si>
  <si>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</si>
  <si>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</si>
  <si>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</si>
  <si>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</si>
  <si>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</si>
  <si>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</si>
  <si>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</si>
  <si>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</si>
  <si>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</si>
  <si>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</si>
  <si>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</si>
  <si>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</si>
  <si>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</si>
  <si>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</si>
  <si>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</si>
  <si>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</si>
  <si>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</si>
  <si>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</si>
  <si>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</si>
  <si>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</si>
  <si>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</si>
  <si>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</si>
  <si>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</si>
  <si>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</si>
  <si>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</si>
  <si>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</si>
  <si>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</si>
  <si>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</si>
  <si>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</si>
  <si>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</si>
  <si>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</si>
  <si>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</si>
  <si>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</si>
  <si>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</si>
  <si>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</si>
  <si>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</si>
  <si>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</si>
  <si>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</si>
  <si>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</si>
  <si>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</si>
  <si>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</si>
  <si>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</si>
  <si>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</si>
  <si>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</si>
  <si>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</si>
  <si>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</si>
  <si>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</si>
  <si>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</si>
  <si>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</si>
  <si>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</si>
  <si>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</si>
  <si>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</si>
  <si>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</si>
  <si>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</si>
  <si>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</si>
  <si>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</si>
  <si>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</si>
  <si>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</si>
  <si>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</si>
  <si>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</si>
  <si>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</si>
  <si>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</si>
  <si>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</si>
  <si>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</si>
  <si>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</si>
  <si>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</si>
  <si>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</si>
  <si>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</si>
  <si>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</si>
  <si>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</si>
  <si>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</si>
  <si>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</si>
  <si>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</si>
  <si>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</si>
  <si>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</si>
  <si>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</si>
  <si>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</si>
  <si>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</si>
  <si>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</si>
  <si>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</si>
  <si>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</si>
  <si>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</si>
  <si>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</si>
  <si>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</si>
  <si>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</si>
  <si>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</si>
  <si>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</si>
  <si>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</si>
  <si>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</si>
  <si>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</si>
  <si>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</si>
  <si>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</si>
  <si>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</si>
  <si>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</si>
  <si>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</si>
  <si>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</si>
  <si>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</si>
  <si>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</si>
  <si>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</si>
  <si>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</si>
  <si>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Texas Eastern M3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</si>
  <si>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</si>
  <si>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</si>
  <si>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</si>
  <si>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</si>
  <si>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</si>
  <si>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</si>
  <si>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</si>
  <si>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</si>
  <si>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</si>
  <si>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</si>
  <si>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</si>
  <si>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</si>
  <si>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Deal 206266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</si>
  <si>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</si>
  <si>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</si>
  <si>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</si>
  <si>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</si>
  <si>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</si>
  <si>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</si>
  <si>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</si>
  <si>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</si>
  <si>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Sonat</t>
  </si>
  <si>
    <t>Price</t>
  </si>
  <si>
    <t>19-32</t>
  </si>
  <si>
    <t>19E</t>
  </si>
  <si>
    <t>25-36</t>
  </si>
  <si>
    <t>25-39</t>
  </si>
  <si>
    <t>SSNG45</t>
  </si>
  <si>
    <t>Deal 231742</t>
  </si>
  <si>
    <t>Deal 231741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</si>
  <si>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</si>
  <si>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</si>
  <si>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</si>
  <si>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</si>
  <si>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</si>
  <si>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</si>
  <si>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</si>
  <si>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</si>
  <si>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</si>
  <si>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Storage Injection:</t>
  </si>
  <si>
    <t>Inj Comm</t>
  </si>
  <si>
    <t>Deal 227081, 227113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</si>
  <si>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</si>
  <si>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</si>
  <si>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</si>
  <si>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</si>
  <si>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</si>
  <si>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</si>
  <si>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</si>
  <si>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</si>
  <si>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</si>
  <si>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</si>
  <si>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</si>
  <si>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</si>
  <si>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</si>
  <si>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</si>
  <si>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</si>
  <si>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</si>
  <si>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2000001653</t>
  </si>
  <si>
    <t>Z2</t>
  </si>
  <si>
    <t>z3</t>
  </si>
  <si>
    <t>2000001980</t>
  </si>
  <si>
    <t>2000001977</t>
  </si>
  <si>
    <t>2000001890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</si>
  <si>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</si>
  <si>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</si>
  <si>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</si>
  <si>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</si>
  <si>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</si>
  <si>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</si>
  <si>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</si>
  <si>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</si>
  <si>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</si>
  <si>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</si>
  <si>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</si>
  <si>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</si>
  <si>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</si>
  <si>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</si>
  <si>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</si>
  <si>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</si>
  <si>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</si>
  <si>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</si>
  <si>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</si>
  <si>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</si>
  <si>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</si>
  <si>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</si>
  <si>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</si>
  <si>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</si>
  <si>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</si>
  <si>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</si>
  <si>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</si>
  <si>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</si>
  <si>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</si>
  <si>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</si>
  <si>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</si>
  <si>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</si>
  <si>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</si>
  <si>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</si>
  <si>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</si>
  <si>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</si>
  <si>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</si>
  <si>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</si>
  <si>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</si>
  <si>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</si>
  <si>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</si>
  <si>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Ashland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</si>
  <si>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</si>
  <si>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</si>
  <si>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</si>
  <si>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</si>
  <si>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</si>
  <si>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</si>
  <si>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</si>
  <si>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</si>
  <si>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</si>
  <si>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Bookout - deal 411958 with 377250 AND deal 411959 with 377251.   Deals 377251 &amp; 377250 are NYMX plus deals.  Deal 412415 has all Tetco volumes at FOM index price.</t>
  </si>
  <si>
    <t>Deals 411958 and 411959 are priced at the FOM index price.</t>
  </si>
  <si>
    <t>Deals 503451 at CGLF IF +.2623, and 503453 priced at IF + $.0075</t>
  </si>
  <si>
    <t>#022236</t>
  </si>
  <si>
    <t>#22237</t>
  </si>
  <si>
    <t>#022263</t>
  </si>
  <si>
    <t>#022141</t>
  </si>
  <si>
    <t>#022140</t>
  </si>
  <si>
    <t>#022143</t>
  </si>
  <si>
    <t>#022103</t>
  </si>
  <si>
    <t>#022102</t>
  </si>
  <si>
    <t>#022142</t>
  </si>
  <si>
    <t>#022144</t>
  </si>
  <si>
    <t>#022147</t>
  </si>
  <si>
    <t>#022079</t>
  </si>
  <si>
    <t>#022148</t>
  </si>
  <si>
    <t>#022145</t>
  </si>
  <si>
    <t>#022078</t>
  </si>
  <si>
    <t>2000002551</t>
  </si>
  <si>
    <t>2000002550</t>
  </si>
  <si>
    <t>2000002528</t>
  </si>
  <si>
    <t>2000002594</t>
  </si>
  <si>
    <t>#30962</t>
  </si>
  <si>
    <t>CES/CMD</t>
  </si>
  <si>
    <t>#30816/30820</t>
  </si>
  <si>
    <t>New Power East Desk Transportation Capacity for December, 2000</t>
  </si>
  <si>
    <t>#30821/30817</t>
  </si>
  <si>
    <t>Amount</t>
  </si>
  <si>
    <t>GD SALES</t>
  </si>
  <si>
    <t>GD Purch</t>
  </si>
  <si>
    <t>502957</t>
  </si>
  <si>
    <t>Dominion</t>
  </si>
  <si>
    <t>EES</t>
  </si>
  <si>
    <t>Central Desk</t>
  </si>
  <si>
    <t xml:space="preserve">Total </t>
  </si>
  <si>
    <t>Spot Sells</t>
  </si>
  <si>
    <t>N/A</t>
  </si>
  <si>
    <t>3rd Party</t>
  </si>
  <si>
    <t>Receipt</t>
  </si>
  <si>
    <t>Citygate</t>
  </si>
  <si>
    <t>Adjusted</t>
  </si>
  <si>
    <t>523459 / 523444</t>
  </si>
  <si>
    <t>Deal 502957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</si>
  <si>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</si>
  <si>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</si>
  <si>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</si>
  <si>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</si>
  <si>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</si>
  <si>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</si>
  <si>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</si>
  <si>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</si>
  <si>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</si>
  <si>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</si>
  <si>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</si>
  <si>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</si>
  <si>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#27775</t>
  </si>
  <si>
    <t>Deal 502957 less Storage</t>
  </si>
  <si>
    <t>Sched Fee Deal 523459</t>
  </si>
  <si>
    <t>Deal 523459</t>
  </si>
  <si>
    <t>Deal 503445 (bookout with deal 380570)</t>
  </si>
  <si>
    <t>Note:  New Power purchased gas from ENA at CGLF Mainline (deal 503445).  ENA will buy this gas back at the CGLF Onshore Index plus $.06,</t>
  </si>
  <si>
    <t>and sell the gas back to New Power at CGAS pool at CGLFOnshore Index +$.06 + variable cost from Mainline to Leach, deal 503451,</t>
  </si>
  <si>
    <t>ENA will buy the CGAS Pool gas back at the FOM price for CGAS.</t>
  </si>
  <si>
    <t>Pool</t>
  </si>
  <si>
    <t>Per Jeff's Sheet</t>
  </si>
  <si>
    <t>Overtake / (undertakes)</t>
  </si>
  <si>
    <t>-15956????</t>
  </si>
  <si>
    <t>Demand charges deal 380571</t>
  </si>
  <si>
    <t>GD</t>
  </si>
  <si>
    <t xml:space="preserve">  &lt;==Average Citygate Gas Daily price</t>
  </si>
  <si>
    <t>&lt;== Total Citygate volume</t>
  </si>
  <si>
    <t>Citygate Gas Daily pricing</t>
  </si>
  <si>
    <t>Citygate FOM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</si>
</sst>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3" formatCode="&quot;$&quot;#,##0.00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  <numFmt numFmtId="201" formatCode="#,##0.0000_);\(#,##0.0000\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38" fontId="2" fillId="0" borderId="6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6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0" fontId="7" fillId="0" borderId="0" xfId="3" applyNumberFormat="1" applyFont="1" applyFill="1"/>
    <xf numFmtId="165" fontId="7" fillId="0" borderId="7" xfId="0" applyNumberFormat="1" applyFont="1" applyFill="1" applyBorder="1"/>
    <xf numFmtId="191" fontId="7" fillId="0" borderId="0" xfId="3" applyNumberFormat="1" applyFont="1" applyFill="1"/>
    <xf numFmtId="165" fontId="7" fillId="0" borderId="8" xfId="0" applyNumberFormat="1" applyFont="1" applyFill="1" applyBorder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43" fontId="2" fillId="0" borderId="0" xfId="1" quotePrefix="1" applyFont="1" applyFill="1" applyAlignment="1">
      <alignment horizontal="left"/>
    </xf>
    <xf numFmtId="0" fontId="2" fillId="0" borderId="0" xfId="1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2" fillId="4" borderId="0" xfId="0" quotePrefix="1" applyNumberFormat="1" applyFont="1" applyFill="1" applyAlignment="1">
      <alignment horizontal="right"/>
    </xf>
    <xf numFmtId="1" fontId="2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38" fontId="0" fillId="0" borderId="0" xfId="0" applyNumberFormat="1"/>
    <xf numFmtId="177" fontId="0" fillId="0" borderId="0" xfId="1" applyNumberFormat="1" applyFont="1" applyFill="1" applyAlignment="1">
      <alignment horizontal="center"/>
    </xf>
    <xf numFmtId="177" fontId="0" fillId="0" borderId="0" xfId="1" quotePrefix="1" applyNumberFormat="1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4" fontId="2" fillId="4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right"/>
    </xf>
    <xf numFmtId="0" fontId="0" fillId="4" borderId="0" xfId="0" applyFill="1"/>
    <xf numFmtId="164" fontId="2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left"/>
    </xf>
    <xf numFmtId="40" fontId="2" fillId="4" borderId="0" xfId="0" applyNumberFormat="1" applyFont="1" applyFill="1" applyAlignment="1">
      <alignment horizontal="right"/>
    </xf>
    <xf numFmtId="38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center"/>
    </xf>
    <xf numFmtId="181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2" fillId="4" borderId="0" xfId="1" quotePrefix="1" applyFont="1" applyFill="1" applyAlignment="1">
      <alignment horizontal="left"/>
    </xf>
    <xf numFmtId="43" fontId="2" fillId="4" borderId="0" xfId="1" applyFont="1" applyFill="1" applyAlignment="1">
      <alignment horizontal="left"/>
    </xf>
    <xf numFmtId="199" fontId="2" fillId="4" borderId="0" xfId="0" applyNumberFormat="1" applyFont="1" applyFill="1" applyAlignment="1">
      <alignment horizontal="left"/>
    </xf>
    <xf numFmtId="165" fontId="0" fillId="0" borderId="0" xfId="0" applyNumberFormat="1"/>
    <xf numFmtId="7" fontId="0" fillId="0" borderId="0" xfId="0" applyNumberFormat="1"/>
    <xf numFmtId="165" fontId="0" fillId="0" borderId="0" xfId="1" applyNumberFormat="1" applyFont="1" applyAlignment="1">
      <alignment horizontal="center"/>
    </xf>
    <xf numFmtId="165" fontId="0" fillId="0" borderId="0" xfId="2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0" xfId="1" applyNumberFormat="1" applyFont="1"/>
    <xf numFmtId="43" fontId="0" fillId="0" borderId="0" xfId="1" applyNumberFormat="1" applyFont="1"/>
    <xf numFmtId="0" fontId="0" fillId="0" borderId="0" xfId="0" applyNumberFormat="1"/>
    <xf numFmtId="38" fontId="0" fillId="4" borderId="0" xfId="0" applyNumberFormat="1" applyFill="1"/>
    <xf numFmtId="165" fontId="0" fillId="4" borderId="0" xfId="0" applyNumberFormat="1" applyFill="1"/>
    <xf numFmtId="7" fontId="0" fillId="4" borderId="0" xfId="0" applyNumberFormat="1" applyFill="1"/>
    <xf numFmtId="37" fontId="0" fillId="0" borderId="0" xfId="0" applyNumberFormat="1"/>
    <xf numFmtId="177" fontId="0" fillId="5" borderId="0" xfId="1" applyNumberFormat="1" applyFont="1" applyFill="1" applyAlignment="1">
      <alignment horizontal="center"/>
    </xf>
    <xf numFmtId="177" fontId="0" fillId="5" borderId="0" xfId="1" applyNumberFormat="1" applyFont="1" applyFill="1" applyBorder="1" applyAlignment="1">
      <alignment horizontal="center"/>
    </xf>
    <xf numFmtId="177" fontId="0" fillId="5" borderId="0" xfId="1" applyNumberFormat="1" applyFont="1" applyFill="1"/>
    <xf numFmtId="165" fontId="0" fillId="5" borderId="0" xfId="2" applyNumberFormat="1" applyFont="1" applyFill="1" applyAlignment="1">
      <alignment horizontal="center"/>
    </xf>
    <xf numFmtId="165" fontId="7" fillId="4" borderId="0" xfId="0" applyNumberFormat="1" applyFont="1" applyFill="1"/>
    <xf numFmtId="14" fontId="2" fillId="4" borderId="0" xfId="0" applyNumberFormat="1" applyFont="1" applyFill="1" applyBorder="1" applyAlignment="1">
      <alignment horizontal="center"/>
    </xf>
    <xf numFmtId="168" fontId="2" fillId="4" borderId="0" xfId="0" applyNumberFormat="1" applyFont="1" applyFill="1" applyBorder="1" applyAlignment="1">
      <alignment horizontal="center"/>
    </xf>
    <xf numFmtId="170" fontId="2" fillId="4" borderId="0" xfId="0" applyNumberFormat="1" applyFont="1" applyFill="1" applyBorder="1" applyAlignment="1">
      <alignment horizontal="center"/>
    </xf>
    <xf numFmtId="0" fontId="6" fillId="4" borderId="0" xfId="0" applyFont="1" applyFill="1" applyBorder="1"/>
    <xf numFmtId="38" fontId="2" fillId="4" borderId="0" xfId="0" quotePrefix="1" applyNumberFormat="1" applyFont="1" applyFill="1" applyAlignment="1">
      <alignment horizontal="center"/>
    </xf>
    <xf numFmtId="0" fontId="7" fillId="4" borderId="0" xfId="0" applyFont="1" applyFill="1"/>
    <xf numFmtId="177" fontId="0" fillId="6" borderId="0" xfId="1" applyNumberFormat="1" applyFont="1" applyFill="1" applyAlignment="1">
      <alignment horizontal="center"/>
    </xf>
    <xf numFmtId="177" fontId="0" fillId="6" borderId="0" xfId="1" applyNumberFormat="1" applyFont="1" applyFill="1" applyBorder="1" applyAlignment="1">
      <alignment horizontal="center"/>
    </xf>
    <xf numFmtId="177" fontId="0" fillId="6" borderId="0" xfId="1" applyNumberFormat="1" applyFont="1" applyFill="1"/>
    <xf numFmtId="165" fontId="0" fillId="6" borderId="0" xfId="2" applyNumberFormat="1" applyFont="1" applyFill="1" applyAlignment="1">
      <alignment horizontal="center"/>
    </xf>
    <xf numFmtId="1" fontId="0" fillId="0" borderId="0" xfId="1" applyNumberFormat="1" applyFont="1" applyAlignment="1">
      <alignment horizontal="center"/>
    </xf>
    <xf numFmtId="177" fontId="0" fillId="4" borderId="0" xfId="1" applyNumberFormat="1" applyFont="1" applyFill="1" applyAlignment="1">
      <alignment horizontal="center"/>
    </xf>
    <xf numFmtId="177" fontId="0" fillId="5" borderId="0" xfId="1" quotePrefix="1" applyNumberFormat="1" applyFont="1" applyFill="1"/>
    <xf numFmtId="177" fontId="0" fillId="7" borderId="0" xfId="1" applyNumberFormat="1" applyFont="1" applyFill="1" applyAlignment="1">
      <alignment horizontal="center"/>
    </xf>
    <xf numFmtId="177" fontId="0" fillId="7" borderId="0" xfId="1" applyNumberFormat="1" applyFont="1" applyFill="1" applyBorder="1" applyAlignment="1">
      <alignment horizontal="center"/>
    </xf>
    <xf numFmtId="177" fontId="0" fillId="7" borderId="0" xfId="1" applyNumberFormat="1" applyFont="1" applyFill="1"/>
    <xf numFmtId="165" fontId="0" fillId="7" borderId="0" xfId="2" applyNumberFormat="1" applyFont="1" applyFill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39" fontId="0" fillId="0" borderId="0" xfId="1" applyNumberFormat="1" applyFont="1" applyAlignment="1">
      <alignment horizontal="center"/>
    </xf>
    <xf numFmtId="39" fontId="0" fillId="0" borderId="0" xfId="1" applyNumberFormat="1" applyFont="1"/>
    <xf numFmtId="39" fontId="0" fillId="5" borderId="0" xfId="1" applyNumberFormat="1" applyFont="1" applyFill="1"/>
    <xf numFmtId="201" fontId="0" fillId="0" borderId="0" xfId="1" applyNumberFormat="1" applyFont="1"/>
    <xf numFmtId="177" fontId="0" fillId="0" borderId="0" xfId="1" applyNumberFormat="1" applyFont="1" applyAlignment="1">
      <alignment horizontal="right"/>
    </xf>
    <xf numFmtId="177" fontId="13" fillId="0" borderId="0" xfId="1" applyNumberFormat="1" applyFont="1"/>
    <xf numFmtId="177" fontId="0" fillId="0" borderId="6" xfId="1" applyNumberFormat="1" applyFont="1" applyBorder="1"/>
    <xf numFmtId="173" fontId="0" fillId="0" borderId="6" xfId="1" applyNumberFormat="1" applyFont="1" applyBorder="1"/>
    <xf numFmtId="165" fontId="0" fillId="0" borderId="9" xfId="1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38"/>
  <sheetViews>
    <sheetView workbookViewId="0">
      <selection activeCell="F10" sqref="F10"/>
    </sheetView>
  </sheetViews>
  <sheetFormatPr defaultRowHeight="13.2" x14ac:dyDescent="0.25"/>
  <cols>
    <col min="1" max="1" width="5.6640625" style="69" customWidth="1"/>
    <col min="2" max="2" width="13" style="116" customWidth="1"/>
    <col min="3" max="4" width="13" style="137" customWidth="1"/>
    <col min="5" max="5" width="4.33203125" style="116" customWidth="1"/>
    <col min="6" max="6" width="13" style="116" customWidth="1"/>
    <col min="7" max="8" width="13" style="137" customWidth="1"/>
    <col min="9" max="9" width="4.33203125" style="116" customWidth="1"/>
    <col min="10" max="10" width="13" style="116" customWidth="1"/>
    <col min="11" max="12" width="13" style="137" customWidth="1"/>
    <col min="13" max="13" width="4.33203125" style="116" customWidth="1"/>
    <col min="14" max="14" width="13" style="116" customWidth="1"/>
    <col min="15" max="16" width="13" style="137" customWidth="1"/>
    <col min="17" max="17" width="4.33203125" style="116" customWidth="1"/>
    <col min="18" max="18" width="13" style="116" customWidth="1"/>
    <col min="19" max="20" width="13" style="137" customWidth="1"/>
    <col min="21" max="21" width="4.33203125" style="116" customWidth="1"/>
    <col min="22" max="22" width="4.109375" customWidth="1"/>
    <col min="24" max="24" width="9.109375" style="148" customWidth="1"/>
  </cols>
  <sheetData>
    <row r="2" spans="1:24" x14ac:dyDescent="0.25">
      <c r="A2" s="68"/>
    </row>
    <row r="3" spans="1:24" x14ac:dyDescent="0.25">
      <c r="A3" s="68"/>
    </row>
    <row r="4" spans="1:24" x14ac:dyDescent="0.25">
      <c r="A4" s="68"/>
      <c r="B4" s="116" t="s">
        <v>273</v>
      </c>
      <c r="F4" s="116" t="s">
        <v>274</v>
      </c>
      <c r="J4" s="116" t="s">
        <v>274</v>
      </c>
      <c r="N4" s="116" t="s">
        <v>275</v>
      </c>
      <c r="R4" s="116" t="s">
        <v>110</v>
      </c>
      <c r="W4" t="s">
        <v>122</v>
      </c>
      <c r="X4" s="148" t="s">
        <v>125</v>
      </c>
    </row>
    <row r="5" spans="1:24" x14ac:dyDescent="0.25">
      <c r="A5" s="68"/>
      <c r="B5" s="144">
        <v>521336</v>
      </c>
      <c r="C5" s="137" t="s">
        <v>149</v>
      </c>
      <c r="D5" s="137" t="s">
        <v>269</v>
      </c>
      <c r="F5" s="144">
        <v>521342</v>
      </c>
      <c r="G5" s="137" t="s">
        <v>149</v>
      </c>
      <c r="H5" s="137" t="s">
        <v>269</v>
      </c>
      <c r="J5" s="144">
        <v>521345</v>
      </c>
      <c r="K5" s="137" t="s">
        <v>149</v>
      </c>
      <c r="L5" s="137" t="s">
        <v>269</v>
      </c>
      <c r="N5" s="144">
        <v>509431</v>
      </c>
      <c r="O5" s="137" t="s">
        <v>149</v>
      </c>
      <c r="P5" s="137" t="s">
        <v>269</v>
      </c>
      <c r="R5" s="116" t="s">
        <v>278</v>
      </c>
      <c r="S5" s="137" t="s">
        <v>149</v>
      </c>
      <c r="T5" s="137" t="s">
        <v>269</v>
      </c>
      <c r="W5" t="s">
        <v>280</v>
      </c>
      <c r="X5" s="148" t="s">
        <v>281</v>
      </c>
    </row>
    <row r="6" spans="1:24" x14ac:dyDescent="0.25">
      <c r="A6" s="68">
        <v>1</v>
      </c>
      <c r="B6" s="116">
        <v>1252</v>
      </c>
      <c r="C6" s="137">
        <f>6.27+0.0125</f>
        <v>6.2824999999999998</v>
      </c>
      <c r="D6" s="138">
        <f>+B6*C6</f>
        <v>7865.69</v>
      </c>
      <c r="F6" s="116">
        <v>4099</v>
      </c>
      <c r="G6" s="137">
        <f>6.27+0.0125</f>
        <v>6.2824999999999998</v>
      </c>
      <c r="H6" s="138">
        <f>+F6*G6</f>
        <v>25751.967499999999</v>
      </c>
      <c r="J6" s="116">
        <v>3674</v>
      </c>
      <c r="K6" s="137">
        <f>6.27+0.0125</f>
        <v>6.2824999999999998</v>
      </c>
      <c r="L6" s="138">
        <f>+J6*K6</f>
        <v>23081.904999999999</v>
      </c>
      <c r="N6" s="116">
        <v>688</v>
      </c>
      <c r="O6" s="137">
        <v>6.02</v>
      </c>
      <c r="P6" s="138">
        <f>+N6*O6</f>
        <v>4141.7599999999993</v>
      </c>
      <c r="R6" s="116">
        <v>1857</v>
      </c>
      <c r="S6" s="137">
        <v>0</v>
      </c>
      <c r="T6" s="138">
        <f>+R6*S6</f>
        <v>0</v>
      </c>
      <c r="W6" s="116">
        <f>SUM(B6,F6,J6,N6,R6)</f>
        <v>11570</v>
      </c>
      <c r="X6" s="148">
        <f>ROUND(+W6*(1-0.02184),0)-1</f>
        <v>11316</v>
      </c>
    </row>
    <row r="7" spans="1:24" x14ac:dyDescent="0.25">
      <c r="A7" s="68">
        <f>+A6+1</f>
        <v>2</v>
      </c>
      <c r="B7" s="116">
        <f>+B6</f>
        <v>1252</v>
      </c>
      <c r="C7" s="137">
        <f>+C6</f>
        <v>6.2824999999999998</v>
      </c>
      <c r="D7" s="138">
        <f t="shared" ref="D7:D35" si="0">+B7*C7</f>
        <v>7865.69</v>
      </c>
      <c r="F7" s="116">
        <f>+F6</f>
        <v>4099</v>
      </c>
      <c r="G7" s="137">
        <f>+G6</f>
        <v>6.2824999999999998</v>
      </c>
      <c r="H7" s="138">
        <f t="shared" ref="H7:H35" si="1">+F7*G7</f>
        <v>25751.967499999999</v>
      </c>
      <c r="J7" s="116">
        <f>+J6</f>
        <v>3674</v>
      </c>
      <c r="K7" s="137">
        <f>+K6</f>
        <v>6.2824999999999998</v>
      </c>
      <c r="L7" s="138">
        <f t="shared" ref="L7:L35" si="2">+J7*K7</f>
        <v>23081.904999999999</v>
      </c>
      <c r="N7" s="116">
        <f>+N6</f>
        <v>688</v>
      </c>
      <c r="O7" s="137">
        <f>+O6</f>
        <v>6.02</v>
      </c>
      <c r="P7" s="138">
        <f t="shared" ref="P7:P35" si="3">+N7*O7</f>
        <v>4141.7599999999993</v>
      </c>
      <c r="R7" s="116">
        <f>+R6</f>
        <v>1857</v>
      </c>
      <c r="S7" s="137">
        <f>+S6</f>
        <v>0</v>
      </c>
      <c r="T7" s="138">
        <f t="shared" ref="T7:T35" si="4">+R7*S7</f>
        <v>0</v>
      </c>
      <c r="W7" s="116">
        <f t="shared" ref="W7:W35" si="5">SUM(B7,F7,J7,N7,R7)</f>
        <v>11570</v>
      </c>
      <c r="X7" s="148">
        <f t="shared" ref="X7:X36" si="6">ROUND(+W7*(1-0.02184),0)-1</f>
        <v>11316</v>
      </c>
    </row>
    <row r="8" spans="1:24" x14ac:dyDescent="0.25">
      <c r="A8" s="68">
        <f t="shared" ref="A8:A34" si="7">+A7+1</f>
        <v>3</v>
      </c>
      <c r="B8" s="116">
        <f t="shared" ref="B8:C35" si="8">+B7</f>
        <v>1252</v>
      </c>
      <c r="C8" s="137">
        <f t="shared" si="8"/>
        <v>6.2824999999999998</v>
      </c>
      <c r="D8" s="138">
        <f t="shared" si="0"/>
        <v>7865.69</v>
      </c>
      <c r="F8" s="116">
        <f t="shared" ref="F8:G35" si="9">+F7</f>
        <v>4099</v>
      </c>
      <c r="G8" s="137">
        <f t="shared" si="9"/>
        <v>6.2824999999999998</v>
      </c>
      <c r="H8" s="138">
        <f t="shared" si="1"/>
        <v>25751.967499999999</v>
      </c>
      <c r="J8" s="116">
        <f t="shared" ref="J8:K35" si="10">+J7</f>
        <v>3674</v>
      </c>
      <c r="K8" s="137">
        <f t="shared" si="10"/>
        <v>6.2824999999999998</v>
      </c>
      <c r="L8" s="138">
        <f t="shared" si="2"/>
        <v>23081.904999999999</v>
      </c>
      <c r="N8" s="116">
        <f t="shared" ref="N8:N36" si="11">+N7</f>
        <v>688</v>
      </c>
      <c r="O8" s="137">
        <f t="shared" ref="O8:O23" si="12">+O7</f>
        <v>6.02</v>
      </c>
      <c r="P8" s="138">
        <f t="shared" si="3"/>
        <v>4141.7599999999993</v>
      </c>
      <c r="R8" s="116">
        <f t="shared" ref="R8:R36" si="13">+R7</f>
        <v>1857</v>
      </c>
      <c r="S8" s="137">
        <f t="shared" ref="S8:S36" si="14">+S7</f>
        <v>0</v>
      </c>
      <c r="T8" s="138">
        <f t="shared" si="4"/>
        <v>0</v>
      </c>
      <c r="W8" s="116">
        <f t="shared" si="5"/>
        <v>11570</v>
      </c>
      <c r="X8" s="148">
        <f t="shared" si="6"/>
        <v>11316</v>
      </c>
    </row>
    <row r="9" spans="1:24" x14ac:dyDescent="0.25">
      <c r="A9" s="68">
        <f t="shared" si="7"/>
        <v>4</v>
      </c>
      <c r="B9" s="116">
        <f t="shared" si="8"/>
        <v>1252</v>
      </c>
      <c r="C9" s="137">
        <f t="shared" si="8"/>
        <v>6.2824999999999998</v>
      </c>
      <c r="D9" s="138">
        <f t="shared" si="0"/>
        <v>7865.69</v>
      </c>
      <c r="F9" s="116">
        <f t="shared" si="9"/>
        <v>4099</v>
      </c>
      <c r="G9" s="137">
        <f t="shared" si="9"/>
        <v>6.2824999999999998</v>
      </c>
      <c r="H9" s="138">
        <f t="shared" si="1"/>
        <v>25751.967499999999</v>
      </c>
      <c r="J9" s="116">
        <f t="shared" si="10"/>
        <v>3674</v>
      </c>
      <c r="K9" s="137">
        <f t="shared" si="10"/>
        <v>6.2824999999999998</v>
      </c>
      <c r="L9" s="138">
        <f t="shared" si="2"/>
        <v>23081.904999999999</v>
      </c>
      <c r="N9" s="116">
        <f t="shared" si="11"/>
        <v>688</v>
      </c>
      <c r="O9" s="137">
        <f t="shared" si="12"/>
        <v>6.02</v>
      </c>
      <c r="P9" s="138">
        <f t="shared" si="3"/>
        <v>4141.7599999999993</v>
      </c>
      <c r="R9" s="116">
        <f t="shared" si="13"/>
        <v>1857</v>
      </c>
      <c r="S9" s="137">
        <f t="shared" si="14"/>
        <v>0</v>
      </c>
      <c r="T9" s="138">
        <f t="shared" si="4"/>
        <v>0</v>
      </c>
      <c r="W9" s="116">
        <f t="shared" si="5"/>
        <v>11570</v>
      </c>
      <c r="X9" s="148">
        <f t="shared" si="6"/>
        <v>11316</v>
      </c>
    </row>
    <row r="10" spans="1:24" x14ac:dyDescent="0.25">
      <c r="A10" s="68">
        <f t="shared" si="7"/>
        <v>5</v>
      </c>
      <c r="B10" s="116">
        <f t="shared" si="8"/>
        <v>1252</v>
      </c>
      <c r="C10" s="137">
        <f t="shared" si="8"/>
        <v>6.2824999999999998</v>
      </c>
      <c r="D10" s="138">
        <f t="shared" si="0"/>
        <v>7865.69</v>
      </c>
      <c r="F10" s="116">
        <f t="shared" si="9"/>
        <v>4099</v>
      </c>
      <c r="G10" s="137">
        <f t="shared" si="9"/>
        <v>6.2824999999999998</v>
      </c>
      <c r="H10" s="138">
        <f t="shared" si="1"/>
        <v>25751.967499999999</v>
      </c>
      <c r="J10" s="116">
        <f t="shared" si="10"/>
        <v>3674</v>
      </c>
      <c r="K10" s="137">
        <f t="shared" si="10"/>
        <v>6.2824999999999998</v>
      </c>
      <c r="L10" s="138">
        <f t="shared" si="2"/>
        <v>23081.904999999999</v>
      </c>
      <c r="N10" s="116">
        <f t="shared" si="11"/>
        <v>688</v>
      </c>
      <c r="O10" s="137">
        <f t="shared" si="12"/>
        <v>6.02</v>
      </c>
      <c r="P10" s="138">
        <f t="shared" si="3"/>
        <v>4141.7599999999993</v>
      </c>
      <c r="R10" s="116">
        <f t="shared" si="13"/>
        <v>1857</v>
      </c>
      <c r="S10" s="137">
        <f t="shared" si="14"/>
        <v>0</v>
      </c>
      <c r="T10" s="138">
        <f t="shared" si="4"/>
        <v>0</v>
      </c>
      <c r="W10" s="116">
        <f t="shared" si="5"/>
        <v>11570</v>
      </c>
      <c r="X10" s="148">
        <f t="shared" si="6"/>
        <v>11316</v>
      </c>
    </row>
    <row r="11" spans="1:24" x14ac:dyDescent="0.25">
      <c r="A11" s="68">
        <f t="shared" si="7"/>
        <v>6</v>
      </c>
      <c r="B11" s="116">
        <f t="shared" si="8"/>
        <v>1252</v>
      </c>
      <c r="C11" s="137">
        <f t="shared" si="8"/>
        <v>6.2824999999999998</v>
      </c>
      <c r="D11" s="138">
        <f t="shared" si="0"/>
        <v>7865.69</v>
      </c>
      <c r="F11" s="116">
        <f t="shared" si="9"/>
        <v>4099</v>
      </c>
      <c r="G11" s="137">
        <f t="shared" si="9"/>
        <v>6.2824999999999998</v>
      </c>
      <c r="H11" s="138">
        <f t="shared" si="1"/>
        <v>25751.967499999999</v>
      </c>
      <c r="J11" s="116">
        <f t="shared" si="10"/>
        <v>3674</v>
      </c>
      <c r="K11" s="137">
        <f t="shared" si="10"/>
        <v>6.2824999999999998</v>
      </c>
      <c r="L11" s="138">
        <f t="shared" si="2"/>
        <v>23081.904999999999</v>
      </c>
      <c r="N11" s="116">
        <f t="shared" si="11"/>
        <v>688</v>
      </c>
      <c r="O11" s="137">
        <f t="shared" si="12"/>
        <v>6.02</v>
      </c>
      <c r="P11" s="138">
        <f t="shared" si="3"/>
        <v>4141.7599999999993</v>
      </c>
      <c r="R11" s="116">
        <f t="shared" si="13"/>
        <v>1857</v>
      </c>
      <c r="S11" s="137">
        <f t="shared" si="14"/>
        <v>0</v>
      </c>
      <c r="T11" s="138">
        <f t="shared" si="4"/>
        <v>0</v>
      </c>
      <c r="W11" s="116">
        <f t="shared" si="5"/>
        <v>11570</v>
      </c>
      <c r="X11" s="148">
        <f t="shared" si="6"/>
        <v>11316</v>
      </c>
    </row>
    <row r="12" spans="1:24" x14ac:dyDescent="0.25">
      <c r="A12" s="68">
        <f t="shared" si="7"/>
        <v>7</v>
      </c>
      <c r="B12" s="116">
        <f t="shared" si="8"/>
        <v>1252</v>
      </c>
      <c r="C12" s="137">
        <f t="shared" si="8"/>
        <v>6.2824999999999998</v>
      </c>
      <c r="D12" s="138">
        <f t="shared" si="0"/>
        <v>7865.69</v>
      </c>
      <c r="F12" s="116">
        <f t="shared" si="9"/>
        <v>4099</v>
      </c>
      <c r="G12" s="137">
        <f t="shared" si="9"/>
        <v>6.2824999999999998</v>
      </c>
      <c r="H12" s="138">
        <f t="shared" si="1"/>
        <v>25751.967499999999</v>
      </c>
      <c r="J12" s="116">
        <f t="shared" si="10"/>
        <v>3674</v>
      </c>
      <c r="K12" s="137">
        <f t="shared" si="10"/>
        <v>6.2824999999999998</v>
      </c>
      <c r="L12" s="138">
        <f t="shared" si="2"/>
        <v>23081.904999999999</v>
      </c>
      <c r="N12" s="116">
        <f t="shared" si="11"/>
        <v>688</v>
      </c>
      <c r="O12" s="137">
        <f t="shared" si="12"/>
        <v>6.02</v>
      </c>
      <c r="P12" s="138">
        <f t="shared" si="3"/>
        <v>4141.7599999999993</v>
      </c>
      <c r="R12" s="116">
        <f t="shared" si="13"/>
        <v>1857</v>
      </c>
      <c r="S12" s="137">
        <f t="shared" si="14"/>
        <v>0</v>
      </c>
      <c r="T12" s="138">
        <f t="shared" si="4"/>
        <v>0</v>
      </c>
      <c r="W12" s="116">
        <f t="shared" si="5"/>
        <v>11570</v>
      </c>
      <c r="X12" s="148">
        <f t="shared" si="6"/>
        <v>11316</v>
      </c>
    </row>
    <row r="13" spans="1:24" x14ac:dyDescent="0.25">
      <c r="A13" s="68">
        <f t="shared" si="7"/>
        <v>8</v>
      </c>
      <c r="B13" s="116">
        <f t="shared" si="8"/>
        <v>1252</v>
      </c>
      <c r="C13" s="137">
        <f t="shared" si="8"/>
        <v>6.2824999999999998</v>
      </c>
      <c r="D13" s="138">
        <f t="shared" si="0"/>
        <v>7865.69</v>
      </c>
      <c r="F13" s="116">
        <f t="shared" si="9"/>
        <v>4099</v>
      </c>
      <c r="G13" s="137">
        <f t="shared" si="9"/>
        <v>6.2824999999999998</v>
      </c>
      <c r="H13" s="138">
        <f t="shared" si="1"/>
        <v>25751.967499999999</v>
      </c>
      <c r="J13" s="116">
        <f t="shared" si="10"/>
        <v>3674</v>
      </c>
      <c r="K13" s="137">
        <f t="shared" si="10"/>
        <v>6.2824999999999998</v>
      </c>
      <c r="L13" s="138">
        <f t="shared" si="2"/>
        <v>23081.904999999999</v>
      </c>
      <c r="N13" s="116">
        <f t="shared" si="11"/>
        <v>688</v>
      </c>
      <c r="O13" s="137">
        <f t="shared" si="12"/>
        <v>6.02</v>
      </c>
      <c r="P13" s="138">
        <f t="shared" si="3"/>
        <v>4141.7599999999993</v>
      </c>
      <c r="R13" s="116">
        <f t="shared" si="13"/>
        <v>1857</v>
      </c>
      <c r="S13" s="137">
        <f t="shared" si="14"/>
        <v>0</v>
      </c>
      <c r="T13" s="138">
        <f t="shared" si="4"/>
        <v>0</v>
      </c>
      <c r="W13" s="116">
        <f t="shared" si="5"/>
        <v>11570</v>
      </c>
      <c r="X13" s="148">
        <f t="shared" si="6"/>
        <v>11316</v>
      </c>
    </row>
    <row r="14" spans="1:24" x14ac:dyDescent="0.25">
      <c r="A14" s="68">
        <f t="shared" si="7"/>
        <v>9</v>
      </c>
      <c r="B14" s="116">
        <f t="shared" si="8"/>
        <v>1252</v>
      </c>
      <c r="C14" s="137">
        <f t="shared" si="8"/>
        <v>6.2824999999999998</v>
      </c>
      <c r="D14" s="138">
        <f t="shared" si="0"/>
        <v>7865.69</v>
      </c>
      <c r="F14" s="116">
        <f t="shared" si="9"/>
        <v>4099</v>
      </c>
      <c r="G14" s="137">
        <f t="shared" si="9"/>
        <v>6.2824999999999998</v>
      </c>
      <c r="H14" s="138">
        <f t="shared" si="1"/>
        <v>25751.967499999999</v>
      </c>
      <c r="J14" s="116">
        <f t="shared" si="10"/>
        <v>3674</v>
      </c>
      <c r="K14" s="137">
        <f t="shared" si="10"/>
        <v>6.2824999999999998</v>
      </c>
      <c r="L14" s="138">
        <f t="shared" si="2"/>
        <v>23081.904999999999</v>
      </c>
      <c r="N14" s="116">
        <f t="shared" si="11"/>
        <v>688</v>
      </c>
      <c r="O14" s="137">
        <f t="shared" si="12"/>
        <v>6.02</v>
      </c>
      <c r="P14" s="138">
        <f t="shared" si="3"/>
        <v>4141.7599999999993</v>
      </c>
      <c r="R14" s="116">
        <f t="shared" si="13"/>
        <v>1857</v>
      </c>
      <c r="S14" s="137">
        <f t="shared" si="14"/>
        <v>0</v>
      </c>
      <c r="T14" s="138">
        <f t="shared" si="4"/>
        <v>0</v>
      </c>
      <c r="W14" s="116">
        <f t="shared" si="5"/>
        <v>11570</v>
      </c>
      <c r="X14" s="148">
        <f t="shared" si="6"/>
        <v>11316</v>
      </c>
    </row>
    <row r="15" spans="1:24" x14ac:dyDescent="0.25">
      <c r="A15" s="68">
        <f t="shared" si="7"/>
        <v>10</v>
      </c>
      <c r="B15" s="116">
        <f t="shared" si="8"/>
        <v>1252</v>
      </c>
      <c r="C15" s="137">
        <f t="shared" si="8"/>
        <v>6.2824999999999998</v>
      </c>
      <c r="D15" s="138">
        <f t="shared" si="0"/>
        <v>7865.69</v>
      </c>
      <c r="F15" s="116">
        <f t="shared" si="9"/>
        <v>4099</v>
      </c>
      <c r="G15" s="137">
        <f t="shared" si="9"/>
        <v>6.2824999999999998</v>
      </c>
      <c r="H15" s="138">
        <f t="shared" si="1"/>
        <v>25751.967499999999</v>
      </c>
      <c r="J15" s="116">
        <f t="shared" si="10"/>
        <v>3674</v>
      </c>
      <c r="K15" s="137">
        <f t="shared" si="10"/>
        <v>6.2824999999999998</v>
      </c>
      <c r="L15" s="138">
        <f t="shared" si="2"/>
        <v>23081.904999999999</v>
      </c>
      <c r="N15" s="116">
        <f t="shared" si="11"/>
        <v>688</v>
      </c>
      <c r="O15" s="137">
        <f t="shared" si="12"/>
        <v>6.02</v>
      </c>
      <c r="P15" s="138">
        <f t="shared" si="3"/>
        <v>4141.7599999999993</v>
      </c>
      <c r="R15" s="116">
        <f t="shared" si="13"/>
        <v>1857</v>
      </c>
      <c r="S15" s="137">
        <f t="shared" si="14"/>
        <v>0</v>
      </c>
      <c r="T15" s="138">
        <f t="shared" si="4"/>
        <v>0</v>
      </c>
      <c r="W15" s="116">
        <f t="shared" si="5"/>
        <v>11570</v>
      </c>
      <c r="X15" s="148">
        <f t="shared" si="6"/>
        <v>11316</v>
      </c>
    </row>
    <row r="16" spans="1:24" x14ac:dyDescent="0.25">
      <c r="A16" s="68">
        <f t="shared" si="7"/>
        <v>11</v>
      </c>
      <c r="B16" s="116">
        <f t="shared" si="8"/>
        <v>1252</v>
      </c>
      <c r="C16" s="137">
        <f t="shared" si="8"/>
        <v>6.2824999999999998</v>
      </c>
      <c r="D16" s="138">
        <f t="shared" si="0"/>
        <v>7865.69</v>
      </c>
      <c r="F16" s="116">
        <f t="shared" si="9"/>
        <v>4099</v>
      </c>
      <c r="G16" s="137">
        <f t="shared" si="9"/>
        <v>6.2824999999999998</v>
      </c>
      <c r="H16" s="138">
        <f t="shared" si="1"/>
        <v>25751.967499999999</v>
      </c>
      <c r="J16" s="116">
        <f t="shared" si="10"/>
        <v>3674</v>
      </c>
      <c r="K16" s="137">
        <f t="shared" si="10"/>
        <v>6.2824999999999998</v>
      </c>
      <c r="L16" s="138">
        <f t="shared" si="2"/>
        <v>23081.904999999999</v>
      </c>
      <c r="N16" s="116">
        <f t="shared" si="11"/>
        <v>688</v>
      </c>
      <c r="O16" s="137">
        <f t="shared" si="12"/>
        <v>6.02</v>
      </c>
      <c r="P16" s="138">
        <f t="shared" si="3"/>
        <v>4141.7599999999993</v>
      </c>
      <c r="R16" s="116">
        <f t="shared" si="13"/>
        <v>1857</v>
      </c>
      <c r="S16" s="137">
        <f t="shared" si="14"/>
        <v>0</v>
      </c>
      <c r="T16" s="138">
        <f t="shared" si="4"/>
        <v>0</v>
      </c>
      <c r="W16" s="116">
        <f t="shared" si="5"/>
        <v>11570</v>
      </c>
      <c r="X16" s="148">
        <f t="shared" si="6"/>
        <v>11316</v>
      </c>
    </row>
    <row r="17" spans="1:24" x14ac:dyDescent="0.25">
      <c r="A17" s="68">
        <f t="shared" si="7"/>
        <v>12</v>
      </c>
      <c r="B17" s="116">
        <f t="shared" si="8"/>
        <v>1252</v>
      </c>
      <c r="C17" s="137">
        <f t="shared" si="8"/>
        <v>6.2824999999999998</v>
      </c>
      <c r="D17" s="138">
        <f t="shared" si="0"/>
        <v>7865.69</v>
      </c>
      <c r="F17" s="116">
        <f t="shared" si="9"/>
        <v>4099</v>
      </c>
      <c r="G17" s="137">
        <f t="shared" si="9"/>
        <v>6.2824999999999998</v>
      </c>
      <c r="H17" s="138">
        <f t="shared" si="1"/>
        <v>25751.967499999999</v>
      </c>
      <c r="J17" s="116">
        <f t="shared" si="10"/>
        <v>3674</v>
      </c>
      <c r="K17" s="137">
        <f t="shared" si="10"/>
        <v>6.2824999999999998</v>
      </c>
      <c r="L17" s="138">
        <f t="shared" si="2"/>
        <v>23081.904999999999</v>
      </c>
      <c r="N17" s="116">
        <f t="shared" si="11"/>
        <v>688</v>
      </c>
      <c r="O17" s="137">
        <f t="shared" si="12"/>
        <v>6.02</v>
      </c>
      <c r="P17" s="138">
        <f t="shared" si="3"/>
        <v>4141.7599999999993</v>
      </c>
      <c r="R17" s="116">
        <f t="shared" si="13"/>
        <v>1857</v>
      </c>
      <c r="S17" s="137">
        <f t="shared" si="14"/>
        <v>0</v>
      </c>
      <c r="T17" s="138">
        <f t="shared" si="4"/>
        <v>0</v>
      </c>
      <c r="W17" s="116">
        <f t="shared" si="5"/>
        <v>11570</v>
      </c>
      <c r="X17" s="148">
        <f t="shared" si="6"/>
        <v>11316</v>
      </c>
    </row>
    <row r="18" spans="1:24" x14ac:dyDescent="0.25">
      <c r="A18" s="68">
        <f t="shared" si="7"/>
        <v>13</v>
      </c>
      <c r="B18" s="116">
        <f t="shared" si="8"/>
        <v>1252</v>
      </c>
      <c r="C18" s="137">
        <f t="shared" si="8"/>
        <v>6.2824999999999998</v>
      </c>
      <c r="D18" s="138">
        <f t="shared" si="0"/>
        <v>7865.69</v>
      </c>
      <c r="F18" s="116">
        <f t="shared" si="9"/>
        <v>4099</v>
      </c>
      <c r="G18" s="137">
        <f t="shared" si="9"/>
        <v>6.2824999999999998</v>
      </c>
      <c r="H18" s="138">
        <f t="shared" si="1"/>
        <v>25751.967499999999</v>
      </c>
      <c r="J18" s="116">
        <f t="shared" si="10"/>
        <v>3674</v>
      </c>
      <c r="K18" s="137">
        <f t="shared" si="10"/>
        <v>6.2824999999999998</v>
      </c>
      <c r="L18" s="138">
        <f t="shared" si="2"/>
        <v>23081.904999999999</v>
      </c>
      <c r="N18" s="116">
        <f t="shared" si="11"/>
        <v>688</v>
      </c>
      <c r="O18" s="137">
        <f t="shared" si="12"/>
        <v>6.02</v>
      </c>
      <c r="P18" s="138">
        <f t="shared" si="3"/>
        <v>4141.7599999999993</v>
      </c>
      <c r="R18" s="116">
        <f t="shared" si="13"/>
        <v>1857</v>
      </c>
      <c r="S18" s="137">
        <f t="shared" si="14"/>
        <v>0</v>
      </c>
      <c r="T18" s="138">
        <f t="shared" si="4"/>
        <v>0</v>
      </c>
      <c r="W18" s="116">
        <f t="shared" si="5"/>
        <v>11570</v>
      </c>
      <c r="X18" s="148">
        <f t="shared" si="6"/>
        <v>11316</v>
      </c>
    </row>
    <row r="19" spans="1:24" x14ac:dyDescent="0.25">
      <c r="A19" s="68">
        <f t="shared" si="7"/>
        <v>14</v>
      </c>
      <c r="B19" s="116">
        <f t="shared" si="8"/>
        <v>1252</v>
      </c>
      <c r="C19" s="137">
        <f t="shared" si="8"/>
        <v>6.2824999999999998</v>
      </c>
      <c r="D19" s="138">
        <f t="shared" si="0"/>
        <v>7865.69</v>
      </c>
      <c r="F19" s="116">
        <f t="shared" si="9"/>
        <v>4099</v>
      </c>
      <c r="G19" s="137">
        <f t="shared" si="9"/>
        <v>6.2824999999999998</v>
      </c>
      <c r="H19" s="138">
        <f t="shared" si="1"/>
        <v>25751.967499999999</v>
      </c>
      <c r="J19" s="116">
        <f t="shared" si="10"/>
        <v>3674</v>
      </c>
      <c r="K19" s="137">
        <f t="shared" si="10"/>
        <v>6.2824999999999998</v>
      </c>
      <c r="L19" s="138">
        <f t="shared" si="2"/>
        <v>23081.904999999999</v>
      </c>
      <c r="N19" s="116">
        <f t="shared" si="11"/>
        <v>688</v>
      </c>
      <c r="O19" s="137">
        <f t="shared" si="12"/>
        <v>6.02</v>
      </c>
      <c r="P19" s="138">
        <f t="shared" si="3"/>
        <v>4141.7599999999993</v>
      </c>
      <c r="R19" s="116">
        <f t="shared" si="13"/>
        <v>1857</v>
      </c>
      <c r="S19" s="137">
        <f t="shared" si="14"/>
        <v>0</v>
      </c>
      <c r="T19" s="138">
        <f t="shared" si="4"/>
        <v>0</v>
      </c>
      <c r="W19" s="116">
        <f t="shared" si="5"/>
        <v>11570</v>
      </c>
      <c r="X19" s="148">
        <f t="shared" si="6"/>
        <v>11316</v>
      </c>
    </row>
    <row r="20" spans="1:24" x14ac:dyDescent="0.25">
      <c r="A20" s="68">
        <f t="shared" si="7"/>
        <v>15</v>
      </c>
      <c r="B20" s="116">
        <f t="shared" si="8"/>
        <v>1252</v>
      </c>
      <c r="C20" s="137">
        <f t="shared" si="8"/>
        <v>6.2824999999999998</v>
      </c>
      <c r="D20" s="138">
        <f t="shared" si="0"/>
        <v>7865.69</v>
      </c>
      <c r="F20" s="116">
        <f t="shared" si="9"/>
        <v>4099</v>
      </c>
      <c r="G20" s="137">
        <f t="shared" si="9"/>
        <v>6.2824999999999998</v>
      </c>
      <c r="H20" s="138">
        <f t="shared" si="1"/>
        <v>25751.967499999999</v>
      </c>
      <c r="J20" s="116">
        <f t="shared" si="10"/>
        <v>3674</v>
      </c>
      <c r="K20" s="137">
        <f t="shared" si="10"/>
        <v>6.2824999999999998</v>
      </c>
      <c r="L20" s="138">
        <f t="shared" si="2"/>
        <v>23081.904999999999</v>
      </c>
      <c r="N20" s="116">
        <f t="shared" si="11"/>
        <v>688</v>
      </c>
      <c r="O20" s="137">
        <f t="shared" si="12"/>
        <v>6.02</v>
      </c>
      <c r="P20" s="138">
        <f t="shared" si="3"/>
        <v>4141.7599999999993</v>
      </c>
      <c r="R20" s="116">
        <f t="shared" si="13"/>
        <v>1857</v>
      </c>
      <c r="S20" s="137">
        <f t="shared" si="14"/>
        <v>0</v>
      </c>
      <c r="T20" s="138">
        <f t="shared" si="4"/>
        <v>0</v>
      </c>
      <c r="W20" s="116">
        <f t="shared" si="5"/>
        <v>11570</v>
      </c>
      <c r="X20" s="148">
        <f t="shared" si="6"/>
        <v>11316</v>
      </c>
    </row>
    <row r="21" spans="1:24" x14ac:dyDescent="0.25">
      <c r="A21" s="68">
        <f t="shared" si="7"/>
        <v>16</v>
      </c>
      <c r="B21" s="116">
        <f t="shared" si="8"/>
        <v>1252</v>
      </c>
      <c r="C21" s="137">
        <f t="shared" si="8"/>
        <v>6.2824999999999998</v>
      </c>
      <c r="D21" s="138">
        <f t="shared" si="0"/>
        <v>7865.69</v>
      </c>
      <c r="F21" s="116">
        <f t="shared" si="9"/>
        <v>4099</v>
      </c>
      <c r="G21" s="137">
        <f t="shared" si="9"/>
        <v>6.2824999999999998</v>
      </c>
      <c r="H21" s="138">
        <f t="shared" si="1"/>
        <v>25751.967499999999</v>
      </c>
      <c r="J21" s="116">
        <f t="shared" si="10"/>
        <v>3674</v>
      </c>
      <c r="K21" s="137">
        <f t="shared" si="10"/>
        <v>6.2824999999999998</v>
      </c>
      <c r="L21" s="138">
        <f t="shared" si="2"/>
        <v>23081.904999999999</v>
      </c>
      <c r="N21" s="116">
        <f t="shared" si="11"/>
        <v>688</v>
      </c>
      <c r="O21" s="137">
        <f t="shared" si="12"/>
        <v>6.02</v>
      </c>
      <c r="P21" s="138">
        <f t="shared" si="3"/>
        <v>4141.7599999999993</v>
      </c>
      <c r="R21" s="116">
        <f t="shared" si="13"/>
        <v>1857</v>
      </c>
      <c r="S21" s="137">
        <f t="shared" si="14"/>
        <v>0</v>
      </c>
      <c r="T21" s="138">
        <f t="shared" si="4"/>
        <v>0</v>
      </c>
      <c r="W21" s="116">
        <f t="shared" si="5"/>
        <v>11570</v>
      </c>
      <c r="X21" s="148">
        <f t="shared" si="6"/>
        <v>11316</v>
      </c>
    </row>
    <row r="22" spans="1:24" x14ac:dyDescent="0.25">
      <c r="A22" s="68">
        <f t="shared" si="7"/>
        <v>17</v>
      </c>
      <c r="B22" s="116">
        <f t="shared" si="8"/>
        <v>1252</v>
      </c>
      <c r="C22" s="137">
        <f t="shared" si="8"/>
        <v>6.2824999999999998</v>
      </c>
      <c r="D22" s="138">
        <f t="shared" si="0"/>
        <v>7865.69</v>
      </c>
      <c r="F22" s="116">
        <f t="shared" si="9"/>
        <v>4099</v>
      </c>
      <c r="G22" s="137">
        <f t="shared" si="9"/>
        <v>6.2824999999999998</v>
      </c>
      <c r="H22" s="138">
        <f t="shared" si="1"/>
        <v>25751.967499999999</v>
      </c>
      <c r="J22" s="116">
        <f t="shared" si="10"/>
        <v>3674</v>
      </c>
      <c r="K22" s="137">
        <f t="shared" si="10"/>
        <v>6.2824999999999998</v>
      </c>
      <c r="L22" s="138">
        <f t="shared" si="2"/>
        <v>23081.904999999999</v>
      </c>
      <c r="N22" s="116">
        <f t="shared" si="11"/>
        <v>688</v>
      </c>
      <c r="O22" s="137">
        <f t="shared" si="12"/>
        <v>6.02</v>
      </c>
      <c r="P22" s="138">
        <f t="shared" si="3"/>
        <v>4141.7599999999993</v>
      </c>
      <c r="R22" s="116">
        <f t="shared" si="13"/>
        <v>1857</v>
      </c>
      <c r="S22" s="137">
        <f t="shared" si="14"/>
        <v>0</v>
      </c>
      <c r="T22" s="138">
        <f t="shared" si="4"/>
        <v>0</v>
      </c>
      <c r="W22" s="116">
        <f t="shared" si="5"/>
        <v>11570</v>
      </c>
      <c r="X22" s="148">
        <f t="shared" si="6"/>
        <v>11316</v>
      </c>
    </row>
    <row r="23" spans="1:24" x14ac:dyDescent="0.25">
      <c r="A23" s="68">
        <f t="shared" si="7"/>
        <v>18</v>
      </c>
      <c r="B23" s="116">
        <f t="shared" si="8"/>
        <v>1252</v>
      </c>
      <c r="C23" s="137">
        <f t="shared" si="8"/>
        <v>6.2824999999999998</v>
      </c>
      <c r="D23" s="138">
        <f t="shared" si="0"/>
        <v>7865.69</v>
      </c>
      <c r="F23" s="116">
        <f t="shared" si="9"/>
        <v>4099</v>
      </c>
      <c r="G23" s="137">
        <f t="shared" si="9"/>
        <v>6.2824999999999998</v>
      </c>
      <c r="H23" s="138">
        <f t="shared" si="1"/>
        <v>25751.967499999999</v>
      </c>
      <c r="J23" s="116">
        <f t="shared" si="10"/>
        <v>3674</v>
      </c>
      <c r="K23" s="137">
        <f t="shared" si="10"/>
        <v>6.2824999999999998</v>
      </c>
      <c r="L23" s="138">
        <f t="shared" si="2"/>
        <v>23081.904999999999</v>
      </c>
      <c r="N23" s="116">
        <f t="shared" si="11"/>
        <v>688</v>
      </c>
      <c r="O23" s="137">
        <f t="shared" si="12"/>
        <v>6.02</v>
      </c>
      <c r="P23" s="138">
        <f t="shared" si="3"/>
        <v>4141.7599999999993</v>
      </c>
      <c r="R23" s="116">
        <f t="shared" si="13"/>
        <v>1857</v>
      </c>
      <c r="S23" s="137">
        <f t="shared" si="14"/>
        <v>0</v>
      </c>
      <c r="T23" s="138">
        <f t="shared" si="4"/>
        <v>0</v>
      </c>
      <c r="W23" s="116">
        <f t="shared" si="5"/>
        <v>11570</v>
      </c>
      <c r="X23" s="148">
        <f t="shared" si="6"/>
        <v>11316</v>
      </c>
    </row>
    <row r="24" spans="1:24" x14ac:dyDescent="0.25">
      <c r="A24" s="68">
        <f t="shared" si="7"/>
        <v>19</v>
      </c>
      <c r="B24" s="116">
        <f t="shared" si="8"/>
        <v>1252</v>
      </c>
      <c r="C24" s="137">
        <f t="shared" si="8"/>
        <v>6.2824999999999998</v>
      </c>
      <c r="D24" s="138">
        <f t="shared" si="0"/>
        <v>7865.69</v>
      </c>
      <c r="F24" s="116">
        <f t="shared" si="9"/>
        <v>4099</v>
      </c>
      <c r="G24" s="137">
        <f t="shared" si="9"/>
        <v>6.2824999999999998</v>
      </c>
      <c r="H24" s="138">
        <f t="shared" si="1"/>
        <v>25751.967499999999</v>
      </c>
      <c r="J24" s="116">
        <f t="shared" si="10"/>
        <v>3674</v>
      </c>
      <c r="K24" s="137">
        <f t="shared" si="10"/>
        <v>6.2824999999999998</v>
      </c>
      <c r="L24" s="138">
        <f t="shared" si="2"/>
        <v>23081.904999999999</v>
      </c>
      <c r="N24" s="116">
        <f t="shared" si="11"/>
        <v>688</v>
      </c>
      <c r="O24" s="137">
        <f t="shared" ref="O24:O36" si="15">+O23</f>
        <v>6.02</v>
      </c>
      <c r="P24" s="138">
        <f t="shared" si="3"/>
        <v>4141.7599999999993</v>
      </c>
      <c r="R24" s="116">
        <f t="shared" si="13"/>
        <v>1857</v>
      </c>
      <c r="S24" s="137">
        <f t="shared" si="14"/>
        <v>0</v>
      </c>
      <c r="T24" s="138">
        <f t="shared" si="4"/>
        <v>0</v>
      </c>
      <c r="W24" s="116">
        <f t="shared" si="5"/>
        <v>11570</v>
      </c>
      <c r="X24" s="148">
        <f t="shared" si="6"/>
        <v>11316</v>
      </c>
    </row>
    <row r="25" spans="1:24" x14ac:dyDescent="0.25">
      <c r="A25" s="68">
        <f t="shared" si="7"/>
        <v>20</v>
      </c>
      <c r="B25" s="116">
        <f t="shared" si="8"/>
        <v>1252</v>
      </c>
      <c r="C25" s="137">
        <f t="shared" si="8"/>
        <v>6.2824999999999998</v>
      </c>
      <c r="D25" s="138">
        <f t="shared" si="0"/>
        <v>7865.69</v>
      </c>
      <c r="F25" s="116">
        <f t="shared" si="9"/>
        <v>4099</v>
      </c>
      <c r="G25" s="137">
        <f t="shared" si="9"/>
        <v>6.2824999999999998</v>
      </c>
      <c r="H25" s="138">
        <f t="shared" si="1"/>
        <v>25751.967499999999</v>
      </c>
      <c r="J25" s="116">
        <f t="shared" si="10"/>
        <v>3674</v>
      </c>
      <c r="K25" s="137">
        <f t="shared" si="10"/>
        <v>6.2824999999999998</v>
      </c>
      <c r="L25" s="138">
        <f t="shared" si="2"/>
        <v>23081.904999999999</v>
      </c>
      <c r="N25" s="116">
        <f t="shared" si="11"/>
        <v>688</v>
      </c>
      <c r="O25" s="137">
        <f t="shared" si="15"/>
        <v>6.02</v>
      </c>
      <c r="P25" s="138">
        <f t="shared" si="3"/>
        <v>4141.7599999999993</v>
      </c>
      <c r="R25" s="116">
        <f t="shared" si="13"/>
        <v>1857</v>
      </c>
      <c r="S25" s="137">
        <f t="shared" si="14"/>
        <v>0</v>
      </c>
      <c r="T25" s="138">
        <f t="shared" si="4"/>
        <v>0</v>
      </c>
      <c r="W25" s="116">
        <f t="shared" si="5"/>
        <v>11570</v>
      </c>
      <c r="X25" s="148">
        <f t="shared" si="6"/>
        <v>11316</v>
      </c>
    </row>
    <row r="26" spans="1:24" x14ac:dyDescent="0.25">
      <c r="A26" s="68">
        <f t="shared" si="7"/>
        <v>21</v>
      </c>
      <c r="B26" s="116">
        <f t="shared" si="8"/>
        <v>1252</v>
      </c>
      <c r="C26" s="137">
        <f t="shared" si="8"/>
        <v>6.2824999999999998</v>
      </c>
      <c r="D26" s="138">
        <f t="shared" si="0"/>
        <v>7865.69</v>
      </c>
      <c r="F26" s="116">
        <f t="shared" si="9"/>
        <v>4099</v>
      </c>
      <c r="G26" s="137">
        <f t="shared" si="9"/>
        <v>6.2824999999999998</v>
      </c>
      <c r="H26" s="138">
        <f t="shared" si="1"/>
        <v>25751.967499999999</v>
      </c>
      <c r="J26" s="116">
        <f t="shared" si="10"/>
        <v>3674</v>
      </c>
      <c r="K26" s="137">
        <f t="shared" si="10"/>
        <v>6.2824999999999998</v>
      </c>
      <c r="L26" s="138">
        <f t="shared" si="2"/>
        <v>23081.904999999999</v>
      </c>
      <c r="N26" s="116">
        <f t="shared" si="11"/>
        <v>688</v>
      </c>
      <c r="O26" s="137">
        <f t="shared" si="15"/>
        <v>6.02</v>
      </c>
      <c r="P26" s="138">
        <f t="shared" si="3"/>
        <v>4141.7599999999993</v>
      </c>
      <c r="R26" s="116">
        <f t="shared" si="13"/>
        <v>1857</v>
      </c>
      <c r="S26" s="137">
        <f t="shared" si="14"/>
        <v>0</v>
      </c>
      <c r="T26" s="138">
        <f t="shared" si="4"/>
        <v>0</v>
      </c>
      <c r="W26" s="116">
        <f t="shared" si="5"/>
        <v>11570</v>
      </c>
      <c r="X26" s="148">
        <f t="shared" si="6"/>
        <v>11316</v>
      </c>
    </row>
    <row r="27" spans="1:24" x14ac:dyDescent="0.25">
      <c r="A27" s="68">
        <f t="shared" si="7"/>
        <v>22</v>
      </c>
      <c r="B27" s="116">
        <f t="shared" si="8"/>
        <v>1252</v>
      </c>
      <c r="C27" s="137">
        <f t="shared" si="8"/>
        <v>6.2824999999999998</v>
      </c>
      <c r="D27" s="138">
        <f t="shared" si="0"/>
        <v>7865.69</v>
      </c>
      <c r="F27" s="116">
        <f t="shared" si="9"/>
        <v>4099</v>
      </c>
      <c r="G27" s="137">
        <f t="shared" si="9"/>
        <v>6.2824999999999998</v>
      </c>
      <c r="H27" s="138">
        <f t="shared" si="1"/>
        <v>25751.967499999999</v>
      </c>
      <c r="J27" s="116">
        <f t="shared" si="10"/>
        <v>3674</v>
      </c>
      <c r="K27" s="137">
        <f t="shared" si="10"/>
        <v>6.2824999999999998</v>
      </c>
      <c r="L27" s="138">
        <f t="shared" si="2"/>
        <v>23081.904999999999</v>
      </c>
      <c r="N27" s="116">
        <f t="shared" si="11"/>
        <v>688</v>
      </c>
      <c r="O27" s="137">
        <f t="shared" si="15"/>
        <v>6.02</v>
      </c>
      <c r="P27" s="138">
        <f t="shared" si="3"/>
        <v>4141.7599999999993</v>
      </c>
      <c r="R27" s="116">
        <f t="shared" si="13"/>
        <v>1857</v>
      </c>
      <c r="S27" s="137">
        <f t="shared" si="14"/>
        <v>0</v>
      </c>
      <c r="T27" s="138">
        <f t="shared" si="4"/>
        <v>0</v>
      </c>
      <c r="W27" s="116">
        <f t="shared" si="5"/>
        <v>11570</v>
      </c>
      <c r="X27" s="148">
        <f t="shared" si="6"/>
        <v>11316</v>
      </c>
    </row>
    <row r="28" spans="1:24" x14ac:dyDescent="0.25">
      <c r="A28" s="68">
        <f t="shared" si="7"/>
        <v>23</v>
      </c>
      <c r="B28" s="116">
        <f t="shared" si="8"/>
        <v>1252</v>
      </c>
      <c r="C28" s="137">
        <f t="shared" si="8"/>
        <v>6.2824999999999998</v>
      </c>
      <c r="D28" s="138">
        <f t="shared" si="0"/>
        <v>7865.69</v>
      </c>
      <c r="F28" s="116">
        <f t="shared" si="9"/>
        <v>4099</v>
      </c>
      <c r="G28" s="137">
        <f t="shared" si="9"/>
        <v>6.2824999999999998</v>
      </c>
      <c r="H28" s="138">
        <f t="shared" si="1"/>
        <v>25751.967499999999</v>
      </c>
      <c r="J28" s="116">
        <f t="shared" si="10"/>
        <v>3674</v>
      </c>
      <c r="K28" s="137">
        <f t="shared" si="10"/>
        <v>6.2824999999999998</v>
      </c>
      <c r="L28" s="138">
        <f t="shared" si="2"/>
        <v>23081.904999999999</v>
      </c>
      <c r="N28" s="116">
        <f t="shared" si="11"/>
        <v>688</v>
      </c>
      <c r="O28" s="137">
        <f t="shared" si="15"/>
        <v>6.02</v>
      </c>
      <c r="P28" s="138">
        <f t="shared" si="3"/>
        <v>4141.7599999999993</v>
      </c>
      <c r="R28" s="116">
        <f t="shared" si="13"/>
        <v>1857</v>
      </c>
      <c r="S28" s="137">
        <f t="shared" si="14"/>
        <v>0</v>
      </c>
      <c r="T28" s="138">
        <f t="shared" si="4"/>
        <v>0</v>
      </c>
      <c r="W28" s="116">
        <f t="shared" si="5"/>
        <v>11570</v>
      </c>
      <c r="X28" s="148">
        <f t="shared" si="6"/>
        <v>11316</v>
      </c>
    </row>
    <row r="29" spans="1:24" x14ac:dyDescent="0.25">
      <c r="A29" s="68">
        <f t="shared" si="7"/>
        <v>24</v>
      </c>
      <c r="B29" s="116">
        <f t="shared" si="8"/>
        <v>1252</v>
      </c>
      <c r="C29" s="137">
        <f t="shared" si="8"/>
        <v>6.2824999999999998</v>
      </c>
      <c r="D29" s="138">
        <f t="shared" si="0"/>
        <v>7865.69</v>
      </c>
      <c r="F29" s="116">
        <f t="shared" si="9"/>
        <v>4099</v>
      </c>
      <c r="G29" s="137">
        <f t="shared" si="9"/>
        <v>6.2824999999999998</v>
      </c>
      <c r="H29" s="138">
        <f t="shared" si="1"/>
        <v>25751.967499999999</v>
      </c>
      <c r="J29" s="116">
        <f t="shared" si="10"/>
        <v>3674</v>
      </c>
      <c r="K29" s="137">
        <f t="shared" si="10"/>
        <v>6.2824999999999998</v>
      </c>
      <c r="L29" s="138">
        <f t="shared" si="2"/>
        <v>23081.904999999999</v>
      </c>
      <c r="N29" s="116">
        <f t="shared" si="11"/>
        <v>688</v>
      </c>
      <c r="O29" s="137">
        <f t="shared" si="15"/>
        <v>6.02</v>
      </c>
      <c r="P29" s="138">
        <f t="shared" si="3"/>
        <v>4141.7599999999993</v>
      </c>
      <c r="R29" s="116">
        <f t="shared" si="13"/>
        <v>1857</v>
      </c>
      <c r="S29" s="137">
        <f t="shared" si="14"/>
        <v>0</v>
      </c>
      <c r="T29" s="138">
        <f t="shared" si="4"/>
        <v>0</v>
      </c>
      <c r="W29" s="116">
        <f t="shared" si="5"/>
        <v>11570</v>
      </c>
      <c r="X29" s="148">
        <f t="shared" si="6"/>
        <v>11316</v>
      </c>
    </row>
    <row r="30" spans="1:24" x14ac:dyDescent="0.25">
      <c r="A30" s="68">
        <f t="shared" si="7"/>
        <v>25</v>
      </c>
      <c r="B30" s="116">
        <f t="shared" si="8"/>
        <v>1252</v>
      </c>
      <c r="C30" s="137">
        <f t="shared" si="8"/>
        <v>6.2824999999999998</v>
      </c>
      <c r="D30" s="138">
        <f t="shared" si="0"/>
        <v>7865.69</v>
      </c>
      <c r="F30" s="116">
        <f t="shared" si="9"/>
        <v>4099</v>
      </c>
      <c r="G30" s="137">
        <f t="shared" si="9"/>
        <v>6.2824999999999998</v>
      </c>
      <c r="H30" s="138">
        <f t="shared" si="1"/>
        <v>25751.967499999999</v>
      </c>
      <c r="J30" s="116">
        <f t="shared" si="10"/>
        <v>3674</v>
      </c>
      <c r="K30" s="137">
        <f t="shared" si="10"/>
        <v>6.2824999999999998</v>
      </c>
      <c r="L30" s="138">
        <f t="shared" si="2"/>
        <v>23081.904999999999</v>
      </c>
      <c r="N30" s="116">
        <f t="shared" si="11"/>
        <v>688</v>
      </c>
      <c r="O30" s="137">
        <f t="shared" si="15"/>
        <v>6.02</v>
      </c>
      <c r="P30" s="138">
        <f t="shared" si="3"/>
        <v>4141.7599999999993</v>
      </c>
      <c r="R30" s="116">
        <f t="shared" si="13"/>
        <v>1857</v>
      </c>
      <c r="S30" s="137">
        <f t="shared" si="14"/>
        <v>0</v>
      </c>
      <c r="T30" s="138">
        <f t="shared" si="4"/>
        <v>0</v>
      </c>
      <c r="W30" s="116">
        <f t="shared" si="5"/>
        <v>11570</v>
      </c>
      <c r="X30" s="148">
        <f t="shared" si="6"/>
        <v>11316</v>
      </c>
    </row>
    <row r="31" spans="1:24" x14ac:dyDescent="0.25">
      <c r="A31" s="68">
        <f t="shared" si="7"/>
        <v>26</v>
      </c>
      <c r="B31" s="116">
        <f t="shared" si="8"/>
        <v>1252</v>
      </c>
      <c r="C31" s="137">
        <f t="shared" si="8"/>
        <v>6.2824999999999998</v>
      </c>
      <c r="D31" s="138">
        <f t="shared" si="0"/>
        <v>7865.69</v>
      </c>
      <c r="F31" s="116">
        <f t="shared" si="9"/>
        <v>4099</v>
      </c>
      <c r="G31" s="137">
        <f t="shared" si="9"/>
        <v>6.2824999999999998</v>
      </c>
      <c r="H31" s="138">
        <f t="shared" si="1"/>
        <v>25751.967499999999</v>
      </c>
      <c r="J31" s="116">
        <f t="shared" si="10"/>
        <v>3674</v>
      </c>
      <c r="K31" s="137">
        <f t="shared" si="10"/>
        <v>6.2824999999999998</v>
      </c>
      <c r="L31" s="138">
        <f t="shared" si="2"/>
        <v>23081.904999999999</v>
      </c>
      <c r="N31" s="116">
        <f t="shared" si="11"/>
        <v>688</v>
      </c>
      <c r="O31" s="137">
        <f t="shared" si="15"/>
        <v>6.02</v>
      </c>
      <c r="P31" s="138">
        <f t="shared" si="3"/>
        <v>4141.7599999999993</v>
      </c>
      <c r="R31" s="116">
        <f t="shared" si="13"/>
        <v>1857</v>
      </c>
      <c r="S31" s="137">
        <f t="shared" si="14"/>
        <v>0</v>
      </c>
      <c r="T31" s="138">
        <f t="shared" si="4"/>
        <v>0</v>
      </c>
      <c r="W31" s="116">
        <f t="shared" si="5"/>
        <v>11570</v>
      </c>
      <c r="X31" s="148">
        <f t="shared" si="6"/>
        <v>11316</v>
      </c>
    </row>
    <row r="32" spans="1:24" x14ac:dyDescent="0.25">
      <c r="A32" s="68">
        <f t="shared" si="7"/>
        <v>27</v>
      </c>
      <c r="B32" s="116">
        <f t="shared" si="8"/>
        <v>1252</v>
      </c>
      <c r="C32" s="137">
        <f t="shared" si="8"/>
        <v>6.2824999999999998</v>
      </c>
      <c r="D32" s="138">
        <f t="shared" si="0"/>
        <v>7865.69</v>
      </c>
      <c r="F32" s="116">
        <f t="shared" si="9"/>
        <v>4099</v>
      </c>
      <c r="G32" s="137">
        <f t="shared" si="9"/>
        <v>6.2824999999999998</v>
      </c>
      <c r="H32" s="138">
        <f t="shared" si="1"/>
        <v>25751.967499999999</v>
      </c>
      <c r="J32" s="116">
        <f t="shared" si="10"/>
        <v>3674</v>
      </c>
      <c r="K32" s="137">
        <f t="shared" si="10"/>
        <v>6.2824999999999998</v>
      </c>
      <c r="L32" s="138">
        <f t="shared" si="2"/>
        <v>23081.904999999999</v>
      </c>
      <c r="N32" s="116">
        <f t="shared" si="11"/>
        <v>688</v>
      </c>
      <c r="O32" s="137">
        <f t="shared" si="15"/>
        <v>6.02</v>
      </c>
      <c r="P32" s="138">
        <f t="shared" si="3"/>
        <v>4141.7599999999993</v>
      </c>
      <c r="R32" s="116">
        <f t="shared" si="13"/>
        <v>1857</v>
      </c>
      <c r="S32" s="137">
        <f t="shared" si="14"/>
        <v>0</v>
      </c>
      <c r="T32" s="138">
        <f t="shared" si="4"/>
        <v>0</v>
      </c>
      <c r="W32" s="116">
        <f t="shared" si="5"/>
        <v>11570</v>
      </c>
      <c r="X32" s="148">
        <f t="shared" si="6"/>
        <v>11316</v>
      </c>
    </row>
    <row r="33" spans="1:24" x14ac:dyDescent="0.25">
      <c r="A33" s="68">
        <f t="shared" si="7"/>
        <v>28</v>
      </c>
      <c r="B33" s="116">
        <f t="shared" si="8"/>
        <v>1252</v>
      </c>
      <c r="C33" s="137">
        <f t="shared" si="8"/>
        <v>6.2824999999999998</v>
      </c>
      <c r="D33" s="138">
        <f t="shared" si="0"/>
        <v>7865.69</v>
      </c>
      <c r="F33" s="116">
        <f t="shared" si="9"/>
        <v>4099</v>
      </c>
      <c r="G33" s="137">
        <f t="shared" si="9"/>
        <v>6.2824999999999998</v>
      </c>
      <c r="H33" s="138">
        <f t="shared" si="1"/>
        <v>25751.967499999999</v>
      </c>
      <c r="J33" s="116">
        <f t="shared" si="10"/>
        <v>3674</v>
      </c>
      <c r="K33" s="137">
        <f t="shared" si="10"/>
        <v>6.2824999999999998</v>
      </c>
      <c r="L33" s="138">
        <f t="shared" si="2"/>
        <v>23081.904999999999</v>
      </c>
      <c r="N33" s="116">
        <f t="shared" si="11"/>
        <v>688</v>
      </c>
      <c r="O33" s="137">
        <f t="shared" si="15"/>
        <v>6.02</v>
      </c>
      <c r="P33" s="138">
        <f t="shared" si="3"/>
        <v>4141.7599999999993</v>
      </c>
      <c r="R33" s="116">
        <f t="shared" si="13"/>
        <v>1857</v>
      </c>
      <c r="S33" s="137">
        <f t="shared" si="14"/>
        <v>0</v>
      </c>
      <c r="T33" s="138">
        <f t="shared" si="4"/>
        <v>0</v>
      </c>
      <c r="W33" s="116">
        <f t="shared" si="5"/>
        <v>11570</v>
      </c>
      <c r="X33" s="148">
        <f t="shared" si="6"/>
        <v>11316</v>
      </c>
    </row>
    <row r="34" spans="1:24" x14ac:dyDescent="0.25">
      <c r="A34" s="68">
        <f t="shared" si="7"/>
        <v>29</v>
      </c>
      <c r="B34" s="116">
        <f t="shared" si="8"/>
        <v>1252</v>
      </c>
      <c r="C34" s="137">
        <f t="shared" si="8"/>
        <v>6.2824999999999998</v>
      </c>
      <c r="D34" s="138">
        <f t="shared" si="0"/>
        <v>7865.69</v>
      </c>
      <c r="F34" s="116">
        <f t="shared" si="9"/>
        <v>4099</v>
      </c>
      <c r="G34" s="137">
        <f t="shared" si="9"/>
        <v>6.2824999999999998</v>
      </c>
      <c r="H34" s="138">
        <f t="shared" si="1"/>
        <v>25751.967499999999</v>
      </c>
      <c r="J34" s="116">
        <f t="shared" si="10"/>
        <v>3674</v>
      </c>
      <c r="K34" s="137">
        <f t="shared" si="10"/>
        <v>6.2824999999999998</v>
      </c>
      <c r="L34" s="138">
        <f t="shared" si="2"/>
        <v>23081.904999999999</v>
      </c>
      <c r="N34" s="116">
        <f t="shared" si="11"/>
        <v>688</v>
      </c>
      <c r="O34" s="137">
        <f t="shared" si="15"/>
        <v>6.02</v>
      </c>
      <c r="P34" s="138">
        <f t="shared" si="3"/>
        <v>4141.7599999999993</v>
      </c>
      <c r="R34" s="116">
        <f t="shared" si="13"/>
        <v>1857</v>
      </c>
      <c r="S34" s="137">
        <f t="shared" si="14"/>
        <v>0</v>
      </c>
      <c r="T34" s="138">
        <f t="shared" si="4"/>
        <v>0</v>
      </c>
      <c r="W34" s="116">
        <f t="shared" si="5"/>
        <v>11570</v>
      </c>
      <c r="X34" s="148">
        <f t="shared" si="6"/>
        <v>11316</v>
      </c>
    </row>
    <row r="35" spans="1:24" x14ac:dyDescent="0.25">
      <c r="A35" s="68">
        <f>+A34+1</f>
        <v>30</v>
      </c>
      <c r="B35" s="116">
        <f t="shared" si="8"/>
        <v>1252</v>
      </c>
      <c r="C35" s="137">
        <f t="shared" si="8"/>
        <v>6.2824999999999998</v>
      </c>
      <c r="D35" s="138">
        <f t="shared" si="0"/>
        <v>7865.69</v>
      </c>
      <c r="F35" s="116">
        <f t="shared" si="9"/>
        <v>4099</v>
      </c>
      <c r="G35" s="137">
        <f t="shared" si="9"/>
        <v>6.2824999999999998</v>
      </c>
      <c r="H35" s="138">
        <f t="shared" si="1"/>
        <v>25751.967499999999</v>
      </c>
      <c r="J35" s="116">
        <f t="shared" si="10"/>
        <v>3674</v>
      </c>
      <c r="K35" s="137">
        <f t="shared" si="10"/>
        <v>6.2824999999999998</v>
      </c>
      <c r="L35" s="138">
        <f t="shared" si="2"/>
        <v>23081.904999999999</v>
      </c>
      <c r="N35" s="116">
        <f t="shared" si="11"/>
        <v>688</v>
      </c>
      <c r="O35" s="137">
        <f t="shared" si="15"/>
        <v>6.02</v>
      </c>
      <c r="P35" s="138">
        <f t="shared" si="3"/>
        <v>4141.7599999999993</v>
      </c>
      <c r="R35" s="116">
        <f t="shared" si="13"/>
        <v>1857</v>
      </c>
      <c r="S35" s="137">
        <f t="shared" si="14"/>
        <v>0</v>
      </c>
      <c r="T35" s="138">
        <f t="shared" si="4"/>
        <v>0</v>
      </c>
      <c r="W35" s="116">
        <f t="shared" si="5"/>
        <v>11570</v>
      </c>
      <c r="X35" s="148">
        <f t="shared" si="6"/>
        <v>11316</v>
      </c>
    </row>
    <row r="36" spans="1:24" x14ac:dyDescent="0.25">
      <c r="A36" s="68">
        <f>+A35+1</f>
        <v>31</v>
      </c>
      <c r="B36" s="116">
        <f>+B35</f>
        <v>1252</v>
      </c>
      <c r="C36" s="137">
        <f>+C35</f>
        <v>6.2824999999999998</v>
      </c>
      <c r="D36" s="138">
        <f>+B36*C36</f>
        <v>7865.69</v>
      </c>
      <c r="F36" s="116">
        <f>+F35</f>
        <v>4099</v>
      </c>
      <c r="G36" s="137">
        <f>+G35</f>
        <v>6.2824999999999998</v>
      </c>
      <c r="H36" s="138">
        <f>+F36*G36</f>
        <v>25751.967499999999</v>
      </c>
      <c r="J36" s="116">
        <f>+J35</f>
        <v>3674</v>
      </c>
      <c r="K36" s="137">
        <f>+K35</f>
        <v>6.2824999999999998</v>
      </c>
      <c r="L36" s="138">
        <f>+J36*K36</f>
        <v>23081.904999999999</v>
      </c>
      <c r="N36" s="116">
        <f t="shared" si="11"/>
        <v>688</v>
      </c>
      <c r="O36" s="137">
        <f t="shared" si="15"/>
        <v>6.02</v>
      </c>
      <c r="P36" s="138">
        <f>+N36*O36</f>
        <v>4141.7599999999993</v>
      </c>
      <c r="R36" s="116">
        <f t="shared" si="13"/>
        <v>1857</v>
      </c>
      <c r="S36" s="137">
        <f t="shared" si="14"/>
        <v>0</v>
      </c>
      <c r="T36" s="138">
        <f>+R36*S36</f>
        <v>0</v>
      </c>
      <c r="W36" s="116">
        <f>SUM(B36,F36,J36,N36,R36)</f>
        <v>11570</v>
      </c>
      <c r="X36" s="148">
        <f t="shared" si="6"/>
        <v>11316</v>
      </c>
    </row>
    <row r="37" spans="1:24" x14ac:dyDescent="0.25">
      <c r="A37" s="68"/>
    </row>
    <row r="38" spans="1:24" x14ac:dyDescent="0.25">
      <c r="A38" s="68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P6" activePane="bottomRight" state="frozen"/>
      <selection pane="topRight" activeCell="B1" sqref="B1"/>
      <selection pane="bottomLeft" activeCell="A6" sqref="A6"/>
      <selection pane="bottomRight" activeCell="Z28" sqref="Z28"/>
    </sheetView>
  </sheetViews>
  <sheetFormatPr defaultRowHeight="13.2" x14ac:dyDescent="0.25"/>
  <cols>
    <col min="1" max="1" width="5.6640625" style="69" customWidth="1"/>
    <col min="2" max="2" width="13" style="145" customWidth="1"/>
    <col min="3" max="4" width="13" style="146" customWidth="1"/>
    <col min="5" max="5" width="4.33203125" style="116" customWidth="1"/>
    <col min="6" max="6" width="13" style="145" customWidth="1"/>
    <col min="7" max="8" width="13" style="146" customWidth="1"/>
    <col min="9" max="9" width="4.33203125" style="116" customWidth="1"/>
    <col min="10" max="10" width="13" style="116" customWidth="1"/>
    <col min="11" max="12" width="13" style="137" customWidth="1"/>
    <col min="13" max="13" width="4.33203125" style="116" customWidth="1"/>
    <col min="14" max="14" width="13" style="116" customWidth="1"/>
    <col min="15" max="16" width="13" style="137" customWidth="1"/>
    <col min="17" max="17" width="4.33203125" style="116" customWidth="1"/>
    <col min="18" max="18" width="13" style="116" customWidth="1"/>
    <col min="19" max="20" width="13" style="137" customWidth="1"/>
    <col min="21" max="21" width="4.33203125" style="116" customWidth="1"/>
    <col min="22" max="22" width="13" style="116" customWidth="1"/>
    <col min="23" max="24" width="13" style="137" customWidth="1"/>
    <col min="25" max="25" width="4.109375" customWidth="1"/>
  </cols>
  <sheetData>
    <row r="2" spans="1:26" x14ac:dyDescent="0.25">
      <c r="A2" s="68"/>
    </row>
    <row r="3" spans="1:26" x14ac:dyDescent="0.25">
      <c r="A3" s="68"/>
    </row>
    <row r="4" spans="1:26" x14ac:dyDescent="0.25">
      <c r="A4" s="68"/>
      <c r="Z4" t="s">
        <v>276</v>
      </c>
    </row>
    <row r="5" spans="1:26" x14ac:dyDescent="0.25">
      <c r="A5" s="68"/>
      <c r="B5" s="145" t="s">
        <v>237</v>
      </c>
      <c r="C5" s="146" t="s">
        <v>149</v>
      </c>
      <c r="D5" s="146" t="s">
        <v>269</v>
      </c>
      <c r="F5" s="145" t="s">
        <v>237</v>
      </c>
      <c r="G5" s="146" t="s">
        <v>149</v>
      </c>
      <c r="H5" s="146" t="s">
        <v>269</v>
      </c>
      <c r="J5" s="145" t="s">
        <v>237</v>
      </c>
      <c r="K5" s="137" t="s">
        <v>149</v>
      </c>
      <c r="L5" s="137" t="s">
        <v>269</v>
      </c>
      <c r="O5" s="137" t="s">
        <v>149</v>
      </c>
      <c r="P5" s="137" t="s">
        <v>269</v>
      </c>
      <c r="S5" s="137" t="s">
        <v>149</v>
      </c>
      <c r="T5" s="137" t="s">
        <v>269</v>
      </c>
      <c r="W5" s="137" t="s">
        <v>149</v>
      </c>
      <c r="X5" s="137" t="s">
        <v>269</v>
      </c>
      <c r="Z5" t="s">
        <v>277</v>
      </c>
    </row>
    <row r="6" spans="1:26" x14ac:dyDescent="0.25">
      <c r="A6" s="68">
        <v>1</v>
      </c>
      <c r="B6" s="145">
        <v>-11316</v>
      </c>
      <c r="C6" s="146">
        <v>6.27</v>
      </c>
      <c r="D6" s="147">
        <f>+B6*C6</f>
        <v>-70951.319999999992</v>
      </c>
      <c r="F6" s="145">
        <v>0</v>
      </c>
      <c r="G6" s="146">
        <v>0</v>
      </c>
      <c r="H6" s="147">
        <f>+F6*G6</f>
        <v>0</v>
      </c>
      <c r="J6" s="116">
        <v>0</v>
      </c>
      <c r="K6" s="137">
        <v>0</v>
      </c>
      <c r="L6" s="138">
        <f>+J6*K6</f>
        <v>0</v>
      </c>
      <c r="N6" s="116">
        <v>0</v>
      </c>
      <c r="O6" s="137">
        <v>0</v>
      </c>
      <c r="P6" s="138">
        <f>+N6*O6</f>
        <v>0</v>
      </c>
      <c r="R6" s="116">
        <v>0</v>
      </c>
      <c r="S6" s="137">
        <v>0</v>
      </c>
      <c r="T6" s="138">
        <f>+R6*S6</f>
        <v>0</v>
      </c>
      <c r="V6" s="116">
        <v>0</v>
      </c>
      <c r="W6" s="137">
        <v>0</v>
      </c>
      <c r="X6" s="138">
        <f>+V6*W6</f>
        <v>0</v>
      </c>
      <c r="Z6" s="116">
        <f>SUM(B6,F6,J6,N6,R6,V6)</f>
        <v>-11316</v>
      </c>
    </row>
    <row r="7" spans="1:26" x14ac:dyDescent="0.25">
      <c r="A7" s="68">
        <f>+A6+1</f>
        <v>2</v>
      </c>
      <c r="B7" s="145">
        <f>+B6</f>
        <v>-11316</v>
      </c>
      <c r="C7" s="146">
        <f>+C6</f>
        <v>6.27</v>
      </c>
      <c r="D7" s="147">
        <f t="shared" ref="D7:D36" si="0">+B7*C7</f>
        <v>-70951.319999999992</v>
      </c>
      <c r="F7" s="145">
        <v>15000</v>
      </c>
      <c r="G7" s="146">
        <v>6.89</v>
      </c>
      <c r="H7" s="147">
        <f t="shared" ref="H7:H36" si="1">+F7*G7</f>
        <v>103350</v>
      </c>
      <c r="J7" s="116">
        <f>+J6</f>
        <v>0</v>
      </c>
      <c r="K7" s="137">
        <f>+K6</f>
        <v>0</v>
      </c>
      <c r="L7" s="138">
        <f t="shared" ref="L7:L35" si="2">+J7*K7</f>
        <v>0</v>
      </c>
      <c r="N7" s="116">
        <f>+N6</f>
        <v>0</v>
      </c>
      <c r="O7" s="137">
        <f>+O6</f>
        <v>0</v>
      </c>
      <c r="P7" s="138">
        <f t="shared" ref="P7:P35" si="3">+N7*O7</f>
        <v>0</v>
      </c>
      <c r="R7" s="116">
        <f>+R6</f>
        <v>0</v>
      </c>
      <c r="S7" s="137">
        <f>+S6</f>
        <v>0</v>
      </c>
      <c r="T7" s="138">
        <f t="shared" ref="T7:T35" si="4">+R7*S7</f>
        <v>0</v>
      </c>
      <c r="V7" s="116">
        <f>+V6</f>
        <v>0</v>
      </c>
      <c r="W7" s="137">
        <f>+W6</f>
        <v>0</v>
      </c>
      <c r="X7" s="138">
        <f t="shared" ref="X7:X35" si="5">+V7*W7</f>
        <v>0</v>
      </c>
      <c r="Z7" s="116">
        <f t="shared" ref="Z7:Z36" si="6">SUM(B7,F7,J7,N7,R7,V7)</f>
        <v>3684</v>
      </c>
    </row>
    <row r="8" spans="1:26" x14ac:dyDescent="0.25">
      <c r="A8" s="68">
        <f t="shared" ref="A8:A34" si="7">+A7+1</f>
        <v>3</v>
      </c>
      <c r="B8" s="145">
        <f t="shared" ref="B8:B36" si="8">+B7</f>
        <v>-11316</v>
      </c>
      <c r="C8" s="146">
        <f t="shared" ref="C8:C36" si="9">+C7</f>
        <v>6.27</v>
      </c>
      <c r="D8" s="147">
        <f t="shared" si="0"/>
        <v>-70951.319999999992</v>
      </c>
      <c r="F8" s="145">
        <f t="shared" ref="F8:F36" si="10">+F7</f>
        <v>15000</v>
      </c>
      <c r="G8" s="146">
        <f t="shared" ref="G8:G36" si="11">+G7</f>
        <v>6.89</v>
      </c>
      <c r="H8" s="147">
        <f t="shared" si="1"/>
        <v>103350</v>
      </c>
      <c r="J8" s="116">
        <f t="shared" ref="J8:J36" si="12">+J7</f>
        <v>0</v>
      </c>
      <c r="K8" s="137">
        <f t="shared" ref="K8:K36" si="13">+K7</f>
        <v>0</v>
      </c>
      <c r="L8" s="138">
        <f t="shared" si="2"/>
        <v>0</v>
      </c>
      <c r="N8" s="116">
        <f t="shared" ref="N8:N36" si="14">+N7</f>
        <v>0</v>
      </c>
      <c r="O8" s="137">
        <f t="shared" ref="O8:O36" si="15">+O7</f>
        <v>0</v>
      </c>
      <c r="P8" s="138">
        <f t="shared" si="3"/>
        <v>0</v>
      </c>
      <c r="R8" s="116">
        <f t="shared" ref="R8:R36" si="16">+R7</f>
        <v>0</v>
      </c>
      <c r="S8" s="137">
        <f t="shared" ref="S8:S36" si="17">+S7</f>
        <v>0</v>
      </c>
      <c r="T8" s="138">
        <f t="shared" si="4"/>
        <v>0</v>
      </c>
      <c r="V8" s="116">
        <f t="shared" ref="V8:V36" si="18">+V7</f>
        <v>0</v>
      </c>
      <c r="W8" s="137">
        <f t="shared" ref="W8:W36" si="19">+W7</f>
        <v>0</v>
      </c>
      <c r="X8" s="138">
        <f t="shared" si="5"/>
        <v>0</v>
      </c>
      <c r="Z8" s="116">
        <f t="shared" si="6"/>
        <v>3684</v>
      </c>
    </row>
    <row r="9" spans="1:26" x14ac:dyDescent="0.25">
      <c r="A9" s="68">
        <f t="shared" si="7"/>
        <v>4</v>
      </c>
      <c r="B9" s="145">
        <f t="shared" si="8"/>
        <v>-11316</v>
      </c>
      <c r="C9" s="146">
        <f t="shared" si="9"/>
        <v>6.27</v>
      </c>
      <c r="D9" s="147">
        <f t="shared" si="0"/>
        <v>-70951.319999999992</v>
      </c>
      <c r="F9" s="145">
        <f t="shared" si="10"/>
        <v>15000</v>
      </c>
      <c r="G9" s="146">
        <f t="shared" si="11"/>
        <v>6.89</v>
      </c>
      <c r="H9" s="147">
        <f t="shared" si="1"/>
        <v>103350</v>
      </c>
      <c r="J9" s="116">
        <f t="shared" si="12"/>
        <v>0</v>
      </c>
      <c r="K9" s="137">
        <f t="shared" si="13"/>
        <v>0</v>
      </c>
      <c r="L9" s="138">
        <f t="shared" si="2"/>
        <v>0</v>
      </c>
      <c r="N9" s="116">
        <f t="shared" si="14"/>
        <v>0</v>
      </c>
      <c r="O9" s="137">
        <f t="shared" si="15"/>
        <v>0</v>
      </c>
      <c r="P9" s="138">
        <f t="shared" si="3"/>
        <v>0</v>
      </c>
      <c r="R9" s="116">
        <f t="shared" si="16"/>
        <v>0</v>
      </c>
      <c r="S9" s="137">
        <f t="shared" si="17"/>
        <v>0</v>
      </c>
      <c r="T9" s="138">
        <f t="shared" si="4"/>
        <v>0</v>
      </c>
      <c r="V9" s="116">
        <f t="shared" si="18"/>
        <v>0</v>
      </c>
      <c r="W9" s="137">
        <f t="shared" si="19"/>
        <v>0</v>
      </c>
      <c r="X9" s="138">
        <f t="shared" si="5"/>
        <v>0</v>
      </c>
      <c r="Z9" s="116">
        <f t="shared" si="6"/>
        <v>3684</v>
      </c>
    </row>
    <row r="10" spans="1:26" x14ac:dyDescent="0.25">
      <c r="A10" s="68">
        <f t="shared" si="7"/>
        <v>5</v>
      </c>
      <c r="B10" s="145">
        <f t="shared" si="8"/>
        <v>-11316</v>
      </c>
      <c r="C10" s="146">
        <f t="shared" si="9"/>
        <v>6.27</v>
      </c>
      <c r="D10" s="147">
        <f t="shared" si="0"/>
        <v>-70951.319999999992</v>
      </c>
      <c r="F10" s="145">
        <f t="shared" si="10"/>
        <v>15000</v>
      </c>
      <c r="G10" s="146">
        <f t="shared" si="11"/>
        <v>6.89</v>
      </c>
      <c r="H10" s="147">
        <f t="shared" si="1"/>
        <v>103350</v>
      </c>
      <c r="J10" s="116">
        <v>-5000</v>
      </c>
      <c r="K10" s="137">
        <v>7.61</v>
      </c>
      <c r="L10" s="138">
        <f t="shared" si="2"/>
        <v>-38050</v>
      </c>
      <c r="N10" s="116">
        <f t="shared" si="14"/>
        <v>0</v>
      </c>
      <c r="O10" s="137">
        <f t="shared" si="15"/>
        <v>0</v>
      </c>
      <c r="P10" s="138">
        <f t="shared" si="3"/>
        <v>0</v>
      </c>
      <c r="R10" s="116">
        <f t="shared" si="16"/>
        <v>0</v>
      </c>
      <c r="S10" s="137">
        <f t="shared" si="17"/>
        <v>0</v>
      </c>
      <c r="T10" s="138">
        <f t="shared" si="4"/>
        <v>0</v>
      </c>
      <c r="V10" s="116">
        <f t="shared" si="18"/>
        <v>0</v>
      </c>
      <c r="W10" s="137">
        <f t="shared" si="19"/>
        <v>0</v>
      </c>
      <c r="X10" s="138">
        <f t="shared" si="5"/>
        <v>0</v>
      </c>
      <c r="Z10" s="116">
        <f t="shared" si="6"/>
        <v>-1316</v>
      </c>
    </row>
    <row r="11" spans="1:26" x14ac:dyDescent="0.25">
      <c r="A11" s="68">
        <f t="shared" si="7"/>
        <v>6</v>
      </c>
      <c r="B11" s="145">
        <f t="shared" si="8"/>
        <v>-11316</v>
      </c>
      <c r="C11" s="146">
        <f t="shared" si="9"/>
        <v>6.27</v>
      </c>
      <c r="D11" s="147">
        <f t="shared" si="0"/>
        <v>-70951.319999999992</v>
      </c>
      <c r="F11" s="145">
        <f t="shared" si="10"/>
        <v>15000</v>
      </c>
      <c r="G11" s="146">
        <f t="shared" si="11"/>
        <v>6.89</v>
      </c>
      <c r="H11" s="147">
        <f t="shared" si="1"/>
        <v>103350</v>
      </c>
      <c r="J11" s="116">
        <f t="shared" si="12"/>
        <v>-5000</v>
      </c>
      <c r="K11" s="137">
        <f t="shared" si="13"/>
        <v>7.61</v>
      </c>
      <c r="L11" s="138">
        <f t="shared" si="2"/>
        <v>-38050</v>
      </c>
      <c r="N11" s="116">
        <f t="shared" si="14"/>
        <v>0</v>
      </c>
      <c r="O11" s="137">
        <f t="shared" si="15"/>
        <v>0</v>
      </c>
      <c r="P11" s="138">
        <f t="shared" si="3"/>
        <v>0</v>
      </c>
      <c r="R11" s="116">
        <f t="shared" si="16"/>
        <v>0</v>
      </c>
      <c r="S11" s="137">
        <f t="shared" si="17"/>
        <v>0</v>
      </c>
      <c r="T11" s="138">
        <f t="shared" si="4"/>
        <v>0</v>
      </c>
      <c r="V11" s="116">
        <f t="shared" si="18"/>
        <v>0</v>
      </c>
      <c r="W11" s="137">
        <f t="shared" si="19"/>
        <v>0</v>
      </c>
      <c r="X11" s="138">
        <f t="shared" si="5"/>
        <v>0</v>
      </c>
      <c r="Z11" s="116">
        <f t="shared" si="6"/>
        <v>-1316</v>
      </c>
    </row>
    <row r="12" spans="1:26" x14ac:dyDescent="0.25">
      <c r="A12" s="68">
        <f t="shared" si="7"/>
        <v>7</v>
      </c>
      <c r="B12" s="145">
        <f t="shared" si="8"/>
        <v>-11316</v>
      </c>
      <c r="C12" s="146">
        <f t="shared" si="9"/>
        <v>6.27</v>
      </c>
      <c r="D12" s="147">
        <f t="shared" si="0"/>
        <v>-70951.319999999992</v>
      </c>
      <c r="F12" s="145">
        <f t="shared" si="10"/>
        <v>15000</v>
      </c>
      <c r="G12" s="146">
        <f t="shared" si="11"/>
        <v>6.89</v>
      </c>
      <c r="H12" s="147">
        <f t="shared" si="1"/>
        <v>103350</v>
      </c>
      <c r="J12" s="116">
        <f t="shared" si="12"/>
        <v>-5000</v>
      </c>
      <c r="K12" s="137">
        <f t="shared" si="13"/>
        <v>7.61</v>
      </c>
      <c r="L12" s="138">
        <f t="shared" si="2"/>
        <v>-38050</v>
      </c>
      <c r="N12" s="116">
        <f t="shared" si="14"/>
        <v>0</v>
      </c>
      <c r="O12" s="137">
        <f t="shared" si="15"/>
        <v>0</v>
      </c>
      <c r="P12" s="138">
        <f t="shared" si="3"/>
        <v>0</v>
      </c>
      <c r="R12" s="116">
        <f t="shared" si="16"/>
        <v>0</v>
      </c>
      <c r="S12" s="137">
        <f t="shared" si="17"/>
        <v>0</v>
      </c>
      <c r="T12" s="138">
        <f t="shared" si="4"/>
        <v>0</v>
      </c>
      <c r="V12" s="116">
        <f t="shared" si="18"/>
        <v>0</v>
      </c>
      <c r="W12" s="137">
        <f t="shared" si="19"/>
        <v>0</v>
      </c>
      <c r="X12" s="138">
        <f t="shared" si="5"/>
        <v>0</v>
      </c>
      <c r="Z12" s="116">
        <f t="shared" si="6"/>
        <v>-1316</v>
      </c>
    </row>
    <row r="13" spans="1:26" x14ac:dyDescent="0.25">
      <c r="A13" s="68">
        <f t="shared" si="7"/>
        <v>8</v>
      </c>
      <c r="B13" s="145">
        <f t="shared" si="8"/>
        <v>-11316</v>
      </c>
      <c r="C13" s="146">
        <f t="shared" si="9"/>
        <v>6.27</v>
      </c>
      <c r="D13" s="147">
        <f t="shared" si="0"/>
        <v>-70951.319999999992</v>
      </c>
      <c r="F13" s="145">
        <f t="shared" si="10"/>
        <v>15000</v>
      </c>
      <c r="G13" s="146">
        <f t="shared" si="11"/>
        <v>6.89</v>
      </c>
      <c r="H13" s="147">
        <f t="shared" si="1"/>
        <v>103350</v>
      </c>
      <c r="J13" s="116">
        <f t="shared" si="12"/>
        <v>-5000</v>
      </c>
      <c r="K13" s="137">
        <f t="shared" si="13"/>
        <v>7.61</v>
      </c>
      <c r="L13" s="138">
        <f t="shared" si="2"/>
        <v>-38050</v>
      </c>
      <c r="N13" s="116">
        <f t="shared" si="14"/>
        <v>0</v>
      </c>
      <c r="O13" s="137">
        <f t="shared" si="15"/>
        <v>0</v>
      </c>
      <c r="P13" s="138">
        <f t="shared" si="3"/>
        <v>0</v>
      </c>
      <c r="R13" s="116">
        <f t="shared" si="16"/>
        <v>0</v>
      </c>
      <c r="S13" s="137">
        <f t="shared" si="17"/>
        <v>0</v>
      </c>
      <c r="T13" s="138">
        <f t="shared" si="4"/>
        <v>0</v>
      </c>
      <c r="V13" s="116">
        <f t="shared" si="18"/>
        <v>0</v>
      </c>
      <c r="W13" s="137">
        <f t="shared" si="19"/>
        <v>0</v>
      </c>
      <c r="X13" s="138">
        <f t="shared" si="5"/>
        <v>0</v>
      </c>
      <c r="Z13" s="116">
        <f t="shared" si="6"/>
        <v>-1316</v>
      </c>
    </row>
    <row r="14" spans="1:26" x14ac:dyDescent="0.25">
      <c r="A14" s="68">
        <f t="shared" si="7"/>
        <v>9</v>
      </c>
      <c r="B14" s="145">
        <f t="shared" si="8"/>
        <v>-11316</v>
      </c>
      <c r="C14" s="146">
        <f t="shared" si="9"/>
        <v>6.27</v>
      </c>
      <c r="D14" s="147">
        <f t="shared" si="0"/>
        <v>-70951.319999999992</v>
      </c>
      <c r="F14" s="145">
        <f t="shared" si="10"/>
        <v>15000</v>
      </c>
      <c r="G14" s="146">
        <f t="shared" si="11"/>
        <v>6.89</v>
      </c>
      <c r="H14" s="147">
        <f t="shared" si="1"/>
        <v>103350</v>
      </c>
      <c r="J14" s="116">
        <f t="shared" si="12"/>
        <v>-5000</v>
      </c>
      <c r="K14" s="137">
        <f t="shared" si="13"/>
        <v>7.61</v>
      </c>
      <c r="L14" s="138">
        <f t="shared" si="2"/>
        <v>-38050</v>
      </c>
      <c r="N14" s="116">
        <v>-35000</v>
      </c>
      <c r="O14" s="137">
        <v>8.4</v>
      </c>
      <c r="P14" s="138">
        <f t="shared" si="3"/>
        <v>-294000</v>
      </c>
      <c r="R14" s="116">
        <f t="shared" si="16"/>
        <v>0</v>
      </c>
      <c r="S14" s="137">
        <f t="shared" si="17"/>
        <v>0</v>
      </c>
      <c r="T14" s="138">
        <f t="shared" si="4"/>
        <v>0</v>
      </c>
      <c r="V14" s="116">
        <f t="shared" si="18"/>
        <v>0</v>
      </c>
      <c r="W14" s="137">
        <f t="shared" si="19"/>
        <v>0</v>
      </c>
      <c r="X14" s="138">
        <f t="shared" si="5"/>
        <v>0</v>
      </c>
      <c r="Z14" s="116">
        <f t="shared" si="6"/>
        <v>-36316</v>
      </c>
    </row>
    <row r="15" spans="1:26" x14ac:dyDescent="0.25">
      <c r="A15" s="68">
        <f t="shared" si="7"/>
        <v>10</v>
      </c>
      <c r="B15" s="145">
        <f t="shared" si="8"/>
        <v>-11316</v>
      </c>
      <c r="C15" s="146">
        <f t="shared" si="9"/>
        <v>6.27</v>
      </c>
      <c r="D15" s="147">
        <f t="shared" si="0"/>
        <v>-70951.319999999992</v>
      </c>
      <c r="F15" s="145">
        <f t="shared" si="10"/>
        <v>15000</v>
      </c>
      <c r="G15" s="146">
        <f t="shared" si="11"/>
        <v>6.89</v>
      </c>
      <c r="H15" s="147">
        <f t="shared" si="1"/>
        <v>103350</v>
      </c>
      <c r="J15" s="116">
        <f t="shared" si="12"/>
        <v>-5000</v>
      </c>
      <c r="K15" s="137">
        <f t="shared" si="13"/>
        <v>7.61</v>
      </c>
      <c r="L15" s="138">
        <f t="shared" si="2"/>
        <v>-38050</v>
      </c>
      <c r="N15" s="116">
        <f t="shared" si="14"/>
        <v>-35000</v>
      </c>
      <c r="O15" s="137">
        <f t="shared" si="15"/>
        <v>8.4</v>
      </c>
      <c r="P15" s="138">
        <f t="shared" si="3"/>
        <v>-294000</v>
      </c>
      <c r="R15" s="116">
        <f t="shared" si="16"/>
        <v>0</v>
      </c>
      <c r="S15" s="137">
        <f t="shared" si="17"/>
        <v>0</v>
      </c>
      <c r="T15" s="138">
        <f t="shared" si="4"/>
        <v>0</v>
      </c>
      <c r="V15" s="116">
        <f t="shared" si="18"/>
        <v>0</v>
      </c>
      <c r="W15" s="137">
        <f t="shared" si="19"/>
        <v>0</v>
      </c>
      <c r="X15" s="138">
        <f t="shared" si="5"/>
        <v>0</v>
      </c>
      <c r="Z15" s="116">
        <f t="shared" si="6"/>
        <v>-36316</v>
      </c>
    </row>
    <row r="16" spans="1:26" x14ac:dyDescent="0.25">
      <c r="A16" s="68">
        <f t="shared" si="7"/>
        <v>11</v>
      </c>
      <c r="B16" s="145">
        <f t="shared" si="8"/>
        <v>-11316</v>
      </c>
      <c r="C16" s="146">
        <f t="shared" si="9"/>
        <v>6.27</v>
      </c>
      <c r="D16" s="147">
        <f t="shared" si="0"/>
        <v>-70951.319999999992</v>
      </c>
      <c r="F16" s="145">
        <f t="shared" si="10"/>
        <v>15000</v>
      </c>
      <c r="G16" s="146">
        <f t="shared" si="11"/>
        <v>6.89</v>
      </c>
      <c r="H16" s="147">
        <f t="shared" si="1"/>
        <v>103350</v>
      </c>
      <c r="J16" s="116">
        <f t="shared" si="12"/>
        <v>-5000</v>
      </c>
      <c r="K16" s="137">
        <f t="shared" si="13"/>
        <v>7.61</v>
      </c>
      <c r="L16" s="138">
        <f t="shared" si="2"/>
        <v>-38050</v>
      </c>
      <c r="N16" s="116">
        <f t="shared" si="14"/>
        <v>-35000</v>
      </c>
      <c r="O16" s="137">
        <f t="shared" si="15"/>
        <v>8.4</v>
      </c>
      <c r="P16" s="138">
        <f t="shared" si="3"/>
        <v>-294000</v>
      </c>
      <c r="R16" s="116">
        <f t="shared" si="16"/>
        <v>0</v>
      </c>
      <c r="S16" s="137">
        <f t="shared" si="17"/>
        <v>0</v>
      </c>
      <c r="T16" s="138">
        <f t="shared" si="4"/>
        <v>0</v>
      </c>
      <c r="V16" s="116">
        <f t="shared" si="18"/>
        <v>0</v>
      </c>
      <c r="W16" s="137">
        <f t="shared" si="19"/>
        <v>0</v>
      </c>
      <c r="X16" s="138">
        <f t="shared" si="5"/>
        <v>0</v>
      </c>
      <c r="Z16" s="116">
        <f t="shared" si="6"/>
        <v>-36316</v>
      </c>
    </row>
    <row r="17" spans="1:26" x14ac:dyDescent="0.25">
      <c r="A17" s="68">
        <f t="shared" si="7"/>
        <v>12</v>
      </c>
      <c r="B17" s="145">
        <f t="shared" si="8"/>
        <v>-11316</v>
      </c>
      <c r="C17" s="146">
        <f t="shared" si="9"/>
        <v>6.27</v>
      </c>
      <c r="D17" s="147">
        <f t="shared" si="0"/>
        <v>-70951.319999999992</v>
      </c>
      <c r="F17" s="145">
        <f t="shared" si="10"/>
        <v>15000</v>
      </c>
      <c r="G17" s="146">
        <f t="shared" si="11"/>
        <v>6.89</v>
      </c>
      <c r="H17" s="147">
        <f t="shared" si="1"/>
        <v>103350</v>
      </c>
      <c r="J17" s="116">
        <f t="shared" si="12"/>
        <v>-5000</v>
      </c>
      <c r="K17" s="137">
        <f t="shared" si="13"/>
        <v>7.61</v>
      </c>
      <c r="L17" s="138">
        <f t="shared" si="2"/>
        <v>-38050</v>
      </c>
      <c r="N17" s="116">
        <v>0</v>
      </c>
      <c r="O17" s="137">
        <v>0</v>
      </c>
      <c r="P17" s="138">
        <f t="shared" si="3"/>
        <v>0</v>
      </c>
      <c r="R17" s="116">
        <f t="shared" si="16"/>
        <v>0</v>
      </c>
      <c r="S17" s="137">
        <f t="shared" si="17"/>
        <v>0</v>
      </c>
      <c r="T17" s="138">
        <f t="shared" si="4"/>
        <v>0</v>
      </c>
      <c r="V17" s="116">
        <f t="shared" si="18"/>
        <v>0</v>
      </c>
      <c r="W17" s="137">
        <f t="shared" si="19"/>
        <v>0</v>
      </c>
      <c r="X17" s="138">
        <f t="shared" si="5"/>
        <v>0</v>
      </c>
      <c r="Z17" s="116">
        <f t="shared" si="6"/>
        <v>-1316</v>
      </c>
    </row>
    <row r="18" spans="1:26" x14ac:dyDescent="0.25">
      <c r="A18" s="68">
        <f t="shared" si="7"/>
        <v>13</v>
      </c>
      <c r="B18" s="145">
        <f t="shared" si="8"/>
        <v>-11316</v>
      </c>
      <c r="C18" s="146">
        <f t="shared" si="9"/>
        <v>6.27</v>
      </c>
      <c r="D18" s="147">
        <f t="shared" si="0"/>
        <v>-70951.319999999992</v>
      </c>
      <c r="F18" s="145">
        <f t="shared" si="10"/>
        <v>15000</v>
      </c>
      <c r="G18" s="146">
        <f t="shared" si="11"/>
        <v>6.89</v>
      </c>
      <c r="H18" s="147">
        <f t="shared" si="1"/>
        <v>103350</v>
      </c>
      <c r="J18" s="116">
        <f t="shared" si="12"/>
        <v>-5000</v>
      </c>
      <c r="K18" s="137">
        <f t="shared" si="13"/>
        <v>7.61</v>
      </c>
      <c r="L18" s="138">
        <f t="shared" si="2"/>
        <v>-38050</v>
      </c>
      <c r="N18" s="116">
        <f t="shared" si="14"/>
        <v>0</v>
      </c>
      <c r="O18" s="137">
        <f t="shared" si="15"/>
        <v>0</v>
      </c>
      <c r="P18" s="138">
        <f t="shared" si="3"/>
        <v>0</v>
      </c>
      <c r="R18" s="116">
        <f t="shared" si="16"/>
        <v>0</v>
      </c>
      <c r="S18" s="137">
        <f t="shared" si="17"/>
        <v>0</v>
      </c>
      <c r="T18" s="138">
        <f t="shared" si="4"/>
        <v>0</v>
      </c>
      <c r="V18" s="116">
        <f t="shared" si="18"/>
        <v>0</v>
      </c>
      <c r="W18" s="137">
        <f t="shared" si="19"/>
        <v>0</v>
      </c>
      <c r="X18" s="138">
        <f t="shared" si="5"/>
        <v>0</v>
      </c>
      <c r="Z18" s="116">
        <f t="shared" si="6"/>
        <v>-1316</v>
      </c>
    </row>
    <row r="19" spans="1:26" x14ac:dyDescent="0.25">
      <c r="A19" s="68">
        <f t="shared" si="7"/>
        <v>14</v>
      </c>
      <c r="B19" s="145">
        <f t="shared" si="8"/>
        <v>-11316</v>
      </c>
      <c r="C19" s="146">
        <f t="shared" si="9"/>
        <v>6.27</v>
      </c>
      <c r="D19" s="147">
        <f t="shared" si="0"/>
        <v>-70951.319999999992</v>
      </c>
      <c r="F19" s="145">
        <f t="shared" si="10"/>
        <v>15000</v>
      </c>
      <c r="G19" s="146">
        <f t="shared" si="11"/>
        <v>6.89</v>
      </c>
      <c r="H19" s="147">
        <f t="shared" si="1"/>
        <v>103350</v>
      </c>
      <c r="J19" s="116">
        <f t="shared" si="12"/>
        <v>-5000</v>
      </c>
      <c r="K19" s="137">
        <f t="shared" si="13"/>
        <v>7.61</v>
      </c>
      <c r="L19" s="138">
        <f t="shared" si="2"/>
        <v>-38050</v>
      </c>
      <c r="N19" s="116">
        <f t="shared" si="14"/>
        <v>0</v>
      </c>
      <c r="O19" s="137">
        <f t="shared" si="15"/>
        <v>0</v>
      </c>
      <c r="P19" s="138">
        <f t="shared" si="3"/>
        <v>0</v>
      </c>
      <c r="R19" s="116">
        <f t="shared" si="16"/>
        <v>0</v>
      </c>
      <c r="S19" s="137">
        <f t="shared" si="17"/>
        <v>0</v>
      </c>
      <c r="T19" s="138">
        <f t="shared" si="4"/>
        <v>0</v>
      </c>
      <c r="V19" s="116">
        <f t="shared" si="18"/>
        <v>0</v>
      </c>
      <c r="W19" s="137">
        <f t="shared" si="19"/>
        <v>0</v>
      </c>
      <c r="X19" s="138">
        <f t="shared" si="5"/>
        <v>0</v>
      </c>
      <c r="Z19" s="116">
        <f t="shared" si="6"/>
        <v>-1316</v>
      </c>
    </row>
    <row r="20" spans="1:26" x14ac:dyDescent="0.25">
      <c r="A20" s="68">
        <f t="shared" si="7"/>
        <v>15</v>
      </c>
      <c r="B20" s="145">
        <f t="shared" si="8"/>
        <v>-11316</v>
      </c>
      <c r="C20" s="146">
        <f t="shared" si="9"/>
        <v>6.27</v>
      </c>
      <c r="D20" s="147">
        <f t="shared" si="0"/>
        <v>-70951.319999999992</v>
      </c>
      <c r="F20" s="145">
        <f t="shared" si="10"/>
        <v>15000</v>
      </c>
      <c r="G20" s="146">
        <f t="shared" si="11"/>
        <v>6.89</v>
      </c>
      <c r="H20" s="147">
        <f t="shared" si="1"/>
        <v>103350</v>
      </c>
      <c r="J20" s="116">
        <f t="shared" si="12"/>
        <v>-5000</v>
      </c>
      <c r="K20" s="137">
        <f t="shared" si="13"/>
        <v>7.61</v>
      </c>
      <c r="L20" s="138">
        <f t="shared" si="2"/>
        <v>-38050</v>
      </c>
      <c r="N20" s="116">
        <f t="shared" si="14"/>
        <v>0</v>
      </c>
      <c r="O20" s="137">
        <f t="shared" si="15"/>
        <v>0</v>
      </c>
      <c r="P20" s="138">
        <f t="shared" si="3"/>
        <v>0</v>
      </c>
      <c r="R20" s="116">
        <f t="shared" si="16"/>
        <v>0</v>
      </c>
      <c r="S20" s="137">
        <f t="shared" si="17"/>
        <v>0</v>
      </c>
      <c r="T20" s="138">
        <f t="shared" si="4"/>
        <v>0</v>
      </c>
      <c r="V20" s="116">
        <f t="shared" si="18"/>
        <v>0</v>
      </c>
      <c r="W20" s="137">
        <f t="shared" si="19"/>
        <v>0</v>
      </c>
      <c r="X20" s="138">
        <f t="shared" si="5"/>
        <v>0</v>
      </c>
      <c r="Z20" s="116">
        <f t="shared" si="6"/>
        <v>-1316</v>
      </c>
    </row>
    <row r="21" spans="1:26" x14ac:dyDescent="0.25">
      <c r="A21" s="68">
        <f t="shared" si="7"/>
        <v>16</v>
      </c>
      <c r="B21" s="145">
        <f t="shared" si="8"/>
        <v>-11316</v>
      </c>
      <c r="C21" s="146">
        <f t="shared" si="9"/>
        <v>6.27</v>
      </c>
      <c r="D21" s="147">
        <f t="shared" si="0"/>
        <v>-70951.319999999992</v>
      </c>
      <c r="F21" s="145">
        <f t="shared" si="10"/>
        <v>15000</v>
      </c>
      <c r="G21" s="146">
        <f t="shared" si="11"/>
        <v>6.89</v>
      </c>
      <c r="H21" s="147">
        <f t="shared" si="1"/>
        <v>103350</v>
      </c>
      <c r="J21" s="116">
        <f t="shared" si="12"/>
        <v>-5000</v>
      </c>
      <c r="K21" s="137">
        <f t="shared" si="13"/>
        <v>7.61</v>
      </c>
      <c r="L21" s="138">
        <f t="shared" si="2"/>
        <v>-38050</v>
      </c>
      <c r="N21" s="116">
        <f t="shared" si="14"/>
        <v>0</v>
      </c>
      <c r="O21" s="137">
        <f t="shared" si="15"/>
        <v>0</v>
      </c>
      <c r="P21" s="138">
        <f t="shared" si="3"/>
        <v>0</v>
      </c>
      <c r="R21" s="116">
        <f t="shared" si="16"/>
        <v>0</v>
      </c>
      <c r="S21" s="137">
        <f t="shared" si="17"/>
        <v>0</v>
      </c>
      <c r="T21" s="138">
        <f t="shared" si="4"/>
        <v>0</v>
      </c>
      <c r="V21" s="116">
        <f t="shared" si="18"/>
        <v>0</v>
      </c>
      <c r="W21" s="137">
        <f t="shared" si="19"/>
        <v>0</v>
      </c>
      <c r="X21" s="138">
        <f t="shared" si="5"/>
        <v>0</v>
      </c>
      <c r="Z21" s="116">
        <f t="shared" si="6"/>
        <v>-1316</v>
      </c>
    </row>
    <row r="22" spans="1:26" x14ac:dyDescent="0.25">
      <c r="A22" s="68">
        <f t="shared" si="7"/>
        <v>17</v>
      </c>
      <c r="B22" s="145">
        <f t="shared" si="8"/>
        <v>-11316</v>
      </c>
      <c r="C22" s="146">
        <f t="shared" si="9"/>
        <v>6.27</v>
      </c>
      <c r="D22" s="147">
        <f t="shared" si="0"/>
        <v>-70951.319999999992</v>
      </c>
      <c r="F22" s="145">
        <f t="shared" si="10"/>
        <v>15000</v>
      </c>
      <c r="G22" s="146">
        <f t="shared" si="11"/>
        <v>6.89</v>
      </c>
      <c r="H22" s="147">
        <f t="shared" si="1"/>
        <v>103350</v>
      </c>
      <c r="J22" s="116">
        <f t="shared" si="12"/>
        <v>-5000</v>
      </c>
      <c r="K22" s="137">
        <f t="shared" si="13"/>
        <v>7.61</v>
      </c>
      <c r="L22" s="138">
        <f t="shared" si="2"/>
        <v>-38050</v>
      </c>
      <c r="N22" s="116">
        <f t="shared" si="14"/>
        <v>0</v>
      </c>
      <c r="O22" s="137">
        <f t="shared" si="15"/>
        <v>0</v>
      </c>
      <c r="P22" s="138">
        <f t="shared" si="3"/>
        <v>0</v>
      </c>
      <c r="R22" s="116">
        <f t="shared" si="16"/>
        <v>0</v>
      </c>
      <c r="S22" s="137">
        <f t="shared" si="17"/>
        <v>0</v>
      </c>
      <c r="T22" s="138">
        <f t="shared" si="4"/>
        <v>0</v>
      </c>
      <c r="V22" s="116">
        <f t="shared" si="18"/>
        <v>0</v>
      </c>
      <c r="W22" s="137">
        <f t="shared" si="19"/>
        <v>0</v>
      </c>
      <c r="X22" s="138">
        <f t="shared" si="5"/>
        <v>0</v>
      </c>
      <c r="Z22" s="116">
        <f t="shared" si="6"/>
        <v>-1316</v>
      </c>
    </row>
    <row r="23" spans="1:26" x14ac:dyDescent="0.25">
      <c r="A23" s="68">
        <f t="shared" si="7"/>
        <v>18</v>
      </c>
      <c r="B23" s="145">
        <f t="shared" si="8"/>
        <v>-11316</v>
      </c>
      <c r="C23" s="146">
        <f t="shared" si="9"/>
        <v>6.27</v>
      </c>
      <c r="D23" s="147">
        <f t="shared" si="0"/>
        <v>-70951.319999999992</v>
      </c>
      <c r="F23" s="145">
        <f t="shared" si="10"/>
        <v>15000</v>
      </c>
      <c r="G23" s="146">
        <f t="shared" si="11"/>
        <v>6.89</v>
      </c>
      <c r="H23" s="147">
        <f t="shared" si="1"/>
        <v>103350</v>
      </c>
      <c r="J23" s="116">
        <f t="shared" si="12"/>
        <v>-5000</v>
      </c>
      <c r="K23" s="137">
        <f t="shared" si="13"/>
        <v>7.61</v>
      </c>
      <c r="L23" s="138">
        <f t="shared" si="2"/>
        <v>-38050</v>
      </c>
      <c r="N23" s="116">
        <f t="shared" si="14"/>
        <v>0</v>
      </c>
      <c r="O23" s="137">
        <f t="shared" si="15"/>
        <v>0</v>
      </c>
      <c r="P23" s="138">
        <f t="shared" si="3"/>
        <v>0</v>
      </c>
      <c r="R23" s="116">
        <f t="shared" si="16"/>
        <v>0</v>
      </c>
      <c r="S23" s="137">
        <f t="shared" si="17"/>
        <v>0</v>
      </c>
      <c r="T23" s="138">
        <f t="shared" si="4"/>
        <v>0</v>
      </c>
      <c r="V23" s="116">
        <f t="shared" si="18"/>
        <v>0</v>
      </c>
      <c r="W23" s="137">
        <f t="shared" si="19"/>
        <v>0</v>
      </c>
      <c r="X23" s="138">
        <f t="shared" si="5"/>
        <v>0</v>
      </c>
      <c r="Z23" s="116">
        <f t="shared" si="6"/>
        <v>-1316</v>
      </c>
    </row>
    <row r="24" spans="1:26" x14ac:dyDescent="0.25">
      <c r="A24" s="68">
        <f t="shared" si="7"/>
        <v>19</v>
      </c>
      <c r="B24" s="145">
        <f t="shared" si="8"/>
        <v>-11316</v>
      </c>
      <c r="C24" s="146">
        <f t="shared" si="9"/>
        <v>6.27</v>
      </c>
      <c r="D24" s="147">
        <f t="shared" si="0"/>
        <v>-70951.319999999992</v>
      </c>
      <c r="F24" s="145">
        <f t="shared" si="10"/>
        <v>15000</v>
      </c>
      <c r="G24" s="146">
        <f t="shared" si="11"/>
        <v>6.89</v>
      </c>
      <c r="H24" s="147">
        <f t="shared" si="1"/>
        <v>103350</v>
      </c>
      <c r="J24" s="116">
        <f t="shared" si="12"/>
        <v>-5000</v>
      </c>
      <c r="K24" s="137">
        <f t="shared" si="13"/>
        <v>7.61</v>
      </c>
      <c r="L24" s="138">
        <f t="shared" si="2"/>
        <v>-38050</v>
      </c>
      <c r="N24" s="116">
        <f t="shared" si="14"/>
        <v>0</v>
      </c>
      <c r="O24" s="137">
        <f t="shared" si="15"/>
        <v>0</v>
      </c>
      <c r="P24" s="138">
        <f t="shared" si="3"/>
        <v>0</v>
      </c>
      <c r="R24" s="116">
        <f t="shared" si="16"/>
        <v>0</v>
      </c>
      <c r="S24" s="137">
        <f t="shared" si="17"/>
        <v>0</v>
      </c>
      <c r="T24" s="138">
        <f t="shared" si="4"/>
        <v>0</v>
      </c>
      <c r="V24" s="116">
        <f t="shared" si="18"/>
        <v>0</v>
      </c>
      <c r="W24" s="137">
        <f t="shared" si="19"/>
        <v>0</v>
      </c>
      <c r="X24" s="138">
        <f t="shared" si="5"/>
        <v>0</v>
      </c>
      <c r="Z24" s="116">
        <f t="shared" si="6"/>
        <v>-1316</v>
      </c>
    </row>
    <row r="25" spans="1:26" x14ac:dyDescent="0.25">
      <c r="A25" s="68">
        <f t="shared" si="7"/>
        <v>20</v>
      </c>
      <c r="B25" s="145">
        <f t="shared" si="8"/>
        <v>-11316</v>
      </c>
      <c r="C25" s="146">
        <f t="shared" si="9"/>
        <v>6.27</v>
      </c>
      <c r="D25" s="147">
        <f t="shared" si="0"/>
        <v>-70951.319999999992</v>
      </c>
      <c r="F25" s="145">
        <f t="shared" si="10"/>
        <v>15000</v>
      </c>
      <c r="G25" s="146">
        <f t="shared" si="11"/>
        <v>6.89</v>
      </c>
      <c r="H25" s="147">
        <f t="shared" si="1"/>
        <v>103350</v>
      </c>
      <c r="J25" s="116">
        <f t="shared" si="12"/>
        <v>-5000</v>
      </c>
      <c r="K25" s="137">
        <f t="shared" si="13"/>
        <v>7.61</v>
      </c>
      <c r="L25" s="138">
        <f t="shared" si="2"/>
        <v>-38050</v>
      </c>
      <c r="N25" s="116">
        <f t="shared" si="14"/>
        <v>0</v>
      </c>
      <c r="O25" s="137">
        <f t="shared" si="15"/>
        <v>0</v>
      </c>
      <c r="P25" s="138">
        <f t="shared" si="3"/>
        <v>0</v>
      </c>
      <c r="R25" s="116">
        <v>10000</v>
      </c>
      <c r="S25" s="137">
        <v>9.15</v>
      </c>
      <c r="T25" s="138">
        <f t="shared" si="4"/>
        <v>91500</v>
      </c>
      <c r="V25" s="116">
        <f t="shared" si="18"/>
        <v>0</v>
      </c>
      <c r="W25" s="137">
        <f t="shared" si="19"/>
        <v>0</v>
      </c>
      <c r="X25" s="138">
        <f t="shared" si="5"/>
        <v>0</v>
      </c>
      <c r="Z25" s="116">
        <f t="shared" si="6"/>
        <v>8684</v>
      </c>
    </row>
    <row r="26" spans="1:26" x14ac:dyDescent="0.25">
      <c r="A26" s="68">
        <f t="shared" si="7"/>
        <v>21</v>
      </c>
      <c r="B26" s="145">
        <f t="shared" si="8"/>
        <v>-11316</v>
      </c>
      <c r="C26" s="146">
        <f t="shared" si="9"/>
        <v>6.27</v>
      </c>
      <c r="D26" s="147">
        <f t="shared" si="0"/>
        <v>-70951.319999999992</v>
      </c>
      <c r="F26" s="145">
        <f t="shared" si="10"/>
        <v>15000</v>
      </c>
      <c r="G26" s="146">
        <f t="shared" si="11"/>
        <v>6.89</v>
      </c>
      <c r="H26" s="147">
        <f t="shared" si="1"/>
        <v>103350</v>
      </c>
      <c r="J26" s="116">
        <f t="shared" si="12"/>
        <v>-5000</v>
      </c>
      <c r="K26" s="137">
        <f t="shared" si="13"/>
        <v>7.61</v>
      </c>
      <c r="L26" s="138">
        <f t="shared" si="2"/>
        <v>-38050</v>
      </c>
      <c r="N26" s="116">
        <f t="shared" si="14"/>
        <v>0</v>
      </c>
      <c r="O26" s="137">
        <f t="shared" si="15"/>
        <v>0</v>
      </c>
      <c r="P26" s="138">
        <f t="shared" si="3"/>
        <v>0</v>
      </c>
      <c r="R26" s="116">
        <f t="shared" si="16"/>
        <v>10000</v>
      </c>
      <c r="S26" s="137">
        <f t="shared" si="17"/>
        <v>9.15</v>
      </c>
      <c r="T26" s="138">
        <f t="shared" si="4"/>
        <v>91500</v>
      </c>
      <c r="V26" s="116">
        <f t="shared" si="18"/>
        <v>0</v>
      </c>
      <c r="W26" s="137">
        <f t="shared" si="19"/>
        <v>0</v>
      </c>
      <c r="X26" s="138">
        <f t="shared" si="5"/>
        <v>0</v>
      </c>
      <c r="Z26" s="116">
        <f t="shared" si="6"/>
        <v>8684</v>
      </c>
    </row>
    <row r="27" spans="1:26" x14ac:dyDescent="0.25">
      <c r="A27" s="68">
        <f t="shared" si="7"/>
        <v>22</v>
      </c>
      <c r="B27" s="145">
        <f t="shared" si="8"/>
        <v>-11316</v>
      </c>
      <c r="C27" s="146">
        <f t="shared" si="9"/>
        <v>6.27</v>
      </c>
      <c r="D27" s="147">
        <f t="shared" si="0"/>
        <v>-70951.319999999992</v>
      </c>
      <c r="F27" s="145">
        <f t="shared" si="10"/>
        <v>15000</v>
      </c>
      <c r="G27" s="146">
        <f t="shared" si="11"/>
        <v>6.89</v>
      </c>
      <c r="H27" s="147">
        <f t="shared" si="1"/>
        <v>103350</v>
      </c>
      <c r="J27" s="116">
        <f t="shared" si="12"/>
        <v>-5000</v>
      </c>
      <c r="K27" s="137">
        <f t="shared" si="13"/>
        <v>7.61</v>
      </c>
      <c r="L27" s="138">
        <f t="shared" si="2"/>
        <v>-38050</v>
      </c>
      <c r="N27" s="116">
        <f t="shared" si="14"/>
        <v>0</v>
      </c>
      <c r="O27" s="137">
        <f t="shared" si="15"/>
        <v>0</v>
      </c>
      <c r="P27" s="138">
        <f t="shared" si="3"/>
        <v>0</v>
      </c>
      <c r="R27" s="116">
        <f t="shared" si="16"/>
        <v>10000</v>
      </c>
      <c r="S27" s="137">
        <f t="shared" si="17"/>
        <v>9.15</v>
      </c>
      <c r="T27" s="138">
        <f t="shared" si="4"/>
        <v>91500</v>
      </c>
      <c r="V27" s="116">
        <f t="shared" si="18"/>
        <v>0</v>
      </c>
      <c r="W27" s="137">
        <f t="shared" si="19"/>
        <v>0</v>
      </c>
      <c r="X27" s="138">
        <f t="shared" si="5"/>
        <v>0</v>
      </c>
      <c r="Z27" s="116">
        <f t="shared" si="6"/>
        <v>8684</v>
      </c>
    </row>
    <row r="28" spans="1:26" x14ac:dyDescent="0.25">
      <c r="A28" s="68">
        <f t="shared" si="7"/>
        <v>23</v>
      </c>
      <c r="B28" s="145">
        <f t="shared" si="8"/>
        <v>-11316</v>
      </c>
      <c r="C28" s="146">
        <f t="shared" si="9"/>
        <v>6.27</v>
      </c>
      <c r="D28" s="147">
        <f t="shared" si="0"/>
        <v>-70951.319999999992</v>
      </c>
      <c r="F28" s="145">
        <f t="shared" si="10"/>
        <v>15000</v>
      </c>
      <c r="G28" s="146">
        <f t="shared" si="11"/>
        <v>6.89</v>
      </c>
      <c r="H28" s="147">
        <f t="shared" si="1"/>
        <v>103350</v>
      </c>
      <c r="J28" s="116">
        <f t="shared" si="12"/>
        <v>-5000</v>
      </c>
      <c r="K28" s="137">
        <f t="shared" si="13"/>
        <v>7.61</v>
      </c>
      <c r="L28" s="138">
        <f t="shared" si="2"/>
        <v>-38050</v>
      </c>
      <c r="N28" s="116">
        <f t="shared" si="14"/>
        <v>0</v>
      </c>
      <c r="O28" s="137">
        <f t="shared" si="15"/>
        <v>0</v>
      </c>
      <c r="P28" s="138">
        <f t="shared" si="3"/>
        <v>0</v>
      </c>
      <c r="R28" s="116">
        <f t="shared" si="16"/>
        <v>10000</v>
      </c>
      <c r="S28" s="137">
        <f t="shared" si="17"/>
        <v>9.15</v>
      </c>
      <c r="T28" s="138">
        <f t="shared" si="4"/>
        <v>91500</v>
      </c>
      <c r="V28" s="116">
        <v>420</v>
      </c>
      <c r="W28" s="137">
        <f>6.27+0.0125</f>
        <v>6.2824999999999998</v>
      </c>
      <c r="X28" s="138">
        <f t="shared" si="5"/>
        <v>2638.65</v>
      </c>
      <c r="Z28" s="116">
        <f t="shared" si="6"/>
        <v>9104</v>
      </c>
    </row>
    <row r="29" spans="1:26" x14ac:dyDescent="0.25">
      <c r="A29" s="68">
        <f t="shared" si="7"/>
        <v>24</v>
      </c>
      <c r="B29" s="145">
        <f t="shared" si="8"/>
        <v>-11316</v>
      </c>
      <c r="C29" s="146">
        <f t="shared" si="9"/>
        <v>6.27</v>
      </c>
      <c r="D29" s="147">
        <f t="shared" si="0"/>
        <v>-70951.319999999992</v>
      </c>
      <c r="F29" s="145">
        <f t="shared" si="10"/>
        <v>15000</v>
      </c>
      <c r="G29" s="146">
        <f t="shared" si="11"/>
        <v>6.89</v>
      </c>
      <c r="H29" s="147">
        <f t="shared" si="1"/>
        <v>103350</v>
      </c>
      <c r="J29" s="116">
        <f t="shared" si="12"/>
        <v>-5000</v>
      </c>
      <c r="K29" s="137">
        <f t="shared" si="13"/>
        <v>7.61</v>
      </c>
      <c r="L29" s="138">
        <f t="shared" si="2"/>
        <v>-38050</v>
      </c>
      <c r="N29" s="116">
        <f t="shared" si="14"/>
        <v>0</v>
      </c>
      <c r="O29" s="137">
        <f t="shared" si="15"/>
        <v>0</v>
      </c>
      <c r="P29" s="138">
        <f t="shared" si="3"/>
        <v>0</v>
      </c>
      <c r="R29" s="116">
        <f t="shared" si="16"/>
        <v>10000</v>
      </c>
      <c r="S29" s="137">
        <f t="shared" si="17"/>
        <v>9.15</v>
      </c>
      <c r="T29" s="138">
        <f t="shared" si="4"/>
        <v>91500</v>
      </c>
      <c r="V29" s="116">
        <f t="shared" si="18"/>
        <v>420</v>
      </c>
      <c r="W29" s="137">
        <f t="shared" si="19"/>
        <v>6.2824999999999998</v>
      </c>
      <c r="X29" s="138">
        <f t="shared" si="5"/>
        <v>2638.65</v>
      </c>
      <c r="Z29" s="116">
        <f t="shared" si="6"/>
        <v>9104</v>
      </c>
    </row>
    <row r="30" spans="1:26" x14ac:dyDescent="0.25">
      <c r="A30" s="68">
        <f t="shared" si="7"/>
        <v>25</v>
      </c>
      <c r="B30" s="145">
        <f t="shared" si="8"/>
        <v>-11316</v>
      </c>
      <c r="C30" s="146">
        <f t="shared" si="9"/>
        <v>6.27</v>
      </c>
      <c r="D30" s="147">
        <f t="shared" si="0"/>
        <v>-70951.319999999992</v>
      </c>
      <c r="F30" s="145">
        <f t="shared" si="10"/>
        <v>15000</v>
      </c>
      <c r="G30" s="146">
        <f t="shared" si="11"/>
        <v>6.89</v>
      </c>
      <c r="H30" s="147">
        <f t="shared" si="1"/>
        <v>103350</v>
      </c>
      <c r="J30" s="116">
        <f t="shared" si="12"/>
        <v>-5000</v>
      </c>
      <c r="K30" s="137">
        <f t="shared" si="13"/>
        <v>7.61</v>
      </c>
      <c r="L30" s="138">
        <f t="shared" si="2"/>
        <v>-38050</v>
      </c>
      <c r="N30" s="116">
        <f t="shared" si="14"/>
        <v>0</v>
      </c>
      <c r="O30" s="137">
        <f t="shared" si="15"/>
        <v>0</v>
      </c>
      <c r="P30" s="138">
        <f t="shared" si="3"/>
        <v>0</v>
      </c>
      <c r="R30" s="116">
        <f t="shared" si="16"/>
        <v>10000</v>
      </c>
      <c r="S30" s="137">
        <f t="shared" si="17"/>
        <v>9.15</v>
      </c>
      <c r="T30" s="138">
        <f t="shared" si="4"/>
        <v>91500</v>
      </c>
      <c r="V30" s="116">
        <f t="shared" si="18"/>
        <v>420</v>
      </c>
      <c r="W30" s="137">
        <f t="shared" si="19"/>
        <v>6.2824999999999998</v>
      </c>
      <c r="X30" s="138">
        <f t="shared" si="5"/>
        <v>2638.65</v>
      </c>
      <c r="Z30" s="116">
        <f t="shared" si="6"/>
        <v>9104</v>
      </c>
    </row>
    <row r="31" spans="1:26" x14ac:dyDescent="0.25">
      <c r="A31" s="68">
        <f t="shared" si="7"/>
        <v>26</v>
      </c>
      <c r="B31" s="145">
        <f t="shared" si="8"/>
        <v>-11316</v>
      </c>
      <c r="C31" s="146">
        <f t="shared" si="9"/>
        <v>6.27</v>
      </c>
      <c r="D31" s="147">
        <f t="shared" si="0"/>
        <v>-70951.319999999992</v>
      </c>
      <c r="F31" s="145">
        <f t="shared" si="10"/>
        <v>15000</v>
      </c>
      <c r="G31" s="146">
        <f t="shared" si="11"/>
        <v>6.89</v>
      </c>
      <c r="H31" s="147">
        <f t="shared" si="1"/>
        <v>103350</v>
      </c>
      <c r="J31" s="116">
        <f t="shared" si="12"/>
        <v>-5000</v>
      </c>
      <c r="K31" s="137">
        <f t="shared" si="13"/>
        <v>7.61</v>
      </c>
      <c r="L31" s="138">
        <f t="shared" si="2"/>
        <v>-38050</v>
      </c>
      <c r="N31" s="116">
        <f t="shared" si="14"/>
        <v>0</v>
      </c>
      <c r="O31" s="137">
        <f t="shared" si="15"/>
        <v>0</v>
      </c>
      <c r="P31" s="138">
        <f t="shared" si="3"/>
        <v>0</v>
      </c>
      <c r="R31" s="116">
        <f t="shared" si="16"/>
        <v>10000</v>
      </c>
      <c r="S31" s="137">
        <f t="shared" si="17"/>
        <v>9.15</v>
      </c>
      <c r="T31" s="138">
        <f t="shared" si="4"/>
        <v>91500</v>
      </c>
      <c r="V31" s="116">
        <f t="shared" si="18"/>
        <v>420</v>
      </c>
      <c r="W31" s="137">
        <f t="shared" si="19"/>
        <v>6.2824999999999998</v>
      </c>
      <c r="X31" s="138">
        <f t="shared" si="5"/>
        <v>2638.65</v>
      </c>
      <c r="Z31" s="116">
        <f t="shared" si="6"/>
        <v>9104</v>
      </c>
    </row>
    <row r="32" spans="1:26" x14ac:dyDescent="0.25">
      <c r="A32" s="68">
        <f t="shared" si="7"/>
        <v>27</v>
      </c>
      <c r="B32" s="145">
        <f t="shared" si="8"/>
        <v>-11316</v>
      </c>
      <c r="C32" s="146">
        <f t="shared" si="9"/>
        <v>6.27</v>
      </c>
      <c r="D32" s="147">
        <f t="shared" si="0"/>
        <v>-70951.319999999992</v>
      </c>
      <c r="F32" s="145">
        <f t="shared" si="10"/>
        <v>15000</v>
      </c>
      <c r="G32" s="146">
        <f t="shared" si="11"/>
        <v>6.89</v>
      </c>
      <c r="H32" s="147">
        <f t="shared" si="1"/>
        <v>103350</v>
      </c>
      <c r="J32" s="116">
        <f t="shared" si="12"/>
        <v>-5000</v>
      </c>
      <c r="K32" s="137">
        <f t="shared" si="13"/>
        <v>7.61</v>
      </c>
      <c r="L32" s="138">
        <f t="shared" si="2"/>
        <v>-38050</v>
      </c>
      <c r="N32" s="116">
        <f t="shared" si="14"/>
        <v>0</v>
      </c>
      <c r="O32" s="137">
        <f t="shared" si="15"/>
        <v>0</v>
      </c>
      <c r="P32" s="138">
        <f t="shared" si="3"/>
        <v>0</v>
      </c>
      <c r="R32" s="116">
        <f t="shared" si="16"/>
        <v>10000</v>
      </c>
      <c r="S32" s="137">
        <f t="shared" si="17"/>
        <v>9.15</v>
      </c>
      <c r="T32" s="138">
        <f t="shared" si="4"/>
        <v>91500</v>
      </c>
      <c r="V32" s="116">
        <f t="shared" si="18"/>
        <v>420</v>
      </c>
      <c r="W32" s="137">
        <f t="shared" si="19"/>
        <v>6.2824999999999998</v>
      </c>
      <c r="X32" s="138">
        <f t="shared" si="5"/>
        <v>2638.65</v>
      </c>
      <c r="Z32" s="116">
        <f t="shared" si="6"/>
        <v>9104</v>
      </c>
    </row>
    <row r="33" spans="1:26" x14ac:dyDescent="0.25">
      <c r="A33" s="68">
        <f t="shared" si="7"/>
        <v>28</v>
      </c>
      <c r="B33" s="145">
        <f t="shared" si="8"/>
        <v>-11316</v>
      </c>
      <c r="C33" s="146">
        <f t="shared" si="9"/>
        <v>6.27</v>
      </c>
      <c r="D33" s="147">
        <f t="shared" si="0"/>
        <v>-70951.319999999992</v>
      </c>
      <c r="F33" s="145">
        <f t="shared" si="10"/>
        <v>15000</v>
      </c>
      <c r="G33" s="146">
        <f t="shared" si="11"/>
        <v>6.89</v>
      </c>
      <c r="H33" s="147">
        <f t="shared" si="1"/>
        <v>103350</v>
      </c>
      <c r="J33" s="116">
        <f t="shared" si="12"/>
        <v>-5000</v>
      </c>
      <c r="K33" s="137">
        <f t="shared" si="13"/>
        <v>7.61</v>
      </c>
      <c r="L33" s="138">
        <f t="shared" si="2"/>
        <v>-38050</v>
      </c>
      <c r="N33" s="116">
        <f t="shared" si="14"/>
        <v>0</v>
      </c>
      <c r="O33" s="137">
        <f t="shared" si="15"/>
        <v>0</v>
      </c>
      <c r="P33" s="138">
        <f t="shared" si="3"/>
        <v>0</v>
      </c>
      <c r="R33" s="116">
        <f t="shared" si="16"/>
        <v>10000</v>
      </c>
      <c r="S33" s="137">
        <f t="shared" si="17"/>
        <v>9.15</v>
      </c>
      <c r="T33" s="138">
        <f t="shared" si="4"/>
        <v>91500</v>
      </c>
      <c r="V33" s="116">
        <f t="shared" si="18"/>
        <v>420</v>
      </c>
      <c r="W33" s="137">
        <f t="shared" si="19"/>
        <v>6.2824999999999998</v>
      </c>
      <c r="X33" s="138">
        <f t="shared" si="5"/>
        <v>2638.65</v>
      </c>
      <c r="Z33" s="116">
        <f t="shared" si="6"/>
        <v>9104</v>
      </c>
    </row>
    <row r="34" spans="1:26" x14ac:dyDescent="0.25">
      <c r="A34" s="68">
        <f t="shared" si="7"/>
        <v>29</v>
      </c>
      <c r="B34" s="145">
        <f t="shared" si="8"/>
        <v>-11316</v>
      </c>
      <c r="C34" s="146">
        <f t="shared" si="9"/>
        <v>6.27</v>
      </c>
      <c r="D34" s="147">
        <f t="shared" si="0"/>
        <v>-70951.319999999992</v>
      </c>
      <c r="F34" s="145">
        <f t="shared" si="10"/>
        <v>15000</v>
      </c>
      <c r="G34" s="146">
        <f t="shared" si="11"/>
        <v>6.89</v>
      </c>
      <c r="H34" s="147">
        <f t="shared" si="1"/>
        <v>103350</v>
      </c>
      <c r="J34" s="116">
        <f t="shared" si="12"/>
        <v>-5000</v>
      </c>
      <c r="K34" s="137">
        <f t="shared" si="13"/>
        <v>7.61</v>
      </c>
      <c r="L34" s="138">
        <f t="shared" si="2"/>
        <v>-38050</v>
      </c>
      <c r="N34" s="116">
        <f t="shared" si="14"/>
        <v>0</v>
      </c>
      <c r="O34" s="137">
        <f t="shared" si="15"/>
        <v>0</v>
      </c>
      <c r="P34" s="138">
        <f t="shared" si="3"/>
        <v>0</v>
      </c>
      <c r="R34" s="116">
        <f t="shared" si="16"/>
        <v>10000</v>
      </c>
      <c r="S34" s="137">
        <f t="shared" si="17"/>
        <v>9.15</v>
      </c>
      <c r="T34" s="138">
        <f t="shared" si="4"/>
        <v>91500</v>
      </c>
      <c r="V34" s="116">
        <f t="shared" si="18"/>
        <v>420</v>
      </c>
      <c r="W34" s="137">
        <f t="shared" si="19"/>
        <v>6.2824999999999998</v>
      </c>
      <c r="X34" s="138">
        <f t="shared" si="5"/>
        <v>2638.65</v>
      </c>
      <c r="Z34" s="116">
        <f t="shared" si="6"/>
        <v>9104</v>
      </c>
    </row>
    <row r="35" spans="1:26" x14ac:dyDescent="0.25">
      <c r="A35" s="68">
        <f>+A34+1</f>
        <v>30</v>
      </c>
      <c r="B35" s="145">
        <f t="shared" si="8"/>
        <v>-11316</v>
      </c>
      <c r="C35" s="146">
        <f t="shared" si="9"/>
        <v>6.27</v>
      </c>
      <c r="D35" s="147">
        <f t="shared" si="0"/>
        <v>-70951.319999999992</v>
      </c>
      <c r="F35" s="145">
        <f t="shared" si="10"/>
        <v>15000</v>
      </c>
      <c r="G35" s="146">
        <f t="shared" si="11"/>
        <v>6.89</v>
      </c>
      <c r="H35" s="147">
        <f t="shared" si="1"/>
        <v>103350</v>
      </c>
      <c r="J35" s="116">
        <f t="shared" si="12"/>
        <v>-5000</v>
      </c>
      <c r="K35" s="137">
        <f t="shared" si="13"/>
        <v>7.61</v>
      </c>
      <c r="L35" s="138">
        <f t="shared" si="2"/>
        <v>-38050</v>
      </c>
      <c r="N35" s="116">
        <f t="shared" si="14"/>
        <v>0</v>
      </c>
      <c r="O35" s="137">
        <f t="shared" si="15"/>
        <v>0</v>
      </c>
      <c r="P35" s="138">
        <f t="shared" si="3"/>
        <v>0</v>
      </c>
      <c r="R35" s="116">
        <f t="shared" si="16"/>
        <v>10000</v>
      </c>
      <c r="S35" s="137">
        <f t="shared" si="17"/>
        <v>9.15</v>
      </c>
      <c r="T35" s="138">
        <f t="shared" si="4"/>
        <v>91500</v>
      </c>
      <c r="V35" s="116">
        <f t="shared" si="18"/>
        <v>420</v>
      </c>
      <c r="W35" s="137">
        <f t="shared" si="19"/>
        <v>6.2824999999999998</v>
      </c>
      <c r="X35" s="138">
        <f t="shared" si="5"/>
        <v>2638.65</v>
      </c>
      <c r="Z35" s="116">
        <f t="shared" si="6"/>
        <v>9104</v>
      </c>
    </row>
    <row r="36" spans="1:26" x14ac:dyDescent="0.25">
      <c r="A36" s="68">
        <v>31</v>
      </c>
      <c r="B36" s="145">
        <f t="shared" si="8"/>
        <v>-11316</v>
      </c>
      <c r="C36" s="146">
        <f t="shared" si="9"/>
        <v>6.27</v>
      </c>
      <c r="D36" s="147">
        <f t="shared" si="0"/>
        <v>-70951.319999999992</v>
      </c>
      <c r="F36" s="145">
        <f t="shared" si="10"/>
        <v>15000</v>
      </c>
      <c r="G36" s="146">
        <f t="shared" si="11"/>
        <v>6.89</v>
      </c>
      <c r="H36" s="147">
        <f t="shared" si="1"/>
        <v>103350</v>
      </c>
      <c r="J36" s="116">
        <f t="shared" si="12"/>
        <v>-5000</v>
      </c>
      <c r="K36" s="137">
        <f t="shared" si="13"/>
        <v>7.61</v>
      </c>
      <c r="L36" s="138">
        <f>+J36*K36</f>
        <v>-38050</v>
      </c>
      <c r="N36" s="116">
        <f t="shared" si="14"/>
        <v>0</v>
      </c>
      <c r="O36" s="137">
        <f t="shared" si="15"/>
        <v>0</v>
      </c>
      <c r="P36" s="138">
        <f>+N36*O36</f>
        <v>0</v>
      </c>
      <c r="R36" s="116">
        <f t="shared" si="16"/>
        <v>10000</v>
      </c>
      <c r="S36" s="137">
        <f t="shared" si="17"/>
        <v>9.15</v>
      </c>
      <c r="T36" s="138">
        <f>+R36*S36</f>
        <v>91500</v>
      </c>
      <c r="V36" s="116">
        <f t="shared" si="18"/>
        <v>420</v>
      </c>
      <c r="W36" s="137">
        <f t="shared" si="19"/>
        <v>6.2824999999999998</v>
      </c>
      <c r="X36" s="138">
        <f>+V36*W36</f>
        <v>2638.65</v>
      </c>
      <c r="Z36" s="116">
        <f t="shared" si="6"/>
        <v>9104</v>
      </c>
    </row>
    <row r="37" spans="1:26" x14ac:dyDescent="0.25">
      <c r="A37" s="68"/>
    </row>
    <row r="38" spans="1:26" x14ac:dyDescent="0.25">
      <c r="A38" s="68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H48"/>
  <sheetViews>
    <sheetView tabSelected="1"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G47" sqref="G47"/>
    </sheetView>
  </sheetViews>
  <sheetFormatPr defaultColWidth="9.109375" defaultRowHeight="13.2" x14ac:dyDescent="0.25"/>
  <cols>
    <col min="1" max="1" width="5.6640625" style="69" customWidth="1"/>
    <col min="2" max="3" width="11" style="69" customWidth="1"/>
    <col min="4" max="4" width="4.6640625" style="69" customWidth="1"/>
    <col min="5" max="5" width="12.88671875" style="69" customWidth="1"/>
    <col min="6" max="6" width="10.44140625" style="69" customWidth="1"/>
    <col min="7" max="7" width="16.109375" style="69" customWidth="1"/>
    <col min="8" max="9" width="10.44140625" style="69" customWidth="1"/>
    <col min="10" max="10" width="3.33203125" style="69" customWidth="1"/>
    <col min="11" max="11" width="12.88671875" style="69" customWidth="1"/>
    <col min="12" max="12" width="9.109375" style="69"/>
    <col min="13" max="13" width="11" style="69" customWidth="1"/>
    <col min="14" max="15" width="12.88671875" style="69" customWidth="1"/>
    <col min="16" max="16" width="10.33203125" style="69" customWidth="1"/>
    <col min="17" max="17" width="3.5546875" style="69" customWidth="1"/>
    <col min="18" max="18" width="10.33203125" style="69" customWidth="1"/>
    <col min="19" max="19" width="3.5546875" style="69" customWidth="1"/>
    <col min="20" max="20" width="13" style="69" customWidth="1"/>
    <col min="21" max="21" width="3.5546875" style="69" customWidth="1"/>
    <col min="22" max="22" width="14.44140625" style="69" customWidth="1"/>
    <col min="23" max="23" width="3.5546875" style="69" customWidth="1"/>
    <col min="24" max="24" width="13.88671875" style="142" customWidth="1"/>
    <col min="25" max="26" width="9.109375" style="69"/>
    <col min="27" max="27" width="12.33203125" style="173" bestFit="1" customWidth="1"/>
    <col min="28" max="16384" width="9.109375" style="69"/>
  </cols>
  <sheetData>
    <row r="2" spans="1:34" s="68" customFormat="1" x14ac:dyDescent="0.25">
      <c r="X2" s="139"/>
      <c r="AA2" s="172"/>
    </row>
    <row r="3" spans="1:34" x14ac:dyDescent="0.25">
      <c r="A3" s="68"/>
      <c r="B3" s="68" t="s">
        <v>281</v>
      </c>
      <c r="C3" s="68" t="s">
        <v>305</v>
      </c>
      <c r="D3" s="68"/>
      <c r="E3" s="164">
        <v>456379</v>
      </c>
      <c r="F3" s="68"/>
      <c r="G3" s="68"/>
      <c r="H3" s="68"/>
      <c r="I3" s="68"/>
      <c r="J3" s="68"/>
      <c r="K3" s="68" t="s">
        <v>298</v>
      </c>
      <c r="L3" s="68"/>
      <c r="M3" s="68"/>
      <c r="N3" s="68"/>
      <c r="O3" s="68"/>
      <c r="P3" s="68"/>
      <c r="Q3" s="68"/>
      <c r="R3" s="68" t="s">
        <v>286</v>
      </c>
      <c r="S3" s="68"/>
      <c r="T3" s="68"/>
      <c r="V3" s="118" t="s">
        <v>283</v>
      </c>
      <c r="X3" s="139"/>
      <c r="Y3" s="69" t="s">
        <v>284</v>
      </c>
    </row>
    <row r="4" spans="1:34" x14ac:dyDescent="0.25">
      <c r="A4" s="68"/>
      <c r="B4" s="68" t="s">
        <v>239</v>
      </c>
      <c r="C4" s="68" t="s">
        <v>239</v>
      </c>
      <c r="D4" s="68"/>
      <c r="E4" s="70" t="s">
        <v>121</v>
      </c>
      <c r="F4" s="71" t="s">
        <v>121</v>
      </c>
      <c r="G4" s="72"/>
      <c r="H4" s="72" t="s">
        <v>55</v>
      </c>
      <c r="I4" s="72" t="s">
        <v>110</v>
      </c>
      <c r="J4" s="72"/>
      <c r="K4" s="68" t="s">
        <v>240</v>
      </c>
      <c r="L4" s="68"/>
      <c r="M4" s="68"/>
      <c r="N4" s="68"/>
      <c r="O4" s="68"/>
      <c r="P4" s="68" t="s">
        <v>282</v>
      </c>
      <c r="Q4" s="68"/>
      <c r="R4" s="68" t="s">
        <v>285</v>
      </c>
      <c r="S4" s="68"/>
      <c r="T4" s="68" t="s">
        <v>147</v>
      </c>
      <c r="V4" s="68" t="s">
        <v>146</v>
      </c>
      <c r="X4" s="139"/>
      <c r="Y4" s="69" t="s">
        <v>281</v>
      </c>
      <c r="AA4" s="173" t="s">
        <v>310</v>
      </c>
      <c r="AC4" s="69" t="s">
        <v>306</v>
      </c>
      <c r="AF4" s="69" t="s">
        <v>306</v>
      </c>
    </row>
    <row r="5" spans="1:34" x14ac:dyDescent="0.25">
      <c r="A5" s="68"/>
      <c r="B5" s="118" t="s">
        <v>272</v>
      </c>
      <c r="C5" s="118">
        <v>546310</v>
      </c>
      <c r="D5" s="68"/>
      <c r="E5" s="74" t="s">
        <v>124</v>
      </c>
      <c r="F5" s="73" t="s">
        <v>125</v>
      </c>
      <c r="G5" s="72"/>
      <c r="H5" s="72" t="s">
        <v>104</v>
      </c>
      <c r="I5" s="72" t="s">
        <v>104</v>
      </c>
      <c r="J5" s="72"/>
      <c r="K5" s="68" t="s">
        <v>241</v>
      </c>
      <c r="L5" s="68"/>
      <c r="M5" s="68" t="s">
        <v>238</v>
      </c>
      <c r="N5" s="68" t="s">
        <v>279</v>
      </c>
      <c r="O5" s="68" t="s">
        <v>236</v>
      </c>
      <c r="P5" s="119" t="s">
        <v>238</v>
      </c>
      <c r="Q5" s="68"/>
      <c r="R5" s="119">
        <v>502957</v>
      </c>
      <c r="S5" s="68"/>
      <c r="T5" s="68" t="s">
        <v>270</v>
      </c>
      <c r="V5" s="68" t="s">
        <v>271</v>
      </c>
      <c r="X5" s="139" t="s">
        <v>123</v>
      </c>
      <c r="Y5" s="69" t="s">
        <v>149</v>
      </c>
      <c r="AA5" s="173" t="s">
        <v>269</v>
      </c>
      <c r="AC5" s="69" t="s">
        <v>307</v>
      </c>
      <c r="AF5" s="69" t="s">
        <v>121</v>
      </c>
    </row>
    <row r="6" spans="1:34" s="151" customFormat="1" x14ac:dyDescent="0.25">
      <c r="A6" s="149">
        <v>1</v>
      </c>
      <c r="B6" s="149">
        <v>68020</v>
      </c>
      <c r="C6" s="149">
        <v>0</v>
      </c>
      <c r="D6" s="149"/>
      <c r="E6" s="149">
        <v>28121</v>
      </c>
      <c r="F6" s="149">
        <f t="shared" ref="F6:F12" si="0">ROUND(+E6*(1-0.02184),0)</f>
        <v>27507</v>
      </c>
      <c r="G6" s="149"/>
      <c r="H6" s="149">
        <v>140099</v>
      </c>
      <c r="I6" s="149">
        <f>IF(B6-H6&gt;0,+B6-H6,0)</f>
        <v>0</v>
      </c>
      <c r="J6" s="149"/>
      <c r="K6" s="149">
        <f>+B6+C6-F6</f>
        <v>40513</v>
      </c>
      <c r="L6" s="149"/>
      <c r="M6" s="149">
        <v>41858</v>
      </c>
      <c r="N6" s="149">
        <f>SUM('3rd Party Deals'!X6)</f>
        <v>11316</v>
      </c>
      <c r="O6" s="149">
        <f>SUM('Spot wENA'!Z6)</f>
        <v>-11316</v>
      </c>
      <c r="P6" s="150">
        <f>SUM(M6:O6)</f>
        <v>41858</v>
      </c>
      <c r="Q6" s="149"/>
      <c r="R6" s="150">
        <f>IF(T6&gt;0,+B6-T6,0)</f>
        <v>0</v>
      </c>
      <c r="S6" s="149"/>
      <c r="T6" s="149">
        <f>IF(K6-P6&gt;0,K6-P6,0)</f>
        <v>0</v>
      </c>
      <c r="V6" s="165">
        <f>IF(P6-K6&gt;0,P6-K6,0)</f>
        <v>1345</v>
      </c>
      <c r="X6" s="152">
        <v>6.58</v>
      </c>
      <c r="Y6" s="152">
        <f>ROUND((+X6+0.01)/(1-0.02184)+0.0227,2)</f>
        <v>6.76</v>
      </c>
      <c r="AA6" s="174">
        <f>+T6*Y6</f>
        <v>0</v>
      </c>
      <c r="AC6" s="151">
        <v>-1371</v>
      </c>
      <c r="AF6" s="151">
        <v>27503</v>
      </c>
      <c r="AH6" s="151">
        <f>+F6-AF6</f>
        <v>4</v>
      </c>
    </row>
    <row r="7" spans="1:34" s="151" customFormat="1" x14ac:dyDescent="0.25">
      <c r="A7" s="149">
        <f>+A6+1</f>
        <v>2</v>
      </c>
      <c r="B7" s="149">
        <v>82996</v>
      </c>
      <c r="C7" s="149">
        <f>+C6</f>
        <v>0</v>
      </c>
      <c r="D7" s="149"/>
      <c r="E7" s="149">
        <v>29355</v>
      </c>
      <c r="F7" s="149">
        <f t="shared" si="0"/>
        <v>28714</v>
      </c>
      <c r="G7" s="149"/>
      <c r="H7" s="149">
        <f>+H6</f>
        <v>140099</v>
      </c>
      <c r="I7" s="149">
        <f t="shared" ref="I7:I35" si="1">IF(B7-H7&gt;0,+B7-H7,0)</f>
        <v>0</v>
      </c>
      <c r="J7" s="149"/>
      <c r="K7" s="149">
        <f t="shared" ref="K7:K36" si="2">+B7+C7-F7</f>
        <v>54282</v>
      </c>
      <c r="L7" s="149"/>
      <c r="M7" s="149">
        <f>+M6</f>
        <v>41858</v>
      </c>
      <c r="N7" s="149">
        <f>SUM('3rd Party Deals'!X7)</f>
        <v>11316</v>
      </c>
      <c r="O7" s="149">
        <f>SUM('Spot wENA'!Z7)</f>
        <v>3684</v>
      </c>
      <c r="P7" s="150">
        <f>SUM(M7:O7)</f>
        <v>56858</v>
      </c>
      <c r="Q7" s="149"/>
      <c r="R7" s="150">
        <f t="shared" ref="R7:R36" si="3">IF(T7&gt;0,+B7-T7,0)</f>
        <v>0</v>
      </c>
      <c r="S7" s="149"/>
      <c r="T7" s="149">
        <f t="shared" ref="T7:T35" si="4">IF(K7-P7&gt;0,K7-P7,0)</f>
        <v>0</v>
      </c>
      <c r="V7" s="149">
        <f t="shared" ref="V7:V35" si="5">IF(P7-K7&gt;0,P7-K7,0)</f>
        <v>2576</v>
      </c>
      <c r="X7" s="152">
        <v>6.8650000000000002</v>
      </c>
      <c r="Y7" s="152">
        <f t="shared" ref="Y7:Y36" si="6">ROUND((+X7+0.01)/(1-0.02184)+0.0227,2)</f>
        <v>7.05</v>
      </c>
      <c r="AA7" s="174">
        <f t="shared" ref="AA7:AA36" si="7">+T7*Y7</f>
        <v>0</v>
      </c>
      <c r="AC7" s="151">
        <v>-3128</v>
      </c>
      <c r="AF7" s="151">
        <v>29198</v>
      </c>
      <c r="AH7" s="151">
        <f t="shared" ref="AH7:AH30" si="8">+F7-AF7</f>
        <v>-484</v>
      </c>
    </row>
    <row r="8" spans="1:34" s="151" customFormat="1" x14ac:dyDescent="0.25">
      <c r="A8" s="149">
        <f t="shared" ref="A8:A34" si="9">+A7+1</f>
        <v>3</v>
      </c>
      <c r="B8" s="149">
        <v>84480</v>
      </c>
      <c r="C8" s="149">
        <f t="shared" ref="C8:C24" si="10">+C7</f>
        <v>0</v>
      </c>
      <c r="D8" s="149"/>
      <c r="E8" s="149">
        <v>30872</v>
      </c>
      <c r="F8" s="149">
        <f t="shared" si="0"/>
        <v>30198</v>
      </c>
      <c r="G8" s="149"/>
      <c r="H8" s="149">
        <f t="shared" ref="H8:H35" si="11">+H7</f>
        <v>140099</v>
      </c>
      <c r="I8" s="149">
        <f t="shared" si="1"/>
        <v>0</v>
      </c>
      <c r="J8" s="149"/>
      <c r="K8" s="149">
        <f t="shared" si="2"/>
        <v>54282</v>
      </c>
      <c r="L8" s="149"/>
      <c r="M8" s="149">
        <f t="shared" ref="M8:M35" si="12">+M7</f>
        <v>41858</v>
      </c>
      <c r="N8" s="149">
        <f>SUM('3rd Party Deals'!X8)</f>
        <v>11316</v>
      </c>
      <c r="O8" s="149">
        <f>SUM('Spot wENA'!Z8)</f>
        <v>3684</v>
      </c>
      <c r="P8" s="150">
        <f t="shared" ref="P8:P36" si="13">SUM(M8:O8)</f>
        <v>56858</v>
      </c>
      <c r="Q8" s="149"/>
      <c r="R8" s="150">
        <f t="shared" si="3"/>
        <v>0</v>
      </c>
      <c r="S8" s="149"/>
      <c r="T8" s="149">
        <f t="shared" si="4"/>
        <v>0</v>
      </c>
      <c r="V8" s="149">
        <f t="shared" si="5"/>
        <v>2576</v>
      </c>
      <c r="X8" s="152">
        <v>6.8650000000000002</v>
      </c>
      <c r="Y8" s="152">
        <f t="shared" si="6"/>
        <v>7.05</v>
      </c>
      <c r="AA8" s="174">
        <f t="shared" si="7"/>
        <v>0</v>
      </c>
      <c r="AC8" s="151">
        <v>-3128</v>
      </c>
      <c r="AF8" s="151">
        <v>30682</v>
      </c>
      <c r="AH8" s="151">
        <f t="shared" si="8"/>
        <v>-484</v>
      </c>
    </row>
    <row r="9" spans="1:34" s="151" customFormat="1" x14ac:dyDescent="0.25">
      <c r="A9" s="149">
        <f t="shared" si="9"/>
        <v>4</v>
      </c>
      <c r="B9" s="149">
        <v>67441</v>
      </c>
      <c r="C9" s="149">
        <f t="shared" si="10"/>
        <v>0</v>
      </c>
      <c r="D9" s="149"/>
      <c r="E9" s="149">
        <v>22191</v>
      </c>
      <c r="F9" s="149">
        <f t="shared" si="0"/>
        <v>21706</v>
      </c>
      <c r="G9" s="149"/>
      <c r="H9" s="149">
        <f t="shared" si="11"/>
        <v>140099</v>
      </c>
      <c r="I9" s="149">
        <f t="shared" si="1"/>
        <v>0</v>
      </c>
      <c r="J9" s="149"/>
      <c r="K9" s="149">
        <f t="shared" si="2"/>
        <v>45735</v>
      </c>
      <c r="L9" s="149"/>
      <c r="M9" s="149">
        <f t="shared" si="12"/>
        <v>41858</v>
      </c>
      <c r="N9" s="149">
        <f>SUM('3rd Party Deals'!X9)</f>
        <v>11316</v>
      </c>
      <c r="O9" s="149">
        <f>SUM('Spot wENA'!Z9)</f>
        <v>3684</v>
      </c>
      <c r="P9" s="150">
        <f t="shared" si="13"/>
        <v>56858</v>
      </c>
      <c r="Q9" s="149"/>
      <c r="R9" s="150">
        <f t="shared" si="3"/>
        <v>0</v>
      </c>
      <c r="S9" s="149"/>
      <c r="T9" s="149">
        <f t="shared" si="4"/>
        <v>0</v>
      </c>
      <c r="V9" s="165">
        <f t="shared" si="5"/>
        <v>11123</v>
      </c>
      <c r="X9" s="152">
        <v>6.8650000000000002</v>
      </c>
      <c r="Y9" s="152">
        <f t="shared" si="6"/>
        <v>7.05</v>
      </c>
      <c r="AA9" s="174">
        <f t="shared" si="7"/>
        <v>0</v>
      </c>
      <c r="AC9" s="151">
        <v>-11366</v>
      </c>
      <c r="AF9" s="151">
        <v>21701</v>
      </c>
      <c r="AH9" s="151">
        <f t="shared" si="8"/>
        <v>5</v>
      </c>
    </row>
    <row r="10" spans="1:34" s="151" customFormat="1" x14ac:dyDescent="0.25">
      <c r="A10" s="149">
        <f t="shared" si="9"/>
        <v>5</v>
      </c>
      <c r="B10" s="149">
        <v>93346</v>
      </c>
      <c r="C10" s="149">
        <f t="shared" si="10"/>
        <v>0</v>
      </c>
      <c r="D10" s="149"/>
      <c r="E10" s="149">
        <v>38706</v>
      </c>
      <c r="F10" s="149">
        <f t="shared" si="0"/>
        <v>37861</v>
      </c>
      <c r="G10" s="149"/>
      <c r="H10" s="149">
        <f t="shared" si="11"/>
        <v>140099</v>
      </c>
      <c r="I10" s="149">
        <f t="shared" si="1"/>
        <v>0</v>
      </c>
      <c r="J10" s="149"/>
      <c r="K10" s="149">
        <f t="shared" si="2"/>
        <v>55485</v>
      </c>
      <c r="L10" s="149"/>
      <c r="M10" s="149">
        <f t="shared" si="12"/>
        <v>41858</v>
      </c>
      <c r="N10" s="149">
        <f>SUM('3rd Party Deals'!X10)</f>
        <v>11316</v>
      </c>
      <c r="O10" s="149">
        <f>SUM('Spot wENA'!Z10)</f>
        <v>-1316</v>
      </c>
      <c r="P10" s="150">
        <f t="shared" si="13"/>
        <v>51858</v>
      </c>
      <c r="Q10" s="149"/>
      <c r="R10" s="150">
        <f t="shared" si="3"/>
        <v>89719</v>
      </c>
      <c r="S10" s="149"/>
      <c r="T10" s="165">
        <f t="shared" si="4"/>
        <v>3627</v>
      </c>
      <c r="V10" s="149">
        <f t="shared" si="5"/>
        <v>0</v>
      </c>
      <c r="X10" s="152">
        <v>7.8150000000000004</v>
      </c>
      <c r="Y10" s="152">
        <f t="shared" si="6"/>
        <v>8.02</v>
      </c>
      <c r="AA10" s="174">
        <f t="shared" si="7"/>
        <v>29088.539999999997</v>
      </c>
      <c r="AC10" s="151">
        <v>3710</v>
      </c>
      <c r="AF10" s="151">
        <v>37859</v>
      </c>
      <c r="AH10" s="151">
        <f t="shared" si="8"/>
        <v>2</v>
      </c>
    </row>
    <row r="11" spans="1:34" s="151" customFormat="1" x14ac:dyDescent="0.25">
      <c r="A11" s="149">
        <f t="shared" si="9"/>
        <v>6</v>
      </c>
      <c r="B11" s="149">
        <v>88509</v>
      </c>
      <c r="C11" s="149">
        <f t="shared" si="10"/>
        <v>0</v>
      </c>
      <c r="D11" s="149"/>
      <c r="E11" s="149">
        <v>39619</v>
      </c>
      <c r="F11" s="149">
        <f t="shared" si="0"/>
        <v>38754</v>
      </c>
      <c r="G11" s="149"/>
      <c r="H11" s="149">
        <f t="shared" si="11"/>
        <v>140099</v>
      </c>
      <c r="I11" s="149">
        <f t="shared" si="1"/>
        <v>0</v>
      </c>
      <c r="J11" s="149"/>
      <c r="K11" s="149">
        <f t="shared" si="2"/>
        <v>49755</v>
      </c>
      <c r="L11" s="149"/>
      <c r="M11" s="149">
        <f t="shared" si="12"/>
        <v>41858</v>
      </c>
      <c r="N11" s="149">
        <f>SUM('3rd Party Deals'!X11)</f>
        <v>11316</v>
      </c>
      <c r="O11" s="149">
        <f>SUM('Spot wENA'!Z11)</f>
        <v>-1316</v>
      </c>
      <c r="P11" s="150">
        <f t="shared" si="13"/>
        <v>51858</v>
      </c>
      <c r="Q11" s="149"/>
      <c r="R11" s="150">
        <f t="shared" si="3"/>
        <v>0</v>
      </c>
      <c r="S11" s="149"/>
      <c r="T11" s="149">
        <f t="shared" si="4"/>
        <v>0</v>
      </c>
      <c r="V11" s="165">
        <f t="shared" si="5"/>
        <v>2103</v>
      </c>
      <c r="X11" s="152">
        <v>8.43</v>
      </c>
      <c r="Y11" s="152">
        <f t="shared" si="6"/>
        <v>8.65</v>
      </c>
      <c r="AA11" s="174">
        <f t="shared" si="7"/>
        <v>0</v>
      </c>
      <c r="AC11" s="151">
        <v>-2149</v>
      </c>
      <c r="AF11" s="151">
        <v>38753</v>
      </c>
      <c r="AH11" s="151">
        <f t="shared" si="8"/>
        <v>1</v>
      </c>
    </row>
    <row r="12" spans="1:34" s="151" customFormat="1" x14ac:dyDescent="0.25">
      <c r="A12" s="149">
        <f t="shared" si="9"/>
        <v>7</v>
      </c>
      <c r="B12" s="149">
        <v>75157</v>
      </c>
      <c r="C12" s="149">
        <f t="shared" si="10"/>
        <v>0</v>
      </c>
      <c r="D12" s="149"/>
      <c r="E12" s="149">
        <v>22574</v>
      </c>
      <c r="F12" s="149">
        <f t="shared" si="0"/>
        <v>22081</v>
      </c>
      <c r="G12" s="149"/>
      <c r="H12" s="149">
        <f t="shared" si="11"/>
        <v>140099</v>
      </c>
      <c r="I12" s="149">
        <f t="shared" si="1"/>
        <v>0</v>
      </c>
      <c r="J12" s="149"/>
      <c r="K12" s="149">
        <f t="shared" si="2"/>
        <v>53076</v>
      </c>
      <c r="L12" s="149"/>
      <c r="M12" s="149">
        <f t="shared" si="12"/>
        <v>41858</v>
      </c>
      <c r="N12" s="149">
        <f>SUM('3rd Party Deals'!X12)</f>
        <v>11316</v>
      </c>
      <c r="O12" s="149">
        <f>SUM('Spot wENA'!Z12)</f>
        <v>-1316</v>
      </c>
      <c r="P12" s="150">
        <f t="shared" si="13"/>
        <v>51858</v>
      </c>
      <c r="Q12" s="149"/>
      <c r="R12" s="150">
        <f t="shared" si="3"/>
        <v>73939</v>
      </c>
      <c r="S12" s="149"/>
      <c r="T12" s="165">
        <f t="shared" si="4"/>
        <v>1218</v>
      </c>
      <c r="V12" s="149">
        <f t="shared" si="5"/>
        <v>0</v>
      </c>
      <c r="X12" s="152">
        <v>9.1549999999999994</v>
      </c>
      <c r="Y12" s="152">
        <f t="shared" si="6"/>
        <v>9.39</v>
      </c>
      <c r="AA12" s="174">
        <f t="shared" si="7"/>
        <v>11437.02</v>
      </c>
      <c r="AC12" s="151">
        <v>1249</v>
      </c>
      <c r="AF12" s="151">
        <v>22077</v>
      </c>
      <c r="AH12" s="151">
        <f t="shared" si="8"/>
        <v>4</v>
      </c>
    </row>
    <row r="13" spans="1:34" s="151" customFormat="1" x14ac:dyDescent="0.25">
      <c r="A13" s="149">
        <f t="shared" si="9"/>
        <v>8</v>
      </c>
      <c r="B13" s="149">
        <v>83388</v>
      </c>
      <c r="C13" s="149">
        <f t="shared" si="10"/>
        <v>0</v>
      </c>
      <c r="D13" s="149"/>
      <c r="E13" s="149">
        <v>30403</v>
      </c>
      <c r="F13" s="149">
        <f t="shared" ref="F13:F36" si="14">ROUND(+E13*(1-0.02184),0)</f>
        <v>29739</v>
      </c>
      <c r="G13" s="149"/>
      <c r="H13" s="149">
        <f t="shared" si="11"/>
        <v>140099</v>
      </c>
      <c r="I13" s="149">
        <f t="shared" si="1"/>
        <v>0</v>
      </c>
      <c r="J13" s="149"/>
      <c r="K13" s="149">
        <f t="shared" si="2"/>
        <v>53649</v>
      </c>
      <c r="L13" s="149"/>
      <c r="M13" s="149">
        <f t="shared" si="12"/>
        <v>41858</v>
      </c>
      <c r="N13" s="149">
        <f>SUM('3rd Party Deals'!X13)</f>
        <v>11316</v>
      </c>
      <c r="O13" s="149">
        <f>SUM('Spot wENA'!Z13)</f>
        <v>-1316</v>
      </c>
      <c r="P13" s="150">
        <f t="shared" si="13"/>
        <v>51858</v>
      </c>
      <c r="Q13" s="149"/>
      <c r="R13" s="150">
        <f t="shared" si="3"/>
        <v>81597</v>
      </c>
      <c r="S13" s="149"/>
      <c r="T13" s="165">
        <f t="shared" si="4"/>
        <v>1791</v>
      </c>
      <c r="V13" s="149">
        <f t="shared" si="5"/>
        <v>0</v>
      </c>
      <c r="X13" s="152">
        <v>8.91</v>
      </c>
      <c r="Y13" s="152">
        <f t="shared" si="6"/>
        <v>9.14</v>
      </c>
      <c r="AA13" s="174">
        <f t="shared" si="7"/>
        <v>16369.740000000002</v>
      </c>
      <c r="AC13" s="151">
        <v>1835</v>
      </c>
      <c r="AF13" s="151">
        <v>29736</v>
      </c>
      <c r="AH13" s="151">
        <f t="shared" si="8"/>
        <v>3</v>
      </c>
    </row>
    <row r="14" spans="1:34" s="151" customFormat="1" x14ac:dyDescent="0.25">
      <c r="A14" s="149">
        <f t="shared" si="9"/>
        <v>9</v>
      </c>
      <c r="B14" s="149">
        <v>75648</v>
      </c>
      <c r="C14" s="149">
        <f t="shared" si="10"/>
        <v>0</v>
      </c>
      <c r="D14" s="149"/>
      <c r="E14" s="149">
        <v>50215</v>
      </c>
      <c r="F14" s="149">
        <f t="shared" si="14"/>
        <v>49118</v>
      </c>
      <c r="G14" s="149"/>
      <c r="H14" s="149">
        <f t="shared" si="11"/>
        <v>140099</v>
      </c>
      <c r="I14" s="149">
        <f t="shared" si="1"/>
        <v>0</v>
      </c>
      <c r="J14" s="149"/>
      <c r="K14" s="149">
        <f t="shared" si="2"/>
        <v>26530</v>
      </c>
      <c r="L14" s="149"/>
      <c r="M14" s="149">
        <f t="shared" si="12"/>
        <v>41858</v>
      </c>
      <c r="N14" s="149">
        <f>SUM('3rd Party Deals'!X14)</f>
        <v>11316</v>
      </c>
      <c r="O14" s="149">
        <f>SUM('Spot wENA'!Z14)</f>
        <v>-36316</v>
      </c>
      <c r="P14" s="150">
        <f t="shared" si="13"/>
        <v>16858</v>
      </c>
      <c r="Q14" s="149"/>
      <c r="R14" s="150">
        <f t="shared" si="3"/>
        <v>65976</v>
      </c>
      <c r="S14" s="149"/>
      <c r="T14" s="165">
        <f t="shared" si="4"/>
        <v>9672</v>
      </c>
      <c r="V14" s="149">
        <f t="shared" si="5"/>
        <v>0</v>
      </c>
      <c r="X14" s="152">
        <v>8.41</v>
      </c>
      <c r="Y14" s="152">
        <f t="shared" si="6"/>
        <v>8.6300000000000008</v>
      </c>
      <c r="AA14" s="174">
        <f t="shared" si="7"/>
        <v>83469.36</v>
      </c>
      <c r="AC14" s="151">
        <v>9888</v>
      </c>
      <c r="AF14" s="151">
        <v>49118</v>
      </c>
      <c r="AH14" s="151">
        <f t="shared" si="8"/>
        <v>0</v>
      </c>
    </row>
    <row r="15" spans="1:34" s="151" customFormat="1" x14ac:dyDescent="0.25">
      <c r="A15" s="149">
        <f t="shared" si="9"/>
        <v>10</v>
      </c>
      <c r="B15" s="149">
        <v>60794</v>
      </c>
      <c r="C15" s="149">
        <f t="shared" si="10"/>
        <v>0</v>
      </c>
      <c r="D15" s="149"/>
      <c r="E15" s="149">
        <v>35030</v>
      </c>
      <c r="F15" s="149">
        <f t="shared" si="14"/>
        <v>34265</v>
      </c>
      <c r="G15" s="149"/>
      <c r="H15" s="149">
        <f t="shared" si="11"/>
        <v>140099</v>
      </c>
      <c r="I15" s="149">
        <f t="shared" si="1"/>
        <v>0</v>
      </c>
      <c r="J15" s="149"/>
      <c r="K15" s="149">
        <f t="shared" si="2"/>
        <v>26529</v>
      </c>
      <c r="L15" s="149"/>
      <c r="M15" s="149">
        <f t="shared" si="12"/>
        <v>41858</v>
      </c>
      <c r="N15" s="149">
        <f>SUM('3rd Party Deals'!X15)</f>
        <v>11316</v>
      </c>
      <c r="O15" s="149">
        <f>SUM('Spot wENA'!Z15)</f>
        <v>-36316</v>
      </c>
      <c r="P15" s="150">
        <f t="shared" si="13"/>
        <v>16858</v>
      </c>
      <c r="Q15" s="149"/>
      <c r="R15" s="150">
        <f t="shared" si="3"/>
        <v>51123</v>
      </c>
      <c r="S15" s="149"/>
      <c r="T15" s="165">
        <f t="shared" si="4"/>
        <v>9671</v>
      </c>
      <c r="V15" s="149">
        <f t="shared" si="5"/>
        <v>0</v>
      </c>
      <c r="X15" s="152">
        <v>8.41</v>
      </c>
      <c r="Y15" s="152">
        <f t="shared" si="6"/>
        <v>8.6300000000000008</v>
      </c>
      <c r="AA15" s="174">
        <f t="shared" si="7"/>
        <v>83460.73000000001</v>
      </c>
      <c r="AC15" s="151">
        <v>9888</v>
      </c>
      <c r="AF15" s="151">
        <v>34264</v>
      </c>
      <c r="AH15" s="151">
        <f t="shared" si="8"/>
        <v>1</v>
      </c>
    </row>
    <row r="16" spans="1:34" s="151" customFormat="1" x14ac:dyDescent="0.25">
      <c r="A16" s="149">
        <f t="shared" si="9"/>
        <v>11</v>
      </c>
      <c r="B16" s="149">
        <v>55330</v>
      </c>
      <c r="C16" s="149">
        <f t="shared" si="10"/>
        <v>0</v>
      </c>
      <c r="D16" s="149"/>
      <c r="E16" s="149">
        <v>29442</v>
      </c>
      <c r="F16" s="149">
        <f t="shared" si="14"/>
        <v>28799</v>
      </c>
      <c r="G16" s="149"/>
      <c r="H16" s="149">
        <f t="shared" si="11"/>
        <v>140099</v>
      </c>
      <c r="I16" s="149">
        <f t="shared" si="1"/>
        <v>0</v>
      </c>
      <c r="J16" s="149"/>
      <c r="K16" s="149">
        <f t="shared" si="2"/>
        <v>26531</v>
      </c>
      <c r="L16" s="149"/>
      <c r="M16" s="149">
        <f t="shared" si="12"/>
        <v>41858</v>
      </c>
      <c r="N16" s="149">
        <f>SUM('3rd Party Deals'!X16)</f>
        <v>11316</v>
      </c>
      <c r="O16" s="149">
        <f>SUM('Spot wENA'!Z16)</f>
        <v>-36316</v>
      </c>
      <c r="P16" s="150">
        <f t="shared" si="13"/>
        <v>16858</v>
      </c>
      <c r="Q16" s="149"/>
      <c r="R16" s="150">
        <f t="shared" si="3"/>
        <v>45657</v>
      </c>
      <c r="S16" s="149"/>
      <c r="T16" s="149">
        <f t="shared" si="4"/>
        <v>9673</v>
      </c>
      <c r="V16" s="149">
        <f t="shared" si="5"/>
        <v>0</v>
      </c>
      <c r="X16" s="152">
        <v>8.41</v>
      </c>
      <c r="Y16" s="152">
        <f t="shared" si="6"/>
        <v>8.6300000000000008</v>
      </c>
      <c r="AA16" s="174">
        <f t="shared" si="7"/>
        <v>83477.990000000005</v>
      </c>
      <c r="AC16" s="151">
        <v>9888</v>
      </c>
      <c r="AF16" s="151">
        <v>28800</v>
      </c>
      <c r="AH16" s="151">
        <f t="shared" si="8"/>
        <v>-1</v>
      </c>
    </row>
    <row r="17" spans="1:34" s="151" customFormat="1" x14ac:dyDescent="0.25">
      <c r="A17" s="149">
        <f t="shared" si="9"/>
        <v>12</v>
      </c>
      <c r="B17" s="149">
        <v>92288</v>
      </c>
      <c r="C17" s="149">
        <f t="shared" si="10"/>
        <v>0</v>
      </c>
      <c r="D17" s="149"/>
      <c r="E17" s="149">
        <v>67227</v>
      </c>
      <c r="F17" s="149">
        <f t="shared" si="14"/>
        <v>65759</v>
      </c>
      <c r="G17" s="149"/>
      <c r="H17" s="149">
        <f t="shared" si="11"/>
        <v>140099</v>
      </c>
      <c r="I17" s="149">
        <f t="shared" si="1"/>
        <v>0</v>
      </c>
      <c r="J17" s="149"/>
      <c r="K17" s="149">
        <f t="shared" si="2"/>
        <v>26529</v>
      </c>
      <c r="L17" s="149"/>
      <c r="M17" s="149">
        <f t="shared" si="12"/>
        <v>41858</v>
      </c>
      <c r="N17" s="149">
        <f>SUM('3rd Party Deals'!X17)</f>
        <v>11316</v>
      </c>
      <c r="O17" s="149">
        <f>SUM('Spot wENA'!Z17)</f>
        <v>-1316</v>
      </c>
      <c r="P17" s="150">
        <f t="shared" si="13"/>
        <v>51858</v>
      </c>
      <c r="Q17" s="149"/>
      <c r="R17" s="150">
        <f t="shared" si="3"/>
        <v>0</v>
      </c>
      <c r="S17" s="149"/>
      <c r="T17" s="149">
        <f t="shared" si="4"/>
        <v>0</v>
      </c>
      <c r="V17" s="149">
        <f t="shared" si="5"/>
        <v>25329</v>
      </c>
      <c r="X17" s="152">
        <v>10.53</v>
      </c>
      <c r="Y17" s="152">
        <f t="shared" si="6"/>
        <v>10.8</v>
      </c>
      <c r="AA17" s="174">
        <f t="shared" si="7"/>
        <v>0</v>
      </c>
      <c r="AC17" s="151">
        <v>-25894</v>
      </c>
      <c r="AF17" s="151">
        <v>65758</v>
      </c>
      <c r="AH17" s="151">
        <f t="shared" si="8"/>
        <v>1</v>
      </c>
    </row>
    <row r="18" spans="1:34" s="151" customFormat="1" x14ac:dyDescent="0.25">
      <c r="A18" s="149">
        <f t="shared" si="9"/>
        <v>13</v>
      </c>
      <c r="B18" s="149">
        <v>79535</v>
      </c>
      <c r="C18" s="149">
        <f t="shared" si="10"/>
        <v>0</v>
      </c>
      <c r="D18" s="149"/>
      <c r="E18" s="149">
        <v>34359</v>
      </c>
      <c r="F18" s="149">
        <f t="shared" si="14"/>
        <v>33609</v>
      </c>
      <c r="G18" s="149"/>
      <c r="H18" s="149">
        <f t="shared" si="11"/>
        <v>140099</v>
      </c>
      <c r="I18" s="149">
        <f t="shared" si="1"/>
        <v>0</v>
      </c>
      <c r="J18" s="149"/>
      <c r="K18" s="149">
        <f t="shared" si="2"/>
        <v>45926</v>
      </c>
      <c r="L18" s="149"/>
      <c r="M18" s="149">
        <f t="shared" si="12"/>
        <v>41858</v>
      </c>
      <c r="N18" s="149">
        <f>SUM('3rd Party Deals'!X18)</f>
        <v>11316</v>
      </c>
      <c r="O18" s="149">
        <f>SUM('Spot wENA'!Z18)</f>
        <v>-1316</v>
      </c>
      <c r="P18" s="150">
        <f t="shared" si="13"/>
        <v>51858</v>
      </c>
      <c r="Q18" s="149"/>
      <c r="R18" s="150">
        <f t="shared" si="3"/>
        <v>0</v>
      </c>
      <c r="S18" s="149"/>
      <c r="T18" s="149">
        <f t="shared" si="4"/>
        <v>0</v>
      </c>
      <c r="V18" s="149">
        <f t="shared" si="5"/>
        <v>5932</v>
      </c>
      <c r="X18" s="152">
        <v>9.15</v>
      </c>
      <c r="Y18" s="152">
        <f t="shared" si="6"/>
        <v>9.39</v>
      </c>
      <c r="AA18" s="174">
        <f t="shared" si="7"/>
        <v>0</v>
      </c>
      <c r="AC18" s="151">
        <v>-6064</v>
      </c>
      <c r="AF18" s="151">
        <v>33608</v>
      </c>
      <c r="AH18" s="151">
        <f t="shared" si="8"/>
        <v>1</v>
      </c>
    </row>
    <row r="19" spans="1:34" s="151" customFormat="1" x14ac:dyDescent="0.25">
      <c r="A19" s="149">
        <f t="shared" si="9"/>
        <v>14</v>
      </c>
      <c r="B19" s="149">
        <v>82624</v>
      </c>
      <c r="C19" s="149">
        <f t="shared" si="10"/>
        <v>0</v>
      </c>
      <c r="D19" s="149"/>
      <c r="E19" s="149">
        <v>30978</v>
      </c>
      <c r="F19" s="149">
        <f t="shared" si="14"/>
        <v>30301</v>
      </c>
      <c r="G19" s="149"/>
      <c r="H19" s="149">
        <f t="shared" si="11"/>
        <v>140099</v>
      </c>
      <c r="I19" s="149">
        <f t="shared" si="1"/>
        <v>0</v>
      </c>
      <c r="J19" s="149"/>
      <c r="K19" s="149">
        <f t="shared" si="2"/>
        <v>52323</v>
      </c>
      <c r="L19" s="149"/>
      <c r="M19" s="149">
        <f t="shared" si="12"/>
        <v>41858</v>
      </c>
      <c r="N19" s="149">
        <f>SUM('3rd Party Deals'!X19)</f>
        <v>11316</v>
      </c>
      <c r="O19" s="149">
        <f>SUM('Spot wENA'!Z19)</f>
        <v>-1316</v>
      </c>
      <c r="P19" s="150">
        <f t="shared" si="13"/>
        <v>51858</v>
      </c>
      <c r="Q19" s="149"/>
      <c r="R19" s="150">
        <f t="shared" si="3"/>
        <v>82159</v>
      </c>
      <c r="S19" s="149"/>
      <c r="T19" s="149">
        <f t="shared" si="4"/>
        <v>465</v>
      </c>
      <c r="V19" s="149">
        <f t="shared" si="5"/>
        <v>0</v>
      </c>
      <c r="X19" s="152">
        <v>8</v>
      </c>
      <c r="Y19" s="152">
        <f t="shared" si="6"/>
        <v>8.2100000000000009</v>
      </c>
      <c r="AA19" s="174">
        <f t="shared" si="7"/>
        <v>3817.6500000000005</v>
      </c>
      <c r="AC19" s="151">
        <v>496</v>
      </c>
      <c r="AF19" s="151">
        <v>30281</v>
      </c>
      <c r="AH19" s="151">
        <f t="shared" si="8"/>
        <v>20</v>
      </c>
    </row>
    <row r="20" spans="1:34" s="151" customFormat="1" x14ac:dyDescent="0.25">
      <c r="A20" s="149">
        <f t="shared" si="9"/>
        <v>15</v>
      </c>
      <c r="B20" s="149">
        <v>74584</v>
      </c>
      <c r="C20" s="149">
        <f t="shared" si="10"/>
        <v>0</v>
      </c>
      <c r="D20" s="149"/>
      <c r="E20" s="149">
        <v>24887</v>
      </c>
      <c r="F20" s="149">
        <f t="shared" si="14"/>
        <v>24343</v>
      </c>
      <c r="G20" s="149"/>
      <c r="H20" s="149">
        <f t="shared" si="11"/>
        <v>140099</v>
      </c>
      <c r="I20" s="149">
        <f t="shared" si="1"/>
        <v>0</v>
      </c>
      <c r="J20" s="149"/>
      <c r="K20" s="149">
        <f t="shared" si="2"/>
        <v>50241</v>
      </c>
      <c r="L20" s="149"/>
      <c r="M20" s="149">
        <f t="shared" si="12"/>
        <v>41858</v>
      </c>
      <c r="N20" s="149">
        <f>SUM('3rd Party Deals'!X20)</f>
        <v>11316</v>
      </c>
      <c r="O20" s="149">
        <f>SUM('Spot wENA'!Z20)</f>
        <v>-1316</v>
      </c>
      <c r="P20" s="150">
        <f t="shared" si="13"/>
        <v>51858</v>
      </c>
      <c r="Q20" s="149"/>
      <c r="R20" s="150">
        <f t="shared" si="3"/>
        <v>0</v>
      </c>
      <c r="S20" s="149"/>
      <c r="T20" s="149">
        <f t="shared" si="4"/>
        <v>0</v>
      </c>
      <c r="V20" s="149">
        <f t="shared" si="5"/>
        <v>1617</v>
      </c>
      <c r="X20" s="152">
        <v>7.8150000000000004</v>
      </c>
      <c r="Y20" s="152">
        <f t="shared" si="6"/>
        <v>8.02</v>
      </c>
      <c r="AA20" s="174">
        <f t="shared" si="7"/>
        <v>0</v>
      </c>
      <c r="AC20" s="151">
        <v>-1648</v>
      </c>
      <c r="AF20" s="151">
        <v>24341</v>
      </c>
      <c r="AH20" s="151">
        <f t="shared" si="8"/>
        <v>2</v>
      </c>
    </row>
    <row r="21" spans="1:34" s="151" customFormat="1" x14ac:dyDescent="0.25">
      <c r="A21" s="149">
        <f t="shared" si="9"/>
        <v>16</v>
      </c>
      <c r="B21" s="149">
        <v>56865</v>
      </c>
      <c r="C21" s="149">
        <f t="shared" si="10"/>
        <v>0</v>
      </c>
      <c r="D21" s="149"/>
      <c r="E21" s="149">
        <v>27</v>
      </c>
      <c r="F21" s="149">
        <f t="shared" si="14"/>
        <v>26</v>
      </c>
      <c r="G21" s="149"/>
      <c r="H21" s="149">
        <f t="shared" si="11"/>
        <v>140099</v>
      </c>
      <c r="I21" s="149">
        <f t="shared" si="1"/>
        <v>0</v>
      </c>
      <c r="J21" s="149"/>
      <c r="K21" s="149">
        <f t="shared" si="2"/>
        <v>56839</v>
      </c>
      <c r="L21" s="149"/>
      <c r="M21" s="149">
        <f t="shared" si="12"/>
        <v>41858</v>
      </c>
      <c r="N21" s="149">
        <f>SUM('3rd Party Deals'!X21)</f>
        <v>11316</v>
      </c>
      <c r="O21" s="149">
        <f>SUM('Spot wENA'!Z21)</f>
        <v>-1316</v>
      </c>
      <c r="P21" s="150">
        <f t="shared" si="13"/>
        <v>51858</v>
      </c>
      <c r="Q21" s="149"/>
      <c r="R21" s="150">
        <f t="shared" si="3"/>
        <v>51884</v>
      </c>
      <c r="S21" s="149"/>
      <c r="T21" s="149">
        <f t="shared" si="4"/>
        <v>4981</v>
      </c>
      <c r="V21" s="149">
        <f t="shared" si="5"/>
        <v>0</v>
      </c>
      <c r="X21" s="152">
        <v>8.2650000000000006</v>
      </c>
      <c r="Y21" s="152">
        <f t="shared" si="6"/>
        <v>8.48</v>
      </c>
      <c r="AA21" s="174">
        <f t="shared" si="7"/>
        <v>42238.880000000005</v>
      </c>
      <c r="AC21" s="151">
        <v>5092</v>
      </c>
      <c r="AF21" s="151">
        <v>0</v>
      </c>
      <c r="AG21" s="166" t="s">
        <v>308</v>
      </c>
      <c r="AH21" s="151">
        <f t="shared" si="8"/>
        <v>26</v>
      </c>
    </row>
    <row r="22" spans="1:34" s="151" customFormat="1" x14ac:dyDescent="0.25">
      <c r="A22" s="149">
        <f t="shared" si="9"/>
        <v>17</v>
      </c>
      <c r="B22" s="149">
        <v>114528</v>
      </c>
      <c r="C22" s="149">
        <f t="shared" si="10"/>
        <v>0</v>
      </c>
      <c r="D22" s="149"/>
      <c r="E22" s="149">
        <v>44899</v>
      </c>
      <c r="F22" s="149">
        <f t="shared" si="14"/>
        <v>43918</v>
      </c>
      <c r="G22" s="149"/>
      <c r="H22" s="149">
        <f t="shared" si="11"/>
        <v>140099</v>
      </c>
      <c r="I22" s="149">
        <f t="shared" si="1"/>
        <v>0</v>
      </c>
      <c r="J22" s="149"/>
      <c r="K22" s="149">
        <f t="shared" si="2"/>
        <v>70610</v>
      </c>
      <c r="L22" s="149"/>
      <c r="M22" s="149">
        <f t="shared" si="12"/>
        <v>41858</v>
      </c>
      <c r="N22" s="149">
        <f>SUM('3rd Party Deals'!X22)</f>
        <v>11316</v>
      </c>
      <c r="O22" s="149">
        <f>SUM('Spot wENA'!Z22)</f>
        <v>-1316</v>
      </c>
      <c r="P22" s="150">
        <f t="shared" si="13"/>
        <v>51858</v>
      </c>
      <c r="Q22" s="149"/>
      <c r="R22" s="150">
        <f t="shared" si="3"/>
        <v>95776</v>
      </c>
      <c r="S22" s="149"/>
      <c r="T22" s="149">
        <f t="shared" si="4"/>
        <v>18752</v>
      </c>
      <c r="V22" s="149">
        <f t="shared" si="5"/>
        <v>0</v>
      </c>
      <c r="X22" s="152">
        <v>8.2650000000000006</v>
      </c>
      <c r="Y22" s="152">
        <f t="shared" si="6"/>
        <v>8.48</v>
      </c>
      <c r="AA22" s="174">
        <f t="shared" si="7"/>
        <v>159016.96000000002</v>
      </c>
      <c r="AC22" s="151">
        <v>19170</v>
      </c>
      <c r="AF22" s="151">
        <v>43919</v>
      </c>
      <c r="AH22" s="151">
        <f t="shared" si="8"/>
        <v>-1</v>
      </c>
    </row>
    <row r="23" spans="1:34" s="151" customFormat="1" x14ac:dyDescent="0.25">
      <c r="A23" s="149">
        <f t="shared" si="9"/>
        <v>18</v>
      </c>
      <c r="B23" s="149">
        <v>93887</v>
      </c>
      <c r="C23" s="149">
        <f t="shared" si="10"/>
        <v>0</v>
      </c>
      <c r="D23" s="149"/>
      <c r="E23" s="149">
        <v>27936</v>
      </c>
      <c r="F23" s="149">
        <f t="shared" si="14"/>
        <v>27326</v>
      </c>
      <c r="G23" s="149"/>
      <c r="H23" s="149">
        <f t="shared" si="11"/>
        <v>140099</v>
      </c>
      <c r="I23" s="149">
        <f t="shared" si="1"/>
        <v>0</v>
      </c>
      <c r="J23" s="149"/>
      <c r="K23" s="149">
        <f t="shared" si="2"/>
        <v>66561</v>
      </c>
      <c r="L23" s="149"/>
      <c r="M23" s="149">
        <f t="shared" si="12"/>
        <v>41858</v>
      </c>
      <c r="N23" s="149">
        <f>SUM('3rd Party Deals'!X23)</f>
        <v>11316</v>
      </c>
      <c r="O23" s="149">
        <f>SUM('Spot wENA'!Z23)</f>
        <v>-1316</v>
      </c>
      <c r="P23" s="150">
        <f t="shared" si="13"/>
        <v>51858</v>
      </c>
      <c r="Q23" s="149"/>
      <c r="R23" s="150">
        <f t="shared" si="3"/>
        <v>79184</v>
      </c>
      <c r="S23" s="149"/>
      <c r="T23" s="149">
        <f t="shared" si="4"/>
        <v>14703</v>
      </c>
      <c r="V23" s="149">
        <f t="shared" si="5"/>
        <v>0</v>
      </c>
      <c r="X23" s="152">
        <v>8.2650000000000006</v>
      </c>
      <c r="Y23" s="152">
        <f t="shared" si="6"/>
        <v>8.48</v>
      </c>
      <c r="AA23" s="174">
        <f t="shared" si="7"/>
        <v>124681.44</v>
      </c>
      <c r="AC23" s="151">
        <v>15031</v>
      </c>
      <c r="AF23" s="151">
        <v>27326</v>
      </c>
      <c r="AH23" s="151">
        <f t="shared" si="8"/>
        <v>0</v>
      </c>
    </row>
    <row r="24" spans="1:34" s="151" customFormat="1" x14ac:dyDescent="0.25">
      <c r="A24" s="149">
        <f t="shared" si="9"/>
        <v>19</v>
      </c>
      <c r="B24" s="149">
        <v>112005</v>
      </c>
      <c r="C24" s="149">
        <f t="shared" si="10"/>
        <v>0</v>
      </c>
      <c r="D24" s="149"/>
      <c r="E24" s="149">
        <v>60723</v>
      </c>
      <c r="F24" s="149">
        <f t="shared" si="14"/>
        <v>59397</v>
      </c>
      <c r="G24" s="149"/>
      <c r="H24" s="149">
        <f t="shared" si="11"/>
        <v>140099</v>
      </c>
      <c r="I24" s="149">
        <f t="shared" si="1"/>
        <v>0</v>
      </c>
      <c r="J24" s="149"/>
      <c r="K24" s="149">
        <f t="shared" si="2"/>
        <v>52608</v>
      </c>
      <c r="L24" s="149"/>
      <c r="M24" s="149">
        <f t="shared" si="12"/>
        <v>41858</v>
      </c>
      <c r="N24" s="149">
        <f>SUM('3rd Party Deals'!X24)</f>
        <v>11316</v>
      </c>
      <c r="O24" s="149">
        <f>SUM('Spot wENA'!Z24)</f>
        <v>-1316</v>
      </c>
      <c r="P24" s="150">
        <f t="shared" si="13"/>
        <v>51858</v>
      </c>
      <c r="Q24" s="149"/>
      <c r="R24" s="150">
        <f t="shared" si="3"/>
        <v>111255</v>
      </c>
      <c r="S24" s="149"/>
      <c r="T24" s="149">
        <f t="shared" si="4"/>
        <v>750</v>
      </c>
      <c r="V24" s="149">
        <f t="shared" si="5"/>
        <v>0</v>
      </c>
      <c r="X24" s="152">
        <v>9.9250000000000007</v>
      </c>
      <c r="Y24" s="152">
        <f t="shared" si="6"/>
        <v>10.18</v>
      </c>
      <c r="AA24" s="174">
        <f t="shared" si="7"/>
        <v>7635</v>
      </c>
      <c r="AC24" s="151">
        <v>768</v>
      </c>
      <c r="AF24" s="151">
        <v>59396</v>
      </c>
      <c r="AH24" s="151">
        <f t="shared" si="8"/>
        <v>1</v>
      </c>
    </row>
    <row r="25" spans="1:34" s="169" customFormat="1" x14ac:dyDescent="0.25">
      <c r="A25" s="167">
        <f t="shared" si="9"/>
        <v>20</v>
      </c>
      <c r="B25" s="167">
        <v>101839</v>
      </c>
      <c r="C25" s="167">
        <f t="shared" ref="C25:C36" si="15">+C24</f>
        <v>0</v>
      </c>
      <c r="D25" s="167"/>
      <c r="E25" s="167">
        <v>44100</v>
      </c>
      <c r="F25" s="167">
        <f t="shared" si="14"/>
        <v>43137</v>
      </c>
      <c r="G25" s="167"/>
      <c r="H25" s="167">
        <f t="shared" si="11"/>
        <v>140099</v>
      </c>
      <c r="I25" s="167">
        <f t="shared" si="1"/>
        <v>0</v>
      </c>
      <c r="J25" s="167"/>
      <c r="K25" s="167">
        <f t="shared" si="2"/>
        <v>58702</v>
      </c>
      <c r="L25" s="167"/>
      <c r="M25" s="167">
        <f t="shared" si="12"/>
        <v>41858</v>
      </c>
      <c r="N25" s="167">
        <f>SUM('3rd Party Deals'!X25)</f>
        <v>11316</v>
      </c>
      <c r="O25" s="167">
        <f>SUM('Spot wENA'!Z25)</f>
        <v>8684</v>
      </c>
      <c r="P25" s="168">
        <f t="shared" si="13"/>
        <v>61858</v>
      </c>
      <c r="Q25" s="167"/>
      <c r="R25" s="168">
        <f t="shared" si="3"/>
        <v>0</v>
      </c>
      <c r="S25" s="167"/>
      <c r="T25" s="167">
        <f t="shared" si="4"/>
        <v>0</v>
      </c>
      <c r="V25" s="167">
        <f t="shared" si="5"/>
        <v>3156</v>
      </c>
      <c r="X25" s="170">
        <v>9.59</v>
      </c>
      <c r="Y25" s="170">
        <f t="shared" si="6"/>
        <v>9.84</v>
      </c>
      <c r="AA25" s="174">
        <f t="shared" si="7"/>
        <v>0</v>
      </c>
      <c r="AC25" s="169">
        <v>-3221</v>
      </c>
      <c r="AF25" s="169">
        <v>43132</v>
      </c>
      <c r="AH25" s="169">
        <f t="shared" si="8"/>
        <v>5</v>
      </c>
    </row>
    <row r="26" spans="1:34" s="169" customFormat="1" x14ac:dyDescent="0.25">
      <c r="A26" s="167">
        <f t="shared" si="9"/>
        <v>21</v>
      </c>
      <c r="B26" s="167">
        <v>107788</v>
      </c>
      <c r="C26" s="167">
        <f t="shared" si="15"/>
        <v>0</v>
      </c>
      <c r="D26" s="167"/>
      <c r="E26" s="167">
        <v>47836</v>
      </c>
      <c r="F26" s="167">
        <f t="shared" si="14"/>
        <v>46791</v>
      </c>
      <c r="G26" s="167"/>
      <c r="H26" s="167">
        <f t="shared" si="11"/>
        <v>140099</v>
      </c>
      <c r="I26" s="167">
        <f t="shared" si="1"/>
        <v>0</v>
      </c>
      <c r="J26" s="167"/>
      <c r="K26" s="167">
        <f t="shared" si="2"/>
        <v>60997</v>
      </c>
      <c r="L26" s="167"/>
      <c r="M26" s="167">
        <f t="shared" si="12"/>
        <v>41858</v>
      </c>
      <c r="N26" s="167">
        <f>SUM('3rd Party Deals'!X26)</f>
        <v>11316</v>
      </c>
      <c r="O26" s="167">
        <f>SUM('Spot wENA'!Z26)</f>
        <v>8684</v>
      </c>
      <c r="P26" s="168">
        <f t="shared" si="13"/>
        <v>61858</v>
      </c>
      <c r="Q26" s="167"/>
      <c r="R26" s="168">
        <f t="shared" si="3"/>
        <v>0</v>
      </c>
      <c r="S26" s="167"/>
      <c r="T26" s="167">
        <f t="shared" si="4"/>
        <v>0</v>
      </c>
      <c r="V26" s="167">
        <f t="shared" si="5"/>
        <v>861</v>
      </c>
      <c r="X26" s="170">
        <v>10.455</v>
      </c>
      <c r="Y26" s="170">
        <f t="shared" si="6"/>
        <v>10.72</v>
      </c>
      <c r="AA26" s="174">
        <f t="shared" si="7"/>
        <v>0</v>
      </c>
      <c r="AC26" s="169">
        <v>-881</v>
      </c>
      <c r="AF26" s="169">
        <v>46792</v>
      </c>
      <c r="AH26" s="169">
        <f t="shared" si="8"/>
        <v>-1</v>
      </c>
    </row>
    <row r="27" spans="1:34" s="169" customFormat="1" x14ac:dyDescent="0.25">
      <c r="A27" s="167">
        <f t="shared" si="9"/>
        <v>22</v>
      </c>
      <c r="B27" s="167">
        <v>133399</v>
      </c>
      <c r="C27" s="167">
        <f t="shared" si="15"/>
        <v>0</v>
      </c>
      <c r="D27" s="167"/>
      <c r="E27" s="167">
        <v>71416</v>
      </c>
      <c r="F27" s="167">
        <f t="shared" si="14"/>
        <v>69856</v>
      </c>
      <c r="G27" s="167"/>
      <c r="H27" s="167">
        <f t="shared" si="11"/>
        <v>140099</v>
      </c>
      <c r="I27" s="167">
        <f t="shared" si="1"/>
        <v>0</v>
      </c>
      <c r="J27" s="167"/>
      <c r="K27" s="167">
        <f t="shared" si="2"/>
        <v>63543</v>
      </c>
      <c r="L27" s="167"/>
      <c r="M27" s="167">
        <f t="shared" si="12"/>
        <v>41858</v>
      </c>
      <c r="N27" s="167">
        <f>SUM('3rd Party Deals'!X27)</f>
        <v>11316</v>
      </c>
      <c r="O27" s="167">
        <f>SUM('Spot wENA'!Z27)</f>
        <v>8684</v>
      </c>
      <c r="P27" s="168">
        <f t="shared" si="13"/>
        <v>61858</v>
      </c>
      <c r="Q27" s="167"/>
      <c r="R27" s="168">
        <f t="shared" si="3"/>
        <v>131714</v>
      </c>
      <c r="S27" s="167"/>
      <c r="T27" s="167">
        <f t="shared" si="4"/>
        <v>1685</v>
      </c>
      <c r="V27" s="167">
        <f t="shared" si="5"/>
        <v>0</v>
      </c>
      <c r="X27" s="170">
        <v>11.045</v>
      </c>
      <c r="Y27" s="170">
        <f t="shared" si="6"/>
        <v>11.32</v>
      </c>
      <c r="AA27" s="174">
        <f t="shared" si="7"/>
        <v>19074.2</v>
      </c>
      <c r="AC27" s="169">
        <v>2135</v>
      </c>
      <c r="AF27" s="169">
        <v>70126</v>
      </c>
      <c r="AH27" s="169">
        <f t="shared" si="8"/>
        <v>-270</v>
      </c>
    </row>
    <row r="28" spans="1:34" s="162" customFormat="1" x14ac:dyDescent="0.25">
      <c r="A28" s="160">
        <f t="shared" si="9"/>
        <v>23</v>
      </c>
      <c r="B28" s="160">
        <v>92698</v>
      </c>
      <c r="C28" s="160">
        <v>4250</v>
      </c>
      <c r="D28" s="160"/>
      <c r="E28" s="160">
        <v>37455</v>
      </c>
      <c r="F28" s="160">
        <f t="shared" si="14"/>
        <v>36637</v>
      </c>
      <c r="G28" s="160"/>
      <c r="H28" s="160">
        <f t="shared" si="11"/>
        <v>140099</v>
      </c>
      <c r="I28" s="160">
        <f t="shared" si="1"/>
        <v>0</v>
      </c>
      <c r="J28" s="160"/>
      <c r="K28" s="149">
        <f t="shared" si="2"/>
        <v>60311</v>
      </c>
      <c r="L28" s="160"/>
      <c r="M28" s="160">
        <f t="shared" si="12"/>
        <v>41858</v>
      </c>
      <c r="N28" s="160">
        <f>SUM('3rd Party Deals'!X28)</f>
        <v>11316</v>
      </c>
      <c r="O28" s="160">
        <f>SUM('Spot wENA'!Z28)</f>
        <v>9104</v>
      </c>
      <c r="P28" s="161">
        <f t="shared" si="13"/>
        <v>62278</v>
      </c>
      <c r="Q28" s="160"/>
      <c r="R28" s="161">
        <f t="shared" si="3"/>
        <v>0</v>
      </c>
      <c r="S28" s="160"/>
      <c r="T28" s="160">
        <f t="shared" si="4"/>
        <v>0</v>
      </c>
      <c r="V28" s="160">
        <f t="shared" si="5"/>
        <v>1967</v>
      </c>
      <c r="X28" s="163">
        <v>10.87</v>
      </c>
      <c r="Y28" s="163">
        <f t="shared" si="6"/>
        <v>11.15</v>
      </c>
      <c r="AA28" s="174">
        <f t="shared" si="7"/>
        <v>0</v>
      </c>
      <c r="AC28" s="162">
        <v>-10170</v>
      </c>
      <c r="AF28" s="162">
        <v>36131</v>
      </c>
      <c r="AH28" s="151">
        <f t="shared" si="8"/>
        <v>506</v>
      </c>
    </row>
    <row r="29" spans="1:34" s="162" customFormat="1" x14ac:dyDescent="0.25">
      <c r="A29" s="160">
        <f t="shared" si="9"/>
        <v>24</v>
      </c>
      <c r="B29" s="160">
        <v>122733</v>
      </c>
      <c r="C29" s="160">
        <f t="shared" si="15"/>
        <v>4250</v>
      </c>
      <c r="D29" s="160"/>
      <c r="E29" s="160">
        <v>55456</v>
      </c>
      <c r="F29" s="160">
        <f t="shared" si="14"/>
        <v>54245</v>
      </c>
      <c r="G29" s="160"/>
      <c r="H29" s="160">
        <f t="shared" si="11"/>
        <v>140099</v>
      </c>
      <c r="I29" s="160">
        <f t="shared" si="1"/>
        <v>0</v>
      </c>
      <c r="J29" s="160"/>
      <c r="K29" s="149">
        <f t="shared" si="2"/>
        <v>72738</v>
      </c>
      <c r="L29" s="160"/>
      <c r="M29" s="160">
        <f t="shared" si="12"/>
        <v>41858</v>
      </c>
      <c r="N29" s="160">
        <f>SUM('3rd Party Deals'!X29)</f>
        <v>11316</v>
      </c>
      <c r="O29" s="160">
        <f>SUM('Spot wENA'!Z29)</f>
        <v>9104</v>
      </c>
      <c r="P29" s="161">
        <f t="shared" si="13"/>
        <v>62278</v>
      </c>
      <c r="Q29" s="160"/>
      <c r="R29" s="161">
        <f t="shared" si="3"/>
        <v>112273</v>
      </c>
      <c r="S29" s="160"/>
      <c r="T29" s="160">
        <f t="shared" si="4"/>
        <v>10460</v>
      </c>
      <c r="V29" s="160">
        <f t="shared" si="5"/>
        <v>0</v>
      </c>
      <c r="X29" s="163">
        <v>10.87</v>
      </c>
      <c r="Y29" s="163">
        <f t="shared" si="6"/>
        <v>11.15</v>
      </c>
      <c r="AA29" s="174">
        <f t="shared" si="7"/>
        <v>116629</v>
      </c>
      <c r="AC29" s="162">
        <v>-7682</v>
      </c>
      <c r="AF29" s="162">
        <v>55720</v>
      </c>
      <c r="AH29" s="151">
        <f t="shared" si="8"/>
        <v>-1475</v>
      </c>
    </row>
    <row r="30" spans="1:34" s="162" customFormat="1" x14ac:dyDescent="0.25">
      <c r="A30" s="160">
        <f t="shared" si="9"/>
        <v>25</v>
      </c>
      <c r="B30" s="160">
        <v>127991</v>
      </c>
      <c r="C30" s="160">
        <f t="shared" si="15"/>
        <v>4250</v>
      </c>
      <c r="D30" s="160"/>
      <c r="E30" s="160">
        <v>60796</v>
      </c>
      <c r="F30" s="160">
        <f t="shared" si="14"/>
        <v>59468</v>
      </c>
      <c r="G30" s="160"/>
      <c r="H30" s="160">
        <f t="shared" si="11"/>
        <v>140099</v>
      </c>
      <c r="I30" s="160">
        <f t="shared" si="1"/>
        <v>0</v>
      </c>
      <c r="J30" s="160"/>
      <c r="K30" s="149">
        <f t="shared" si="2"/>
        <v>72773</v>
      </c>
      <c r="L30" s="160"/>
      <c r="M30" s="160">
        <f t="shared" si="12"/>
        <v>41858</v>
      </c>
      <c r="N30" s="160">
        <f>SUM('3rd Party Deals'!X30)</f>
        <v>11316</v>
      </c>
      <c r="O30" s="160">
        <f>SUM('Spot wENA'!Z30)</f>
        <v>9104</v>
      </c>
      <c r="P30" s="161">
        <f t="shared" si="13"/>
        <v>62278</v>
      </c>
      <c r="Q30" s="160"/>
      <c r="R30" s="161">
        <f t="shared" si="3"/>
        <v>117496</v>
      </c>
      <c r="S30" s="160"/>
      <c r="T30" s="160">
        <f t="shared" si="4"/>
        <v>10495</v>
      </c>
      <c r="V30" s="160">
        <f t="shared" si="5"/>
        <v>0</v>
      </c>
      <c r="X30" s="163">
        <v>10.87</v>
      </c>
      <c r="Y30" s="163">
        <f t="shared" si="6"/>
        <v>11.15</v>
      </c>
      <c r="AA30" s="174">
        <f t="shared" si="7"/>
        <v>117019.25</v>
      </c>
      <c r="AC30" s="162">
        <v>-7648</v>
      </c>
      <c r="AF30" s="162">
        <v>59468</v>
      </c>
      <c r="AH30" s="151">
        <f t="shared" si="8"/>
        <v>0</v>
      </c>
    </row>
    <row r="31" spans="1:34" s="162" customFormat="1" x14ac:dyDescent="0.25">
      <c r="A31" s="160">
        <f t="shared" si="9"/>
        <v>26</v>
      </c>
      <c r="B31" s="160">
        <v>97532</v>
      </c>
      <c r="C31" s="160">
        <f t="shared" si="15"/>
        <v>4250</v>
      </c>
      <c r="D31" s="160"/>
      <c r="E31" s="160">
        <v>25617</v>
      </c>
      <c r="F31" s="160">
        <f t="shared" si="14"/>
        <v>25058</v>
      </c>
      <c r="G31" s="160"/>
      <c r="H31" s="160">
        <f t="shared" si="11"/>
        <v>140099</v>
      </c>
      <c r="I31" s="160">
        <f t="shared" si="1"/>
        <v>0</v>
      </c>
      <c r="J31" s="160"/>
      <c r="K31" s="160">
        <f t="shared" si="2"/>
        <v>76724</v>
      </c>
      <c r="L31" s="160"/>
      <c r="M31" s="160">
        <f t="shared" si="12"/>
        <v>41858</v>
      </c>
      <c r="N31" s="160">
        <f>SUM('3rd Party Deals'!X31)</f>
        <v>11316</v>
      </c>
      <c r="O31" s="160">
        <f>SUM('Spot wENA'!Z31)</f>
        <v>9104</v>
      </c>
      <c r="P31" s="161">
        <f t="shared" si="13"/>
        <v>62278</v>
      </c>
      <c r="Q31" s="160"/>
      <c r="R31" s="161">
        <f t="shared" si="3"/>
        <v>83086</v>
      </c>
      <c r="S31" s="160"/>
      <c r="T31" s="160">
        <f t="shared" si="4"/>
        <v>14446</v>
      </c>
      <c r="V31" s="160">
        <f t="shared" si="5"/>
        <v>0</v>
      </c>
      <c r="X31" s="163">
        <v>10.87</v>
      </c>
      <c r="Y31" s="163">
        <f t="shared" si="6"/>
        <v>11.15</v>
      </c>
      <c r="AA31" s="174">
        <f t="shared" si="7"/>
        <v>161072.9</v>
      </c>
      <c r="AC31" s="162">
        <v>-2032</v>
      </c>
      <c r="AF31" s="162">
        <v>32794</v>
      </c>
    </row>
    <row r="32" spans="1:34" s="162" customFormat="1" x14ac:dyDescent="0.25">
      <c r="A32" s="160">
        <f t="shared" si="9"/>
        <v>27</v>
      </c>
      <c r="B32" s="160">
        <v>98355</v>
      </c>
      <c r="C32" s="160">
        <f t="shared" si="15"/>
        <v>4250</v>
      </c>
      <c r="D32" s="160"/>
      <c r="E32" s="160">
        <v>31539</v>
      </c>
      <c r="F32" s="160">
        <f t="shared" si="14"/>
        <v>30850</v>
      </c>
      <c r="G32" s="160"/>
      <c r="H32" s="160">
        <f t="shared" si="11"/>
        <v>140099</v>
      </c>
      <c r="I32" s="160">
        <f t="shared" si="1"/>
        <v>0</v>
      </c>
      <c r="J32" s="160"/>
      <c r="K32" s="160">
        <f t="shared" si="2"/>
        <v>71755</v>
      </c>
      <c r="L32" s="160"/>
      <c r="M32" s="160">
        <f t="shared" si="12"/>
        <v>41858</v>
      </c>
      <c r="N32" s="160">
        <f>SUM('3rd Party Deals'!X32)</f>
        <v>11316</v>
      </c>
      <c r="O32" s="160">
        <f>SUM('Spot wENA'!Z32)</f>
        <v>9104</v>
      </c>
      <c r="P32" s="161">
        <f t="shared" si="13"/>
        <v>62278</v>
      </c>
      <c r="Q32" s="160"/>
      <c r="R32" s="161">
        <f t="shared" si="3"/>
        <v>88878</v>
      </c>
      <c r="S32" s="160"/>
      <c r="T32" s="160">
        <f t="shared" si="4"/>
        <v>9477</v>
      </c>
      <c r="V32" s="160">
        <f t="shared" si="5"/>
        <v>0</v>
      </c>
      <c r="X32" s="163">
        <v>10.75</v>
      </c>
      <c r="Y32" s="163">
        <f t="shared" si="6"/>
        <v>11.02</v>
      </c>
      <c r="AA32" s="174">
        <f t="shared" si="7"/>
        <v>104436.54</v>
      </c>
      <c r="AC32" s="162">
        <v>1525</v>
      </c>
      <c r="AF32" s="162">
        <v>30539</v>
      </c>
    </row>
    <row r="33" spans="1:28" s="121" customFormat="1" x14ac:dyDescent="0.25">
      <c r="A33" s="117">
        <f t="shared" si="9"/>
        <v>28</v>
      </c>
      <c r="B33" s="117">
        <v>105076</v>
      </c>
      <c r="C33" s="117">
        <f t="shared" si="15"/>
        <v>4250</v>
      </c>
      <c r="D33" s="117"/>
      <c r="E33" s="117">
        <v>39388</v>
      </c>
      <c r="F33" s="117">
        <f t="shared" si="14"/>
        <v>38528</v>
      </c>
      <c r="G33" s="117"/>
      <c r="H33" s="117">
        <f t="shared" si="11"/>
        <v>140099</v>
      </c>
      <c r="I33" s="117">
        <f t="shared" si="1"/>
        <v>0</v>
      </c>
      <c r="J33" s="117"/>
      <c r="K33" s="149">
        <f t="shared" si="2"/>
        <v>70798</v>
      </c>
      <c r="L33" s="117"/>
      <c r="M33" s="117">
        <f t="shared" si="12"/>
        <v>41858</v>
      </c>
      <c r="N33" s="117">
        <f>SUM('3rd Party Deals'!X33)</f>
        <v>11316</v>
      </c>
      <c r="O33" s="117">
        <f>SUM('Spot wENA'!Z33)</f>
        <v>9104</v>
      </c>
      <c r="P33" s="120">
        <f t="shared" si="13"/>
        <v>62278</v>
      </c>
      <c r="Q33" s="117"/>
      <c r="R33" s="120">
        <f t="shared" si="3"/>
        <v>96556</v>
      </c>
      <c r="S33" s="117"/>
      <c r="T33" s="117">
        <f t="shared" si="4"/>
        <v>8520</v>
      </c>
      <c r="V33" s="117">
        <f t="shared" si="5"/>
        <v>0</v>
      </c>
      <c r="X33" s="140">
        <v>9.93</v>
      </c>
      <c r="Y33" s="140">
        <f t="shared" si="6"/>
        <v>10.18</v>
      </c>
      <c r="AA33" s="174">
        <f t="shared" si="7"/>
        <v>86733.599999999991</v>
      </c>
    </row>
    <row r="34" spans="1:28" s="121" customFormat="1" x14ac:dyDescent="0.25">
      <c r="A34" s="117">
        <f t="shared" si="9"/>
        <v>29</v>
      </c>
      <c r="B34" s="117">
        <v>92037</v>
      </c>
      <c r="C34" s="117">
        <f t="shared" si="15"/>
        <v>4250</v>
      </c>
      <c r="D34" s="117"/>
      <c r="E34" s="117">
        <v>41025</v>
      </c>
      <c r="F34" s="117">
        <f t="shared" si="14"/>
        <v>40129</v>
      </c>
      <c r="G34" s="117"/>
      <c r="H34" s="117">
        <f t="shared" si="11"/>
        <v>140099</v>
      </c>
      <c r="I34" s="117">
        <f t="shared" si="1"/>
        <v>0</v>
      </c>
      <c r="J34" s="117"/>
      <c r="K34" s="149">
        <f t="shared" si="2"/>
        <v>56158</v>
      </c>
      <c r="L34" s="117"/>
      <c r="M34" s="117">
        <f t="shared" si="12"/>
        <v>41858</v>
      </c>
      <c r="N34" s="117">
        <f>SUM('3rd Party Deals'!X34)</f>
        <v>11316</v>
      </c>
      <c r="O34" s="117">
        <f>SUM('Spot wENA'!Z34)</f>
        <v>9104</v>
      </c>
      <c r="P34" s="120">
        <f t="shared" si="13"/>
        <v>62278</v>
      </c>
      <c r="Q34" s="117"/>
      <c r="R34" s="120">
        <f t="shared" si="3"/>
        <v>0</v>
      </c>
      <c r="S34" s="117"/>
      <c r="T34" s="117">
        <f t="shared" si="4"/>
        <v>0</v>
      </c>
      <c r="V34" s="117">
        <f t="shared" si="5"/>
        <v>6120</v>
      </c>
      <c r="X34" s="140">
        <v>9.43</v>
      </c>
      <c r="Y34" s="140">
        <f t="shared" si="6"/>
        <v>9.67</v>
      </c>
      <c r="AA34" s="174">
        <f t="shared" si="7"/>
        <v>0</v>
      </c>
    </row>
    <row r="35" spans="1:28" s="121" customFormat="1" x14ac:dyDescent="0.25">
      <c r="A35" s="117">
        <f>+A34+1</f>
        <v>30</v>
      </c>
      <c r="B35" s="117">
        <v>102220</v>
      </c>
      <c r="C35" s="117">
        <f t="shared" si="15"/>
        <v>4250</v>
      </c>
      <c r="D35" s="117"/>
      <c r="E35" s="117">
        <v>53781</v>
      </c>
      <c r="F35" s="117">
        <f t="shared" si="14"/>
        <v>52606</v>
      </c>
      <c r="G35" s="117"/>
      <c r="H35" s="117">
        <f t="shared" si="11"/>
        <v>140099</v>
      </c>
      <c r="I35" s="117">
        <f t="shared" si="1"/>
        <v>0</v>
      </c>
      <c r="J35" s="117"/>
      <c r="K35" s="149">
        <f t="shared" si="2"/>
        <v>53864</v>
      </c>
      <c r="L35" s="117"/>
      <c r="M35" s="117">
        <f t="shared" si="12"/>
        <v>41858</v>
      </c>
      <c r="N35" s="117">
        <f>SUM('3rd Party Deals'!X35)</f>
        <v>11316</v>
      </c>
      <c r="O35" s="117">
        <f>SUM('Spot wENA'!Z35)</f>
        <v>9104</v>
      </c>
      <c r="P35" s="120">
        <f t="shared" si="13"/>
        <v>62278</v>
      </c>
      <c r="Q35" s="117"/>
      <c r="R35" s="120">
        <f t="shared" si="3"/>
        <v>0</v>
      </c>
      <c r="S35" s="117"/>
      <c r="T35" s="117">
        <f t="shared" si="4"/>
        <v>0</v>
      </c>
      <c r="V35" s="117">
        <f t="shared" si="5"/>
        <v>8414</v>
      </c>
      <c r="X35" s="140">
        <v>9.9749999999999996</v>
      </c>
      <c r="Y35" s="140">
        <f t="shared" si="6"/>
        <v>10.23</v>
      </c>
      <c r="AA35" s="174">
        <f t="shared" si="7"/>
        <v>0</v>
      </c>
    </row>
    <row r="36" spans="1:28" s="121" customFormat="1" x14ac:dyDescent="0.25">
      <c r="A36" s="117">
        <f>+A35+1</f>
        <v>31</v>
      </c>
      <c r="B36" s="117">
        <v>98630</v>
      </c>
      <c r="C36" s="117">
        <f t="shared" si="15"/>
        <v>4250</v>
      </c>
      <c r="D36" s="117"/>
      <c r="E36" s="117">
        <v>58708</v>
      </c>
      <c r="F36" s="117">
        <f t="shared" si="14"/>
        <v>57426</v>
      </c>
      <c r="G36" s="117"/>
      <c r="H36" s="117">
        <f>+H35</f>
        <v>140099</v>
      </c>
      <c r="I36" s="117">
        <f>IF(B36-H36&gt;0,+B36-H36,0)</f>
        <v>0</v>
      </c>
      <c r="J36" s="117"/>
      <c r="K36" s="149">
        <f t="shared" si="2"/>
        <v>45454</v>
      </c>
      <c r="L36" s="117"/>
      <c r="M36" s="117">
        <f>+M35</f>
        <v>41858</v>
      </c>
      <c r="N36" s="117">
        <f>SUM('3rd Party Deals'!X36)</f>
        <v>11316</v>
      </c>
      <c r="O36" s="117">
        <f>SUM('Spot wENA'!Z36)</f>
        <v>9104</v>
      </c>
      <c r="P36" s="120">
        <f t="shared" si="13"/>
        <v>62278</v>
      </c>
      <c r="Q36" s="117"/>
      <c r="R36" s="120">
        <f t="shared" si="3"/>
        <v>0</v>
      </c>
      <c r="S36" s="117"/>
      <c r="T36" s="117">
        <f>IF(K36-P36&gt;0,K36-P36,0)</f>
        <v>0</v>
      </c>
      <c r="V36" s="117">
        <f>IF(P36-K36&gt;0,P36-K36,0)</f>
        <v>16824</v>
      </c>
      <c r="X36" s="140">
        <v>9.9749999999999996</v>
      </c>
      <c r="Y36" s="140">
        <f t="shared" si="6"/>
        <v>10.23</v>
      </c>
      <c r="AA36" s="174">
        <f t="shared" si="7"/>
        <v>0</v>
      </c>
    </row>
    <row r="37" spans="1:28" x14ac:dyDescent="0.25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V37" s="68"/>
      <c r="X37" s="139"/>
    </row>
    <row r="38" spans="1:28" x14ac:dyDescent="0.25">
      <c r="A38" s="68"/>
      <c r="B38" s="68">
        <f>SUM(B6:B37)</f>
        <v>2821723</v>
      </c>
      <c r="C38" s="68">
        <f>SUM(C6:C37)</f>
        <v>38250</v>
      </c>
      <c r="D38" s="68"/>
      <c r="E38" s="68">
        <f>SUM(E6:E37)</f>
        <v>1214681</v>
      </c>
      <c r="F38" s="68">
        <f>SUM(F6:F37)</f>
        <v>1188152</v>
      </c>
      <c r="G38" s="68"/>
      <c r="H38" s="68"/>
      <c r="I38" s="68"/>
      <c r="J38" s="68"/>
      <c r="K38" s="68">
        <f>SUM(K6:K37)</f>
        <v>1671821</v>
      </c>
      <c r="L38" s="68"/>
      <c r="M38" s="68">
        <f>SUM(M6:M37)</f>
        <v>1297598</v>
      </c>
      <c r="N38" s="68">
        <f>SUM(N6:N37)</f>
        <v>350796</v>
      </c>
      <c r="O38" s="68">
        <f>SUM(O6:O37)</f>
        <v>-17016</v>
      </c>
      <c r="P38" s="68">
        <f>SUM(P6:P37)</f>
        <v>1631378</v>
      </c>
      <c r="Q38" s="68"/>
      <c r="R38" s="68">
        <f>SUM(R6:R37)</f>
        <v>1458272</v>
      </c>
      <c r="S38" s="68"/>
      <c r="T38" s="68">
        <f>SUM(T6:T37)</f>
        <v>130386</v>
      </c>
      <c r="V38" s="68">
        <f>SUM(V6:V37)</f>
        <v>89943</v>
      </c>
      <c r="X38" s="141"/>
      <c r="AA38" s="172">
        <f>SUM(AA6:AA37)</f>
        <v>1249658.8</v>
      </c>
    </row>
    <row r="39" spans="1:28" x14ac:dyDescent="0.25">
      <c r="AA39" s="175">
        <f>+AA38/T38</f>
        <v>9.5843019956130266</v>
      </c>
      <c r="AB39" s="69" t="s">
        <v>311</v>
      </c>
    </row>
    <row r="42" spans="1:28" x14ac:dyDescent="0.25">
      <c r="E42" s="177">
        <f>+B38</f>
        <v>2821723</v>
      </c>
      <c r="F42" s="69" t="s">
        <v>312</v>
      </c>
    </row>
    <row r="43" spans="1:28" x14ac:dyDescent="0.25">
      <c r="C43" s="176" t="s">
        <v>313</v>
      </c>
      <c r="E43" s="69">
        <v>89943</v>
      </c>
      <c r="F43" s="175">
        <f>+AA39</f>
        <v>9.5843019956130266</v>
      </c>
      <c r="G43" s="143">
        <f>+F43*E43</f>
        <v>862040.87439142249</v>
      </c>
    </row>
    <row r="44" spans="1:28" x14ac:dyDescent="0.25">
      <c r="C44" s="176" t="s">
        <v>314</v>
      </c>
      <c r="E44" s="69">
        <f>+E42-E43</f>
        <v>2731780</v>
      </c>
      <c r="F44" s="175">
        <f>SUM(Pricing!C12)</f>
        <v>6.4451999999999998</v>
      </c>
      <c r="G44" s="143">
        <f>+F44*E44</f>
        <v>17606868.456</v>
      </c>
    </row>
    <row r="45" spans="1:28" ht="13.8" thickBot="1" x14ac:dyDescent="0.3">
      <c r="E45" s="178">
        <f>SUM(E43:E44)</f>
        <v>2821723</v>
      </c>
      <c r="G45" s="179">
        <f>SUM(G43:G44)</f>
        <v>18468909.330391422</v>
      </c>
    </row>
    <row r="46" spans="1:28" ht="13.8" thickTop="1" x14ac:dyDescent="0.25"/>
    <row r="47" spans="1:28" ht="13.8" thickBot="1" x14ac:dyDescent="0.3">
      <c r="G47" s="180">
        <f>+G45/E45</f>
        <v>6.5452595206515385</v>
      </c>
    </row>
    <row r="48" spans="1:28" ht="13.8" thickTop="1" x14ac:dyDescent="0.25">
      <c r="V48" s="143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C12" sqref="C12"/>
    </sheetView>
  </sheetViews>
  <sheetFormatPr defaultColWidth="9.109375" defaultRowHeight="11.4" x14ac:dyDescent="0.2"/>
  <cols>
    <col min="1" max="1" width="15.5546875" style="59" customWidth="1"/>
    <col min="2" max="2" width="9.109375" style="59"/>
    <col min="3" max="3" width="12.44140625" style="59" customWidth="1"/>
    <col min="4" max="4" width="12.109375" style="59" customWidth="1"/>
    <col min="5" max="5" width="11" style="59" customWidth="1"/>
    <col min="6" max="6" width="9.109375" style="59"/>
    <col min="7" max="7" width="15" style="59" customWidth="1"/>
    <col min="8" max="11" width="9.109375" style="59"/>
    <col min="12" max="12" width="14.6640625" style="59" customWidth="1"/>
    <col min="13" max="16384" width="9.109375" style="59"/>
  </cols>
  <sheetData>
    <row r="1" spans="1:14" ht="13.2" x14ac:dyDescent="0.2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3.2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4" ht="13.2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</row>
    <row r="4" spans="1:14" ht="13.2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ht="13.2" x14ac:dyDescent="0.25">
      <c r="A5" s="63" t="s">
        <v>107</v>
      </c>
      <c r="C5" s="59" t="s">
        <v>70</v>
      </c>
      <c r="E5" s="59" t="s">
        <v>165</v>
      </c>
      <c r="F5" s="80"/>
      <c r="G5" s="80"/>
      <c r="H5" s="80"/>
      <c r="I5" s="80"/>
      <c r="J5" s="80"/>
      <c r="K5" s="80"/>
      <c r="L5" s="80"/>
      <c r="M5" s="80"/>
      <c r="N5" s="80"/>
    </row>
    <row r="6" spans="1:14" ht="13.2" x14ac:dyDescent="0.2">
      <c r="A6" s="59" t="s">
        <v>100</v>
      </c>
      <c r="B6" s="59" t="s">
        <v>107</v>
      </c>
      <c r="C6" s="153">
        <v>6.27</v>
      </c>
      <c r="E6" s="61">
        <v>6.27</v>
      </c>
      <c r="F6" s="80"/>
      <c r="G6" s="80" t="s">
        <v>166</v>
      </c>
      <c r="H6" s="80"/>
      <c r="I6" s="61">
        <v>6.27</v>
      </c>
      <c r="J6" s="80"/>
      <c r="K6" s="80"/>
      <c r="L6" s="80"/>
      <c r="M6" s="80"/>
      <c r="N6" s="80"/>
    </row>
    <row r="7" spans="1:14" ht="13.2" x14ac:dyDescent="0.2">
      <c r="A7" s="59" t="s">
        <v>106</v>
      </c>
      <c r="C7" s="61">
        <v>1.2500000000000001E-2</v>
      </c>
      <c r="E7" s="61">
        <v>1.2500000000000001E-2</v>
      </c>
      <c r="F7" s="80"/>
      <c r="G7" s="80"/>
      <c r="H7" s="80"/>
      <c r="I7" s="61">
        <v>0</v>
      </c>
      <c r="J7" s="80"/>
      <c r="K7" s="80"/>
      <c r="L7" s="80"/>
      <c r="M7" s="80"/>
      <c r="N7" s="80"/>
    </row>
    <row r="8" spans="1:14" ht="13.2" x14ac:dyDescent="0.2">
      <c r="A8" s="59" t="s">
        <v>101</v>
      </c>
      <c r="C8" s="61">
        <v>1.3299999999999999E-2</v>
      </c>
      <c r="E8" s="61">
        <v>1.3299999999999999E-2</v>
      </c>
      <c r="F8" s="80"/>
      <c r="G8" s="80" t="s">
        <v>167</v>
      </c>
      <c r="H8" s="80"/>
      <c r="I8" s="61">
        <v>1.5299999999999999E-2</v>
      </c>
      <c r="J8" s="80"/>
      <c r="K8" s="80"/>
      <c r="L8" s="80"/>
      <c r="M8" s="80"/>
      <c r="N8" s="80"/>
    </row>
    <row r="9" spans="1:14" ht="13.2" x14ac:dyDescent="0.2">
      <c r="A9" s="59" t="s">
        <v>102</v>
      </c>
      <c r="C9" s="61">
        <v>9.4000000000000004E-3</v>
      </c>
      <c r="E9" s="61">
        <f>0.0072+0.0022</f>
        <v>9.4000000000000004E-3</v>
      </c>
      <c r="F9" s="80"/>
      <c r="G9" s="80" t="s">
        <v>103</v>
      </c>
      <c r="H9" s="80"/>
      <c r="I9" s="96">
        <v>1.6999999999999999E-3</v>
      </c>
      <c r="J9" s="80"/>
      <c r="K9" s="80"/>
      <c r="L9" s="80"/>
      <c r="M9" s="80"/>
      <c r="N9" s="80"/>
    </row>
    <row r="10" spans="1:14" ht="13.2" x14ac:dyDescent="0.2">
      <c r="A10" s="59" t="s">
        <v>103</v>
      </c>
      <c r="C10" s="96">
        <v>2.1839999999999998E-2</v>
      </c>
      <c r="E10" s="96">
        <v>2.1839999999999998E-2</v>
      </c>
      <c r="F10" s="80"/>
      <c r="G10" s="80"/>
      <c r="H10" s="80"/>
      <c r="I10" s="95">
        <f>ROUND(+I6/(1-I9)+I8,4)-I6</f>
        <v>2.6000000000000689E-2</v>
      </c>
      <c r="J10" s="80"/>
      <c r="K10" s="80"/>
      <c r="L10" s="80"/>
      <c r="M10" s="80"/>
      <c r="N10" s="80"/>
    </row>
    <row r="11" spans="1:14" ht="13.8" thickBot="1" x14ac:dyDescent="0.25">
      <c r="A11" s="59" t="s">
        <v>104</v>
      </c>
      <c r="C11" s="95">
        <f>ROUND(+C6/(1-C10)+(C8+C9),4)-C6</f>
        <v>0.16270000000000007</v>
      </c>
      <c r="E11" s="95">
        <f>ROUND(+E6/(1-E10)+(E8+E9),4)-E6</f>
        <v>0.16270000000000007</v>
      </c>
      <c r="F11" s="80"/>
      <c r="G11" s="80"/>
      <c r="H11" s="80"/>
      <c r="I11" s="91">
        <f>I6+I10</f>
        <v>6.2960000000000003</v>
      </c>
      <c r="J11" s="80"/>
      <c r="K11" s="80"/>
      <c r="L11" s="84"/>
      <c r="M11" s="80"/>
      <c r="N11" s="80"/>
    </row>
    <row r="12" spans="1:14" ht="14.4" thickTop="1" thickBot="1" x14ac:dyDescent="0.25">
      <c r="C12" s="91">
        <f>SUM(C6,C7,C11)</f>
        <v>6.4451999999999998</v>
      </c>
      <c r="D12" s="59" t="s">
        <v>284</v>
      </c>
      <c r="E12" s="95">
        <v>0.11</v>
      </c>
      <c r="F12" s="80"/>
      <c r="G12" s="80"/>
      <c r="H12" s="80"/>
      <c r="I12" s="65"/>
      <c r="J12" s="99"/>
      <c r="K12" s="80"/>
      <c r="L12" s="84"/>
      <c r="M12" s="80"/>
      <c r="N12" s="80"/>
    </row>
    <row r="13" spans="1:14" ht="14.4" thickTop="1" thickBot="1" x14ac:dyDescent="0.25">
      <c r="E13" s="91">
        <f>+E12+E11+E6</f>
        <v>6.5427</v>
      </c>
      <c r="H13" s="80"/>
      <c r="I13" s="98"/>
      <c r="J13" s="99"/>
      <c r="K13" s="80"/>
      <c r="L13" s="84"/>
      <c r="M13" s="80"/>
      <c r="N13" s="80"/>
    </row>
    <row r="14" spans="1:14" ht="13.8" thickTop="1" x14ac:dyDescent="0.2">
      <c r="C14" s="81"/>
      <c r="E14" s="81"/>
      <c r="H14" s="80"/>
      <c r="I14" s="98"/>
      <c r="J14" s="99"/>
      <c r="K14" s="80"/>
      <c r="L14" s="84"/>
      <c r="M14" s="80"/>
      <c r="N14" s="80"/>
    </row>
    <row r="15" spans="1:14" ht="13.2" x14ac:dyDescent="0.2">
      <c r="C15" s="76"/>
      <c r="E15" s="76"/>
      <c r="H15" s="80"/>
      <c r="I15" s="80"/>
      <c r="J15" s="80"/>
      <c r="K15" s="80"/>
      <c r="L15" s="84"/>
      <c r="M15" s="80"/>
      <c r="N15" s="80"/>
    </row>
    <row r="16" spans="1:14" ht="13.2" x14ac:dyDescent="0.2">
      <c r="C16" s="76"/>
      <c r="E16" s="76"/>
      <c r="H16" s="80"/>
      <c r="I16" s="80"/>
      <c r="J16" s="80"/>
      <c r="K16" s="80"/>
      <c r="L16" s="84"/>
      <c r="M16" s="80"/>
      <c r="N16" s="80"/>
    </row>
    <row r="17" spans="1:14" ht="13.2" x14ac:dyDescent="0.25">
      <c r="A17" s="63" t="s">
        <v>181</v>
      </c>
      <c r="C17" s="59" t="s">
        <v>50</v>
      </c>
      <c r="D17" s="64" t="s">
        <v>182</v>
      </c>
      <c r="E17" s="64"/>
      <c r="F17" s="92"/>
      <c r="G17" s="92"/>
      <c r="H17" s="92"/>
      <c r="I17" s="92"/>
      <c r="J17" s="80"/>
      <c r="K17" s="80"/>
      <c r="L17" s="80"/>
      <c r="M17" s="80"/>
      <c r="N17" s="80"/>
    </row>
    <row r="18" spans="1:14" ht="13.2" x14ac:dyDescent="0.2">
      <c r="A18" s="59" t="s">
        <v>100</v>
      </c>
      <c r="B18" s="59" t="s">
        <v>181</v>
      </c>
      <c r="C18" s="153">
        <v>6.01</v>
      </c>
      <c r="D18" s="60">
        <v>1315</v>
      </c>
      <c r="E18" s="64" t="s">
        <v>301</v>
      </c>
      <c r="F18" s="92"/>
      <c r="G18" s="92"/>
      <c r="H18" s="92"/>
      <c r="I18" s="65"/>
      <c r="J18" s="80"/>
      <c r="K18" s="80"/>
      <c r="L18" s="80"/>
      <c r="M18" s="80"/>
      <c r="N18" s="80"/>
    </row>
    <row r="19" spans="1:14" ht="13.2" x14ac:dyDescent="0.2">
      <c r="A19" s="59" t="s">
        <v>106</v>
      </c>
      <c r="C19" s="61">
        <v>0.06</v>
      </c>
      <c r="D19" s="64"/>
      <c r="E19" s="65"/>
      <c r="F19" s="92"/>
      <c r="G19" s="92"/>
      <c r="H19" s="92"/>
      <c r="I19" s="65"/>
      <c r="J19" s="80"/>
      <c r="K19" s="80"/>
      <c r="L19" s="80"/>
      <c r="M19" s="80"/>
      <c r="N19" s="80"/>
    </row>
    <row r="20" spans="1:14" ht="13.2" x14ac:dyDescent="0.2">
      <c r="A20" s="59" t="s">
        <v>101</v>
      </c>
      <c r="C20" s="61">
        <v>1.7000000000000001E-2</v>
      </c>
      <c r="D20" s="64"/>
      <c r="E20" s="65"/>
      <c r="F20" s="92"/>
      <c r="G20" s="92"/>
      <c r="H20" s="92"/>
      <c r="I20" s="65"/>
      <c r="J20" s="80"/>
      <c r="K20" s="80"/>
      <c r="L20" s="80"/>
      <c r="M20" s="80"/>
      <c r="N20" s="80"/>
    </row>
    <row r="21" spans="1:14" ht="13.2" x14ac:dyDescent="0.2">
      <c r="A21" s="59" t="s">
        <v>102</v>
      </c>
      <c r="C21" s="61">
        <v>2.2000000000000001E-3</v>
      </c>
      <c r="D21" s="64"/>
      <c r="E21" s="65"/>
      <c r="F21" s="92"/>
      <c r="G21" s="92"/>
      <c r="H21" s="92"/>
      <c r="I21" s="93"/>
      <c r="J21" s="80"/>
      <c r="K21" s="80"/>
      <c r="L21" s="80"/>
      <c r="M21" s="80"/>
      <c r="N21" s="80"/>
    </row>
    <row r="22" spans="1:14" ht="13.2" x14ac:dyDescent="0.2">
      <c r="A22" s="59" t="s">
        <v>103</v>
      </c>
      <c r="C22" s="96">
        <v>2.8199999999999999E-2</v>
      </c>
      <c r="D22" s="64">
        <f>ROUND(+D18*(1-C22),0)</f>
        <v>1278</v>
      </c>
      <c r="E22" s="93" t="s">
        <v>244</v>
      </c>
      <c r="F22" s="92"/>
      <c r="G22" s="92"/>
      <c r="H22" s="92"/>
      <c r="I22" s="65"/>
      <c r="J22" s="80"/>
      <c r="K22" s="80"/>
      <c r="L22" s="80"/>
      <c r="M22" s="80"/>
      <c r="N22" s="80"/>
    </row>
    <row r="23" spans="1:14" ht="13.2" x14ac:dyDescent="0.2">
      <c r="A23" s="59" t="s">
        <v>104</v>
      </c>
      <c r="C23" s="95">
        <f>ROUND((+C18+C19)/(1-C22)+(C20+C21),4)-C18-C19</f>
        <v>0.19530000000000008</v>
      </c>
      <c r="D23" s="64"/>
      <c r="E23" s="65"/>
      <c r="F23" s="92"/>
      <c r="G23" s="92"/>
      <c r="H23" s="92"/>
      <c r="I23" s="65"/>
      <c r="J23" s="80"/>
      <c r="K23" s="80"/>
      <c r="L23" s="84"/>
      <c r="M23" s="80"/>
      <c r="N23" s="80"/>
    </row>
    <row r="24" spans="1:14" ht="13.8" thickBot="1" x14ac:dyDescent="0.25">
      <c r="C24" s="91">
        <f>SUM(C18,C19,C23)</f>
        <v>6.2652999999999999</v>
      </c>
      <c r="D24" s="64"/>
      <c r="E24" s="65"/>
      <c r="F24" s="92"/>
      <c r="G24" s="92"/>
      <c r="H24" s="92"/>
      <c r="I24" s="65"/>
      <c r="J24" s="80"/>
      <c r="K24" s="80"/>
      <c r="L24" s="84"/>
      <c r="M24" s="80"/>
      <c r="N24" s="80"/>
    </row>
    <row r="25" spans="1:14" ht="13.8" thickTop="1" x14ac:dyDescent="0.2">
      <c r="A25" s="59" t="s">
        <v>168</v>
      </c>
      <c r="D25" s="64"/>
      <c r="E25" s="65"/>
      <c r="F25" s="64"/>
      <c r="G25" s="64"/>
      <c r="H25" s="92"/>
      <c r="I25" s="92"/>
      <c r="J25" s="80"/>
      <c r="K25" s="80"/>
      <c r="L25" s="84"/>
      <c r="M25" s="80"/>
      <c r="N25" s="80"/>
    </row>
    <row r="26" spans="1:14" ht="13.2" x14ac:dyDescent="0.2">
      <c r="C26" s="81"/>
      <c r="E26" s="81"/>
      <c r="H26" s="80"/>
      <c r="I26" s="80"/>
      <c r="J26" s="80"/>
      <c r="K26" s="80"/>
      <c r="L26" s="84"/>
      <c r="M26" s="80"/>
      <c r="N26" s="80"/>
    </row>
    <row r="27" spans="1:14" ht="13.2" x14ac:dyDescent="0.2">
      <c r="A27" s="159" t="s">
        <v>302</v>
      </c>
      <c r="C27" s="76"/>
      <c r="E27" s="76"/>
      <c r="H27" s="80"/>
      <c r="I27" s="80"/>
      <c r="J27" s="80"/>
      <c r="K27" s="80"/>
      <c r="L27" s="84"/>
      <c r="M27" s="80"/>
      <c r="N27" s="80"/>
    </row>
    <row r="28" spans="1:14" ht="13.2" x14ac:dyDescent="0.2">
      <c r="B28" s="59" t="s">
        <v>303</v>
      </c>
      <c r="C28" s="61"/>
      <c r="H28" s="80"/>
      <c r="I28" s="80"/>
      <c r="J28" s="80"/>
      <c r="K28" s="80"/>
      <c r="L28" s="84"/>
      <c r="M28" s="80"/>
      <c r="N28" s="80"/>
    </row>
    <row r="29" spans="1:14" ht="13.2" x14ac:dyDescent="0.2">
      <c r="A29" s="80"/>
      <c r="B29" s="80" t="s">
        <v>304</v>
      </c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</row>
    <row r="30" spans="1:14" ht="13.2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</row>
    <row r="31" spans="1:14" ht="13.2" x14ac:dyDescent="0.2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</row>
    <row r="32" spans="1:14" ht="13.2" x14ac:dyDescent="0.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</row>
    <row r="33" spans="1:14" ht="13.2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</row>
    <row r="34" spans="1:14" ht="13.2" x14ac:dyDescent="0.2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</row>
    <row r="35" spans="1:14" ht="13.2" x14ac:dyDescent="0.2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</row>
    <row r="36" spans="1:14" ht="13.2" x14ac:dyDescent="0.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</row>
    <row r="37" spans="1:14" ht="13.2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</row>
    <row r="38" spans="1:14" ht="13.2" x14ac:dyDescent="0.25">
      <c r="A38" s="63" t="s">
        <v>126</v>
      </c>
      <c r="E38" s="80"/>
      <c r="F38" s="80"/>
      <c r="G38" s="80"/>
      <c r="H38" s="80"/>
      <c r="I38" s="80"/>
      <c r="J38" s="80"/>
      <c r="K38" s="80"/>
      <c r="L38" s="80"/>
      <c r="M38" s="80"/>
      <c r="N38" s="80"/>
    </row>
    <row r="39" spans="1:14" ht="13.2" x14ac:dyDescent="0.2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</row>
    <row r="40" spans="1:14" ht="13.2" x14ac:dyDescent="0.2">
      <c r="A40" s="80"/>
      <c r="B40" s="59" t="s">
        <v>242</v>
      </c>
      <c r="C40" s="81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</row>
    <row r="41" spans="1:14" ht="13.2" x14ac:dyDescent="0.2">
      <c r="A41" s="80"/>
      <c r="C41" s="81" t="s">
        <v>243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1:14" ht="13.2" x14ac:dyDescent="0.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</row>
    <row r="43" spans="1:14" ht="13.2" x14ac:dyDescent="0.2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</row>
    <row r="44" spans="1:14" ht="13.2" x14ac:dyDescent="0.2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</row>
    <row r="45" spans="1:14" ht="13.2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</row>
    <row r="46" spans="1:14" ht="13.2" x14ac:dyDescent="0.25">
      <c r="A46" s="62" t="s">
        <v>32</v>
      </c>
      <c r="G46" s="25"/>
      <c r="H46" s="25"/>
    </row>
    <row r="47" spans="1:14" ht="13.2" x14ac:dyDescent="0.25">
      <c r="D47" s="83"/>
      <c r="F47" s="82"/>
      <c r="G47" s="25"/>
    </row>
    <row r="48" spans="1:14" ht="13.2" x14ac:dyDescent="0.25">
      <c r="K48" s="25"/>
      <c r="L48" s="61"/>
    </row>
    <row r="49" spans="1:14" ht="13.2" x14ac:dyDescent="0.2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</row>
    <row r="50" spans="1:14" x14ac:dyDescent="0.2">
      <c r="A50" s="59" t="s">
        <v>127</v>
      </c>
      <c r="E50" s="64"/>
      <c r="F50" s="64"/>
      <c r="G50" s="64"/>
      <c r="H50" s="64"/>
      <c r="I50" s="64"/>
      <c r="J50" s="64"/>
      <c r="K50" s="64"/>
      <c r="L50" s="64"/>
    </row>
    <row r="51" spans="1:14" ht="13.2" x14ac:dyDescent="0.25">
      <c r="A51" s="59" t="s">
        <v>100</v>
      </c>
      <c r="B51" s="59" t="s">
        <v>92</v>
      </c>
      <c r="C51" s="61">
        <v>4.3600000000000003</v>
      </c>
      <c r="E51" s="64"/>
      <c r="F51" s="64"/>
      <c r="G51" s="65"/>
      <c r="H51" s="64"/>
      <c r="I51" s="64"/>
      <c r="J51" s="64"/>
      <c r="K51" s="65"/>
      <c r="L51" s="34"/>
    </row>
    <row r="52" spans="1:14" ht="13.2" x14ac:dyDescent="0.25">
      <c r="C52" s="61">
        <v>7.4999999999999997E-3</v>
      </c>
      <c r="E52" s="64"/>
      <c r="F52" s="64"/>
      <c r="G52" s="65"/>
      <c r="H52" s="64"/>
      <c r="I52" s="64"/>
      <c r="J52" s="64"/>
      <c r="K52" s="65"/>
      <c r="L52" s="34"/>
    </row>
    <row r="53" spans="1:14" ht="13.2" x14ac:dyDescent="0.25">
      <c r="A53" s="59" t="s">
        <v>101</v>
      </c>
      <c r="B53" s="25"/>
      <c r="C53" s="61">
        <v>1.4E-2</v>
      </c>
      <c r="E53" s="64"/>
      <c r="F53" s="34"/>
      <c r="G53" s="65"/>
      <c r="H53" s="64"/>
      <c r="I53" s="64"/>
      <c r="J53" s="34"/>
      <c r="K53" s="65"/>
      <c r="L53" s="34"/>
    </row>
    <row r="54" spans="1:14" ht="13.2" x14ac:dyDescent="0.25">
      <c r="A54" s="59" t="s">
        <v>102</v>
      </c>
      <c r="B54" s="25"/>
      <c r="C54" s="61">
        <v>2.2499999999999999E-2</v>
      </c>
      <c r="E54" s="64"/>
      <c r="F54" s="34"/>
      <c r="G54" s="65"/>
      <c r="H54" s="64"/>
      <c r="I54" s="64"/>
      <c r="J54" s="34"/>
      <c r="K54" s="65"/>
      <c r="L54" s="34"/>
    </row>
    <row r="55" spans="1:14" ht="13.2" x14ac:dyDescent="0.25">
      <c r="A55" s="59" t="s">
        <v>103</v>
      </c>
      <c r="B55" s="79"/>
      <c r="C55" s="94">
        <v>2.35E-2</v>
      </c>
      <c r="E55" s="64"/>
      <c r="F55" s="77"/>
      <c r="G55" s="66"/>
      <c r="H55" s="64"/>
      <c r="I55" s="64"/>
      <c r="J55" s="77"/>
      <c r="K55" s="66"/>
      <c r="L55" s="34"/>
    </row>
    <row r="56" spans="1:14" ht="13.2" x14ac:dyDescent="0.25">
      <c r="A56" s="59" t="s">
        <v>104</v>
      </c>
      <c r="C56" s="95">
        <f>ROUND((+C51+C52)/(1-C55)+(C53+C54),4)-C51-C52</f>
        <v>0.14159999999999978</v>
      </c>
      <c r="E56" s="64"/>
      <c r="F56" s="64"/>
      <c r="G56" s="65"/>
      <c r="H56" s="64"/>
      <c r="I56" s="64"/>
      <c r="J56" s="64"/>
      <c r="K56" s="65"/>
      <c r="L56" s="34"/>
    </row>
    <row r="57" spans="1:14" ht="13.8" thickBot="1" x14ac:dyDescent="0.3">
      <c r="C57" s="91">
        <f>SUM(C56,C51:C52)</f>
        <v>4.5091000000000001</v>
      </c>
      <c r="D57" s="59" t="s">
        <v>155</v>
      </c>
      <c r="E57" s="64"/>
      <c r="F57" s="64"/>
      <c r="G57" s="64"/>
      <c r="H57" s="64"/>
      <c r="I57" s="64"/>
      <c r="J57" s="64"/>
      <c r="K57" s="64"/>
      <c r="L57" s="34"/>
      <c r="M57" s="60"/>
      <c r="N57" s="61"/>
    </row>
    <row r="58" spans="1:14" ht="13.8" thickTop="1" x14ac:dyDescent="0.25">
      <c r="B58" s="25"/>
      <c r="C58" s="61"/>
      <c r="G58" s="60"/>
      <c r="H58" s="78"/>
    </row>
    <row r="59" spans="1:14" ht="13.2" x14ac:dyDescent="0.2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</row>
    <row r="60" spans="1:14" ht="13.2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</row>
    <row r="61" spans="1:14" x14ac:dyDescent="0.2">
      <c r="A61" s="59" t="s">
        <v>128</v>
      </c>
      <c r="I61" s="59" t="s">
        <v>129</v>
      </c>
    </row>
    <row r="62" spans="1:14" ht="13.2" x14ac:dyDescent="0.25">
      <c r="A62" s="59" t="s">
        <v>100</v>
      </c>
      <c r="B62" s="59" t="s">
        <v>130</v>
      </c>
      <c r="C62" s="61">
        <v>4.37</v>
      </c>
      <c r="I62" s="59" t="s">
        <v>100</v>
      </c>
      <c r="J62" s="59" t="s">
        <v>130</v>
      </c>
      <c r="K62" s="61">
        <v>4.37</v>
      </c>
      <c r="L62" s="25"/>
    </row>
    <row r="63" spans="1:14" ht="13.2" x14ac:dyDescent="0.25">
      <c r="A63" s="59" t="s">
        <v>106</v>
      </c>
      <c r="C63" s="61">
        <v>1.7500000000000002E-2</v>
      </c>
      <c r="K63" s="61">
        <v>1.7500000000000002E-2</v>
      </c>
      <c r="L63" s="25"/>
    </row>
    <row r="64" spans="1:14" ht="13.2" x14ac:dyDescent="0.25">
      <c r="A64" s="59" t="s">
        <v>101</v>
      </c>
      <c r="B64" s="25"/>
      <c r="C64" s="61">
        <v>1.15E-2</v>
      </c>
      <c r="I64" s="59" t="s">
        <v>101</v>
      </c>
      <c r="J64" s="25"/>
      <c r="K64" s="61">
        <v>2.3E-3</v>
      </c>
      <c r="L64" s="25"/>
    </row>
    <row r="65" spans="1:14" ht="13.2" x14ac:dyDescent="0.25">
      <c r="A65" s="59" t="s">
        <v>102</v>
      </c>
      <c r="B65" s="25"/>
      <c r="C65" s="61">
        <v>9.4000000000000004E-3</v>
      </c>
      <c r="D65" s="59" t="s">
        <v>131</v>
      </c>
      <c r="I65" s="59" t="s">
        <v>102</v>
      </c>
      <c r="J65" s="25"/>
      <c r="K65" s="61">
        <v>9.4000000000000004E-3</v>
      </c>
      <c r="L65" s="59" t="s">
        <v>131</v>
      </c>
    </row>
    <row r="66" spans="1:14" ht="13.2" x14ac:dyDescent="0.25">
      <c r="A66" s="59" t="s">
        <v>103</v>
      </c>
      <c r="B66" s="79"/>
      <c r="C66" s="94">
        <v>1.9E-2</v>
      </c>
      <c r="I66" s="59" t="s">
        <v>103</v>
      </c>
      <c r="J66" s="79"/>
      <c r="K66" s="94">
        <v>1.9E-2</v>
      </c>
      <c r="L66" s="25"/>
    </row>
    <row r="67" spans="1:14" ht="13.2" x14ac:dyDescent="0.25">
      <c r="A67" s="59" t="s">
        <v>104</v>
      </c>
      <c r="C67" s="95">
        <f>ROUND((+C62+C63)/(1-C66)+(C64+C65),4)-C62-C63</f>
        <v>0.10590000000000017</v>
      </c>
      <c r="I67" s="59" t="s">
        <v>104</v>
      </c>
      <c r="K67" s="95">
        <f>ROUND((+K62+K63)/(1-K66)+(K64+K65),4)-K62-K63</f>
        <v>9.67000000000003E-2</v>
      </c>
      <c r="L67" s="25"/>
    </row>
    <row r="68" spans="1:14" ht="13.8" thickBot="1" x14ac:dyDescent="0.3">
      <c r="A68" s="59" t="s">
        <v>105</v>
      </c>
      <c r="C68" s="91">
        <f>SUM(C67,C62:C63)</f>
        <v>4.4934000000000003</v>
      </c>
      <c r="D68" s="59" t="s">
        <v>156</v>
      </c>
      <c r="I68" s="64" t="s">
        <v>105</v>
      </c>
      <c r="J68" s="64"/>
      <c r="K68" s="91">
        <f>SUM(K67,K62:K63)</f>
        <v>4.4842000000000004</v>
      </c>
      <c r="L68" s="25" t="s">
        <v>139</v>
      </c>
      <c r="M68" s="60"/>
      <c r="N68" s="61"/>
    </row>
    <row r="69" spans="1:14" ht="13.8" thickTop="1" x14ac:dyDescent="0.25">
      <c r="B69" s="25"/>
      <c r="C69" s="61"/>
      <c r="G69" s="60"/>
      <c r="H69" s="78"/>
    </row>
    <row r="70" spans="1:14" ht="13.2" x14ac:dyDescent="0.2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</row>
    <row r="71" spans="1:14" x14ac:dyDescent="0.2">
      <c r="A71" s="59" t="s">
        <v>132</v>
      </c>
    </row>
    <row r="72" spans="1:14" x14ac:dyDescent="0.2">
      <c r="A72" s="59" t="s">
        <v>100</v>
      </c>
      <c r="B72" s="59" t="s">
        <v>130</v>
      </c>
      <c r="C72" s="61">
        <v>4.37</v>
      </c>
      <c r="D72" s="59" t="s">
        <v>133</v>
      </c>
    </row>
    <row r="73" spans="1:14" ht="13.2" x14ac:dyDescent="0.25">
      <c r="A73" s="59" t="s">
        <v>101</v>
      </c>
      <c r="B73" s="25"/>
      <c r="C73" s="61">
        <v>2.0299999999999999E-2</v>
      </c>
    </row>
    <row r="74" spans="1:14" ht="13.2" x14ac:dyDescent="0.25">
      <c r="A74" s="59" t="s">
        <v>102</v>
      </c>
      <c r="B74" s="25"/>
      <c r="C74" s="61">
        <v>2.2499999999999999E-2</v>
      </c>
    </row>
    <row r="75" spans="1:14" x14ac:dyDescent="0.2">
      <c r="A75" s="59" t="s">
        <v>103</v>
      </c>
      <c r="B75" s="79"/>
      <c r="C75" s="94">
        <v>3.4299999999999997E-2</v>
      </c>
    </row>
    <row r="76" spans="1:14" x14ac:dyDescent="0.2">
      <c r="A76" s="59" t="s">
        <v>104</v>
      </c>
      <c r="C76" s="95">
        <v>0.14280000000000026</v>
      </c>
    </row>
    <row r="77" spans="1:14" x14ac:dyDescent="0.2">
      <c r="A77" s="59" t="s">
        <v>134</v>
      </c>
      <c r="C77" s="97">
        <v>0.27</v>
      </c>
    </row>
    <row r="78" spans="1:14" ht="12" thickBot="1" x14ac:dyDescent="0.25">
      <c r="A78" s="59" t="s">
        <v>105</v>
      </c>
      <c r="C78" s="91">
        <v>3.0428000000000002</v>
      </c>
      <c r="D78" s="59" t="s">
        <v>135</v>
      </c>
    </row>
    <row r="79" spans="1:14" ht="12" thickTop="1" x14ac:dyDescent="0.2">
      <c r="D79" s="59" t="s">
        <v>136</v>
      </c>
    </row>
    <row r="80" spans="1:14" x14ac:dyDescent="0.2">
      <c r="D80" s="59" t="s">
        <v>137</v>
      </c>
    </row>
    <row r="84" spans="1:4" x14ac:dyDescent="0.2">
      <c r="A84" s="59" t="s">
        <v>169</v>
      </c>
    </row>
    <row r="85" spans="1:4" x14ac:dyDescent="0.2">
      <c r="A85" s="59" t="s">
        <v>100</v>
      </c>
      <c r="B85" s="59" t="s">
        <v>92</v>
      </c>
      <c r="C85" s="61">
        <v>4.3600000000000003</v>
      </c>
    </row>
    <row r="86" spans="1:4" x14ac:dyDescent="0.2">
      <c r="C86" s="61">
        <v>7.4999999999999997E-3</v>
      </c>
    </row>
    <row r="87" spans="1:4" ht="13.2" x14ac:dyDescent="0.25">
      <c r="A87" s="59" t="s">
        <v>101</v>
      </c>
      <c r="B87" s="25"/>
      <c r="C87" s="61">
        <v>2.2800000000000001E-2</v>
      </c>
    </row>
    <row r="88" spans="1:4" ht="13.2" x14ac:dyDescent="0.25">
      <c r="A88" s="59" t="s">
        <v>102</v>
      </c>
      <c r="B88" s="25"/>
      <c r="C88" s="61">
        <v>2.2499999999999999E-2</v>
      </c>
    </row>
    <row r="89" spans="1:4" x14ac:dyDescent="0.2">
      <c r="A89" s="59" t="s">
        <v>103</v>
      </c>
      <c r="B89" s="79"/>
      <c r="C89" s="94">
        <v>3.8800000000000001E-2</v>
      </c>
    </row>
    <row r="90" spans="1:4" x14ac:dyDescent="0.2">
      <c r="A90" s="59" t="s">
        <v>104</v>
      </c>
      <c r="C90" s="95">
        <f>ROUND((+C85+C86)/(1-C89)+(C87+C88),4)-C85-C86</f>
        <v>0.22159999999999985</v>
      </c>
    </row>
    <row r="91" spans="1:4" ht="12" thickBot="1" x14ac:dyDescent="0.25">
      <c r="A91" s="59" t="s">
        <v>105</v>
      </c>
      <c r="C91" s="91">
        <f>SUM(C90,C85:C86)</f>
        <v>4.5891000000000002</v>
      </c>
      <c r="D91" s="59" t="s">
        <v>170</v>
      </c>
    </row>
    <row r="92" spans="1:4" ht="12" thickTop="1" x14ac:dyDescent="0.2"/>
    <row r="98" spans="1:4" ht="12" x14ac:dyDescent="0.25">
      <c r="A98" s="63" t="s">
        <v>84</v>
      </c>
    </row>
    <row r="99" spans="1:4" x14ac:dyDescent="0.2">
      <c r="A99" s="59" t="s">
        <v>100</v>
      </c>
      <c r="B99" s="59" t="s">
        <v>171</v>
      </c>
      <c r="C99" s="61">
        <v>4.33</v>
      </c>
    </row>
    <row r="100" spans="1:4" x14ac:dyDescent="0.2">
      <c r="A100" s="59" t="s">
        <v>106</v>
      </c>
      <c r="C100" s="61">
        <v>-0.01</v>
      </c>
    </row>
    <row r="101" spans="1:4" x14ac:dyDescent="0.2">
      <c r="A101" s="59" t="s">
        <v>101</v>
      </c>
      <c r="C101" s="61">
        <v>3.2300000000000002E-2</v>
      </c>
    </row>
    <row r="102" spans="1:4" x14ac:dyDescent="0.2">
      <c r="A102" s="59" t="s">
        <v>102</v>
      </c>
      <c r="C102" s="61">
        <v>9.4000000000000004E-3</v>
      </c>
    </row>
    <row r="103" spans="1:4" x14ac:dyDescent="0.2">
      <c r="A103" s="59" t="s">
        <v>103</v>
      </c>
      <c r="C103" s="94">
        <v>2.6800000000000001E-2</v>
      </c>
    </row>
    <row r="104" spans="1:4" x14ac:dyDescent="0.2">
      <c r="A104" s="59" t="s">
        <v>104</v>
      </c>
      <c r="C104" s="95">
        <f>ROUND((+C99+C100)/(1-C103)+(C101+C102),4)-C99-C100</f>
        <v>0.16069999999999962</v>
      </c>
    </row>
    <row r="105" spans="1:4" ht="12" thickBot="1" x14ac:dyDescent="0.25">
      <c r="A105" s="59" t="s">
        <v>105</v>
      </c>
      <c r="C105" s="91">
        <f>SUM(C104,C99:C100)</f>
        <v>4.4806999999999997</v>
      </c>
      <c r="D105" s="59" t="s">
        <v>33</v>
      </c>
    </row>
    <row r="106" spans="1:4" ht="12" thickTop="1" x14ac:dyDescent="0.2"/>
    <row r="108" spans="1:4" ht="12" x14ac:dyDescent="0.25">
      <c r="A108" s="63" t="s">
        <v>148</v>
      </c>
    </row>
    <row r="109" spans="1:4" x14ac:dyDescent="0.2">
      <c r="A109" s="59" t="s">
        <v>100</v>
      </c>
      <c r="B109" s="59" t="s">
        <v>172</v>
      </c>
      <c r="C109" s="61">
        <v>4.3499999999999996</v>
      </c>
    </row>
    <row r="110" spans="1:4" x14ac:dyDescent="0.2">
      <c r="A110" s="59" t="s">
        <v>106</v>
      </c>
      <c r="C110" s="61">
        <v>7.4999999999999997E-3</v>
      </c>
    </row>
    <row r="111" spans="1:4" x14ac:dyDescent="0.2">
      <c r="A111" s="59" t="s">
        <v>101</v>
      </c>
      <c r="C111" s="61">
        <v>2.1000000000000001E-2</v>
      </c>
    </row>
    <row r="112" spans="1:4" x14ac:dyDescent="0.2">
      <c r="A112" s="59" t="s">
        <v>102</v>
      </c>
      <c r="C112" s="61">
        <f>0.0022+0.0072</f>
        <v>9.4000000000000004E-3</v>
      </c>
    </row>
    <row r="113" spans="1:4" x14ac:dyDescent="0.2">
      <c r="A113" s="59" t="s">
        <v>103</v>
      </c>
      <c r="C113" s="94">
        <v>2.5999999999999999E-2</v>
      </c>
    </row>
    <row r="114" spans="1:4" x14ac:dyDescent="0.2">
      <c r="A114" s="59" t="s">
        <v>104</v>
      </c>
      <c r="C114" s="95">
        <f>ROUND((+C109+C110)/(1-C113)-(C109+C110)+C111+C112,4)</f>
        <v>0.1467</v>
      </c>
    </row>
    <row r="115" spans="1:4" ht="12" thickBot="1" x14ac:dyDescent="0.25">
      <c r="A115" s="59" t="s">
        <v>105</v>
      </c>
      <c r="C115" s="91">
        <f>SUM(C114,C109:C110)</f>
        <v>4.5042</v>
      </c>
      <c r="D115" s="59" t="s">
        <v>173</v>
      </c>
    </row>
    <row r="116" spans="1:4" ht="12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93"/>
  <sheetViews>
    <sheetView topLeftCell="E1" workbookViewId="0">
      <selection activeCell="T87" sqref="T87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4" style="27" customWidth="1"/>
    <col min="9" max="9" width="10.6640625" style="25" customWidth="1"/>
    <col min="10" max="10" width="7.664062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6640625" style="25" customWidth="1"/>
    <col min="18" max="18" width="9.4414062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0" t="s">
        <v>267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5">
      <c r="B2" s="1" t="s">
        <v>53</v>
      </c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5">
      <c r="B3" s="1" t="s">
        <v>54</v>
      </c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5">
      <c r="B5" s="1" t="s">
        <v>60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5">
      <c r="B6" s="1"/>
      <c r="C6" s="3" t="s">
        <v>111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5">
      <c r="B11" s="16" t="s">
        <v>34</v>
      </c>
      <c r="C11" s="17" t="s">
        <v>35</v>
      </c>
      <c r="D11" s="17" t="s">
        <v>36</v>
      </c>
      <c r="E11" s="18" t="s">
        <v>37</v>
      </c>
      <c r="F11" s="18"/>
      <c r="G11" s="16" t="s">
        <v>38</v>
      </c>
      <c r="H11" s="16" t="s">
        <v>39</v>
      </c>
      <c r="I11" s="17" t="s">
        <v>66</v>
      </c>
      <c r="J11" s="19" t="s">
        <v>40</v>
      </c>
      <c r="K11" s="17" t="s">
        <v>41</v>
      </c>
      <c r="L11" s="17" t="s">
        <v>42</v>
      </c>
      <c r="M11" s="17" t="s">
        <v>43</v>
      </c>
      <c r="N11" s="17" t="s">
        <v>44</v>
      </c>
      <c r="O11" s="42" t="s">
        <v>45</v>
      </c>
      <c r="P11" s="17" t="s">
        <v>46</v>
      </c>
      <c r="Q11" s="20" t="s">
        <v>108</v>
      </c>
      <c r="R11" s="17" t="s">
        <v>47</v>
      </c>
      <c r="S11" s="16" t="s">
        <v>48</v>
      </c>
      <c r="T11" s="21" t="s">
        <v>65</v>
      </c>
      <c r="U11" s="21" t="s">
        <v>64</v>
      </c>
      <c r="V11" s="52" t="s">
        <v>109</v>
      </c>
      <c r="W11" s="56" t="e">
        <f>+#REF!</f>
        <v>#REF!</v>
      </c>
      <c r="X11" s="36"/>
      <c r="Y11" s="36"/>
    </row>
    <row r="12" spans="2:25" s="112" customFormat="1" x14ac:dyDescent="0.25">
      <c r="B12" s="103" t="s">
        <v>110</v>
      </c>
      <c r="C12" s="104" t="s">
        <v>56</v>
      </c>
      <c r="D12" s="104" t="s">
        <v>63</v>
      </c>
      <c r="E12" s="105">
        <v>36557</v>
      </c>
      <c r="F12" s="105">
        <v>36922</v>
      </c>
      <c r="G12" s="103" t="s">
        <v>57</v>
      </c>
      <c r="H12" s="103" t="s">
        <v>51</v>
      </c>
      <c r="I12" s="104" t="s">
        <v>82</v>
      </c>
      <c r="J12" s="102">
        <f t="shared" ref="J12:J24" si="0">3.145/J$1</f>
        <v>0.10145161290322581</v>
      </c>
      <c r="K12" s="106"/>
      <c r="L12" s="106"/>
      <c r="M12" s="106"/>
      <c r="N12" s="106"/>
      <c r="O12" s="107"/>
      <c r="P12" s="106"/>
      <c r="Q12" s="108">
        <v>66283</v>
      </c>
      <c r="R12" s="104">
        <v>5</v>
      </c>
      <c r="S12" s="103" t="s">
        <v>297</v>
      </c>
      <c r="T12" s="128">
        <f>+J12*R12*31</f>
        <v>15.725000000000001</v>
      </c>
      <c r="U12" s="110"/>
      <c r="V12" s="123">
        <v>156674</v>
      </c>
      <c r="W12" s="103"/>
      <c r="X12" s="111"/>
      <c r="Y12" s="111"/>
    </row>
    <row r="13" spans="2:25" s="112" customFormat="1" x14ac:dyDescent="0.25">
      <c r="B13" s="103" t="s">
        <v>110</v>
      </c>
      <c r="C13" s="104" t="s">
        <v>56</v>
      </c>
      <c r="D13" s="104" t="s">
        <v>63</v>
      </c>
      <c r="E13" s="105">
        <v>36617</v>
      </c>
      <c r="F13" s="105">
        <v>36981</v>
      </c>
      <c r="G13" s="103" t="s">
        <v>57</v>
      </c>
      <c r="H13" s="103" t="s">
        <v>51</v>
      </c>
      <c r="I13" s="104" t="s">
        <v>82</v>
      </c>
      <c r="J13" s="102">
        <f t="shared" si="0"/>
        <v>0.10145161290322581</v>
      </c>
      <c r="K13" s="106"/>
      <c r="L13" s="106"/>
      <c r="M13" s="106"/>
      <c r="N13" s="106"/>
      <c r="O13" s="107"/>
      <c r="P13" s="106"/>
      <c r="Q13" s="108">
        <v>66941</v>
      </c>
      <c r="R13" s="104">
        <v>53</v>
      </c>
      <c r="S13" s="103"/>
      <c r="T13" s="128">
        <f>+J13*R13*31</f>
        <v>166.685</v>
      </c>
      <c r="U13" s="110"/>
      <c r="V13" s="123">
        <v>228122</v>
      </c>
      <c r="W13" s="103"/>
      <c r="X13" s="111"/>
      <c r="Y13" s="111"/>
    </row>
    <row r="14" spans="2:25" s="112" customFormat="1" x14ac:dyDescent="0.25">
      <c r="B14" s="103" t="s">
        <v>110</v>
      </c>
      <c r="C14" s="104" t="s">
        <v>56</v>
      </c>
      <c r="D14" s="104" t="s">
        <v>83</v>
      </c>
      <c r="E14" s="105">
        <v>36647</v>
      </c>
      <c r="F14" s="105">
        <v>37011</v>
      </c>
      <c r="G14" s="103" t="s">
        <v>57</v>
      </c>
      <c r="H14" s="103" t="s">
        <v>51</v>
      </c>
      <c r="I14" s="104" t="s">
        <v>82</v>
      </c>
      <c r="J14" s="102">
        <f t="shared" si="0"/>
        <v>0.10145161290322581</v>
      </c>
      <c r="K14" s="106"/>
      <c r="L14" s="106"/>
      <c r="M14" s="106"/>
      <c r="N14" s="106"/>
      <c r="O14" s="107"/>
      <c r="P14" s="106"/>
      <c r="Q14" s="108">
        <v>68281</v>
      </c>
      <c r="R14" s="104">
        <v>21</v>
      </c>
      <c r="S14" s="103" t="s">
        <v>160</v>
      </c>
      <c r="T14" s="110">
        <f>+R14*J14*$J$1</f>
        <v>66.045000000000002</v>
      </c>
      <c r="U14" s="110"/>
      <c r="V14" s="123">
        <v>256413</v>
      </c>
      <c r="W14" s="103"/>
      <c r="X14" s="111"/>
      <c r="Y14" s="111"/>
    </row>
    <row r="15" spans="2:25" s="112" customFormat="1" x14ac:dyDescent="0.25">
      <c r="B15" s="103" t="s">
        <v>110</v>
      </c>
      <c r="C15" s="104" t="s">
        <v>56</v>
      </c>
      <c r="D15" s="104" t="s">
        <v>63</v>
      </c>
      <c r="E15" s="105">
        <v>36656</v>
      </c>
      <c r="F15" s="105">
        <v>36950</v>
      </c>
      <c r="G15" s="103" t="s">
        <v>57</v>
      </c>
      <c r="H15" s="103" t="s">
        <v>51</v>
      </c>
      <c r="I15" s="104" t="s">
        <v>82</v>
      </c>
      <c r="J15" s="102">
        <f t="shared" si="0"/>
        <v>0.10145161290322581</v>
      </c>
      <c r="K15" s="106"/>
      <c r="L15" s="106"/>
      <c r="M15" s="106"/>
      <c r="N15" s="106"/>
      <c r="O15" s="107"/>
      <c r="P15" s="106"/>
      <c r="Q15" s="108">
        <v>68309</v>
      </c>
      <c r="R15" s="104">
        <v>9</v>
      </c>
      <c r="S15" s="103"/>
      <c r="T15" s="110">
        <f>+R15*J15*$J$1</f>
        <v>28.305</v>
      </c>
      <c r="U15" s="110"/>
      <c r="V15" s="123">
        <v>262090</v>
      </c>
      <c r="W15" s="103" t="s">
        <v>119</v>
      </c>
      <c r="X15" s="111"/>
      <c r="Y15" s="111"/>
    </row>
    <row r="16" spans="2:25" s="112" customFormat="1" x14ac:dyDescent="0.25">
      <c r="B16" s="103" t="s">
        <v>110</v>
      </c>
      <c r="C16" s="104" t="s">
        <v>56</v>
      </c>
      <c r="D16" s="104" t="s">
        <v>83</v>
      </c>
      <c r="E16" s="105">
        <v>36678</v>
      </c>
      <c r="F16" s="105">
        <v>37042</v>
      </c>
      <c r="G16" s="103" t="s">
        <v>57</v>
      </c>
      <c r="H16" s="103" t="s">
        <v>51</v>
      </c>
      <c r="I16" s="104" t="s">
        <v>82</v>
      </c>
      <c r="J16" s="102">
        <f t="shared" si="0"/>
        <v>0.10145161290322581</v>
      </c>
      <c r="K16" s="106">
        <v>1.32E-2</v>
      </c>
      <c r="L16" s="106">
        <v>2.2000000000000001E-3</v>
      </c>
      <c r="M16" s="106">
        <v>0</v>
      </c>
      <c r="N16" s="106">
        <v>0</v>
      </c>
      <c r="O16" s="107">
        <v>2.1160000000000002E-2</v>
      </c>
      <c r="P16" s="106">
        <f>SUM(J16:N16)</f>
        <v>0.11685161290322581</v>
      </c>
      <c r="Q16" s="108">
        <v>68360</v>
      </c>
      <c r="R16" s="104">
        <v>291</v>
      </c>
      <c r="S16" s="103"/>
      <c r="T16" s="110">
        <f>J16*J$1*R16</f>
        <v>915.19500000000005</v>
      </c>
      <c r="U16" s="110"/>
      <c r="V16" s="123">
        <v>271311</v>
      </c>
      <c r="W16" s="103"/>
      <c r="X16" s="111"/>
      <c r="Y16" s="111"/>
    </row>
    <row r="17" spans="2:25" s="112" customFormat="1" x14ac:dyDescent="0.25">
      <c r="B17" s="103" t="s">
        <v>110</v>
      </c>
      <c r="C17" s="104" t="s">
        <v>56</v>
      </c>
      <c r="D17" s="104" t="s">
        <v>63</v>
      </c>
      <c r="E17" s="105">
        <v>36678</v>
      </c>
      <c r="F17" s="105">
        <v>37042</v>
      </c>
      <c r="G17" s="103" t="s">
        <v>57</v>
      </c>
      <c r="H17" s="103" t="s">
        <v>51</v>
      </c>
      <c r="I17" s="104" t="s">
        <v>82</v>
      </c>
      <c r="J17" s="102">
        <f t="shared" si="0"/>
        <v>0.10145161290322581</v>
      </c>
      <c r="K17" s="106">
        <v>1.32E-2</v>
      </c>
      <c r="L17" s="106">
        <v>2.2000000000000001E-3</v>
      </c>
      <c r="M17" s="106">
        <v>0</v>
      </c>
      <c r="N17" s="106">
        <v>0</v>
      </c>
      <c r="O17" s="107">
        <v>2.1160000000000002E-2</v>
      </c>
      <c r="P17" s="106">
        <f>SUM(J17:N17)</f>
        <v>0.11685161290322581</v>
      </c>
      <c r="Q17" s="108">
        <v>68385</v>
      </c>
      <c r="R17" s="104">
        <v>223</v>
      </c>
      <c r="S17" s="103"/>
      <c r="T17" s="110">
        <f>J17*J$1*R17</f>
        <v>701.33500000000004</v>
      </c>
      <c r="U17" s="110"/>
      <c r="V17" s="123">
        <v>280550</v>
      </c>
      <c r="W17" s="103"/>
      <c r="X17" s="111"/>
      <c r="Y17" s="111"/>
    </row>
    <row r="18" spans="2:25" s="112" customFormat="1" x14ac:dyDescent="0.25">
      <c r="B18" s="103" t="s">
        <v>110</v>
      </c>
      <c r="C18" s="104" t="s">
        <v>56</v>
      </c>
      <c r="D18" s="104" t="s">
        <v>83</v>
      </c>
      <c r="E18" s="105">
        <v>36708</v>
      </c>
      <c r="F18" s="105">
        <v>37072</v>
      </c>
      <c r="G18" s="103" t="s">
        <v>57</v>
      </c>
      <c r="H18" s="103" t="s">
        <v>51</v>
      </c>
      <c r="I18" s="104" t="s">
        <v>82</v>
      </c>
      <c r="J18" s="102">
        <f t="shared" si="0"/>
        <v>0.10145161290322581</v>
      </c>
      <c r="K18" s="106">
        <v>1.32E-2</v>
      </c>
      <c r="L18" s="106">
        <v>2.2000000000000001E-3</v>
      </c>
      <c r="M18" s="106">
        <v>0</v>
      </c>
      <c r="N18" s="106">
        <v>0</v>
      </c>
      <c r="O18" s="107">
        <v>2.1160000000000002E-2</v>
      </c>
      <c r="P18" s="106">
        <f>SUM(J18:N18)</f>
        <v>0.11685161290322581</v>
      </c>
      <c r="Q18" s="108">
        <v>68615</v>
      </c>
      <c r="R18" s="104">
        <v>920</v>
      </c>
      <c r="S18" s="103"/>
      <c r="T18" s="110">
        <f>J18*J$1*R18</f>
        <v>2893.4</v>
      </c>
      <c r="U18" s="110"/>
      <c r="V18" s="123">
        <v>309873</v>
      </c>
      <c r="W18" s="103"/>
      <c r="X18" s="111"/>
      <c r="Y18" s="111"/>
    </row>
    <row r="19" spans="2:25" s="112" customFormat="1" x14ac:dyDescent="0.25">
      <c r="B19" s="103" t="s">
        <v>110</v>
      </c>
      <c r="C19" s="104" t="s">
        <v>56</v>
      </c>
      <c r="D19" s="104" t="s">
        <v>83</v>
      </c>
      <c r="E19" s="105">
        <v>36708</v>
      </c>
      <c r="F19" s="105" t="s">
        <v>202</v>
      </c>
      <c r="G19" s="103" t="s">
        <v>57</v>
      </c>
      <c r="H19" s="103" t="s">
        <v>51</v>
      </c>
      <c r="I19" s="104" t="s">
        <v>82</v>
      </c>
      <c r="J19" s="102">
        <f t="shared" si="0"/>
        <v>0.10145161290322581</v>
      </c>
      <c r="K19" s="106"/>
      <c r="L19" s="106"/>
      <c r="M19" s="106"/>
      <c r="N19" s="106"/>
      <c r="O19" s="107"/>
      <c r="P19" s="106"/>
      <c r="Q19" s="108">
        <v>68634</v>
      </c>
      <c r="R19" s="104">
        <v>1</v>
      </c>
      <c r="S19" s="103"/>
      <c r="T19" s="110">
        <f>J19*J$1*R19</f>
        <v>3.145</v>
      </c>
      <c r="U19" s="110"/>
      <c r="V19" s="123">
        <v>312338</v>
      </c>
      <c r="W19" s="103"/>
      <c r="X19" s="111"/>
      <c r="Y19" s="111"/>
    </row>
    <row r="20" spans="2:25" s="112" customFormat="1" x14ac:dyDescent="0.25">
      <c r="B20" s="103" t="s">
        <v>110</v>
      </c>
      <c r="C20" s="104" t="s">
        <v>56</v>
      </c>
      <c r="D20" s="104" t="s">
        <v>63</v>
      </c>
      <c r="E20" s="105">
        <v>36739</v>
      </c>
      <c r="F20" s="105">
        <v>37103</v>
      </c>
      <c r="G20" s="103" t="s">
        <v>57</v>
      </c>
      <c r="H20" s="103" t="s">
        <v>51</v>
      </c>
      <c r="I20" s="104" t="s">
        <v>82</v>
      </c>
      <c r="J20" s="102">
        <f t="shared" si="0"/>
        <v>0.10145161290322581</v>
      </c>
      <c r="K20" s="106"/>
      <c r="L20" s="106"/>
      <c r="M20" s="106"/>
      <c r="N20" s="106"/>
      <c r="O20" s="107"/>
      <c r="P20" s="106"/>
      <c r="Q20" s="108">
        <v>68927</v>
      </c>
      <c r="R20" s="104">
        <v>4</v>
      </c>
      <c r="S20" s="103" t="s">
        <v>1</v>
      </c>
      <c r="T20" s="110">
        <f>+R20*J20*$J$1</f>
        <v>12.58</v>
      </c>
      <c r="U20" s="110"/>
      <c r="V20" s="123">
        <v>345112</v>
      </c>
      <c r="W20" s="103"/>
      <c r="X20" s="111"/>
      <c r="Y20" s="111"/>
    </row>
    <row r="21" spans="2:25" s="112" customFormat="1" x14ac:dyDescent="0.25">
      <c r="B21" s="103" t="s">
        <v>110</v>
      </c>
      <c r="C21" s="104" t="s">
        <v>56</v>
      </c>
      <c r="D21" s="104" t="s">
        <v>63</v>
      </c>
      <c r="E21" s="105">
        <v>36739</v>
      </c>
      <c r="F21" s="105">
        <v>37103</v>
      </c>
      <c r="G21" s="103" t="s">
        <v>57</v>
      </c>
      <c r="H21" s="103" t="s">
        <v>51</v>
      </c>
      <c r="I21" s="104" t="s">
        <v>82</v>
      </c>
      <c r="J21" s="102">
        <f t="shared" si="0"/>
        <v>0.10145161290322581</v>
      </c>
      <c r="K21" s="106"/>
      <c r="L21" s="106"/>
      <c r="M21" s="106"/>
      <c r="N21" s="106"/>
      <c r="O21" s="107"/>
      <c r="P21" s="106"/>
      <c r="Q21" s="108">
        <v>68929</v>
      </c>
      <c r="R21" s="104">
        <v>48</v>
      </c>
      <c r="S21" s="103" t="s">
        <v>2</v>
      </c>
      <c r="T21" s="110">
        <f>+R21*J21*$J$1</f>
        <v>150.96</v>
      </c>
      <c r="U21" s="110"/>
      <c r="V21" s="123">
        <v>345091</v>
      </c>
      <c r="W21" s="103"/>
      <c r="X21" s="111"/>
      <c r="Y21" s="111"/>
    </row>
    <row r="22" spans="2:25" s="112" customFormat="1" x14ac:dyDescent="0.25">
      <c r="B22" s="103" t="s">
        <v>110</v>
      </c>
      <c r="C22" s="104" t="s">
        <v>56</v>
      </c>
      <c r="D22" s="104" t="s">
        <v>63</v>
      </c>
      <c r="E22" s="105">
        <v>36770</v>
      </c>
      <c r="F22" s="105">
        <v>37134</v>
      </c>
      <c r="G22" s="103" t="s">
        <v>57</v>
      </c>
      <c r="H22" s="103" t="s">
        <v>51</v>
      </c>
      <c r="I22" s="104" t="s">
        <v>82</v>
      </c>
      <c r="J22" s="102">
        <f t="shared" si="0"/>
        <v>0.10145161290322581</v>
      </c>
      <c r="K22" s="106"/>
      <c r="L22" s="106"/>
      <c r="M22" s="106"/>
      <c r="N22" s="106"/>
      <c r="O22" s="107"/>
      <c r="P22" s="106"/>
      <c r="Q22" s="108">
        <v>69145</v>
      </c>
      <c r="R22" s="104">
        <v>63</v>
      </c>
      <c r="S22" s="103" t="s">
        <v>184</v>
      </c>
      <c r="T22" s="110">
        <f>+R22*J22*J2</f>
        <v>0</v>
      </c>
      <c r="U22" s="110"/>
      <c r="V22" s="123">
        <v>372169</v>
      </c>
      <c r="W22" s="103"/>
      <c r="X22" s="111"/>
      <c r="Y22" s="111"/>
    </row>
    <row r="23" spans="2:25" s="112" customFormat="1" x14ac:dyDescent="0.25">
      <c r="B23" s="103" t="s">
        <v>110</v>
      </c>
      <c r="C23" s="104" t="s">
        <v>56</v>
      </c>
      <c r="D23" s="104" t="s">
        <v>63</v>
      </c>
      <c r="E23" s="105">
        <v>36800</v>
      </c>
      <c r="F23" s="105">
        <v>37164</v>
      </c>
      <c r="G23" s="103" t="s">
        <v>57</v>
      </c>
      <c r="H23" s="103" t="s">
        <v>51</v>
      </c>
      <c r="I23" s="104" t="s">
        <v>82</v>
      </c>
      <c r="J23" s="102">
        <f t="shared" si="0"/>
        <v>0.10145161290322581</v>
      </c>
      <c r="K23" s="106"/>
      <c r="L23" s="106"/>
      <c r="M23" s="106"/>
      <c r="N23" s="106"/>
      <c r="O23" s="107"/>
      <c r="P23" s="106"/>
      <c r="Q23" s="108">
        <v>69357</v>
      </c>
      <c r="R23" s="104">
        <v>13</v>
      </c>
      <c r="S23" s="103" t="s">
        <v>192</v>
      </c>
      <c r="T23" s="110">
        <f>+R23*J23*J1</f>
        <v>40.884999999999998</v>
      </c>
      <c r="U23" s="110"/>
      <c r="V23" s="123">
        <v>418249</v>
      </c>
      <c r="W23" s="103"/>
      <c r="X23" s="111"/>
      <c r="Y23" s="111"/>
    </row>
    <row r="24" spans="2:25" s="112" customFormat="1" x14ac:dyDescent="0.25">
      <c r="B24" s="103" t="s">
        <v>110</v>
      </c>
      <c r="C24" s="104" t="s">
        <v>56</v>
      </c>
      <c r="D24" s="104" t="s">
        <v>63</v>
      </c>
      <c r="E24" s="105">
        <v>36831</v>
      </c>
      <c r="F24" s="105">
        <v>37195</v>
      </c>
      <c r="G24" s="103" t="s">
        <v>57</v>
      </c>
      <c r="H24" s="103" t="s">
        <v>51</v>
      </c>
      <c r="I24" s="104" t="s">
        <v>82</v>
      </c>
      <c r="J24" s="102">
        <f t="shared" si="0"/>
        <v>0.10145161290322581</v>
      </c>
      <c r="K24" s="106"/>
      <c r="L24" s="106"/>
      <c r="M24" s="106"/>
      <c r="N24" s="106"/>
      <c r="O24" s="107"/>
      <c r="P24" s="106"/>
      <c r="Q24" s="108">
        <v>69710</v>
      </c>
      <c r="R24" s="104">
        <v>129</v>
      </c>
      <c r="S24" s="103" t="s">
        <v>203</v>
      </c>
      <c r="T24" s="110">
        <f>+R24*J24*J2</f>
        <v>0</v>
      </c>
      <c r="U24" s="110"/>
      <c r="V24" s="123">
        <v>418249</v>
      </c>
      <c r="W24" s="103"/>
      <c r="X24" s="111"/>
      <c r="Y24" s="111"/>
    </row>
    <row r="25" spans="2:25" s="112" customFormat="1" x14ac:dyDescent="0.25">
      <c r="B25" s="103" t="s">
        <v>110</v>
      </c>
      <c r="C25" s="104" t="s">
        <v>56</v>
      </c>
      <c r="D25" s="104" t="s">
        <v>63</v>
      </c>
      <c r="E25" s="105">
        <v>36861</v>
      </c>
      <c r="F25" s="105">
        <v>37225</v>
      </c>
      <c r="G25" s="103" t="s">
        <v>57</v>
      </c>
      <c r="H25" s="103" t="s">
        <v>51</v>
      </c>
      <c r="I25" s="104" t="s">
        <v>82</v>
      </c>
      <c r="J25" s="102">
        <f>3.145/J1</f>
        <v>0.10145161290322581</v>
      </c>
      <c r="K25" s="106"/>
      <c r="L25" s="106"/>
      <c r="M25" s="106"/>
      <c r="N25" s="106"/>
      <c r="O25" s="107"/>
      <c r="P25" s="106"/>
      <c r="Q25" s="108">
        <v>69947</v>
      </c>
      <c r="R25" s="104">
        <v>3</v>
      </c>
      <c r="S25" s="103" t="s">
        <v>268</v>
      </c>
      <c r="T25" s="110">
        <f>+R25*J25*J1</f>
        <v>9.4350000000000005</v>
      </c>
      <c r="U25" s="110"/>
      <c r="V25" s="123">
        <v>491030</v>
      </c>
      <c r="W25" s="103"/>
      <c r="X25" s="111"/>
      <c r="Y25" s="111"/>
    </row>
    <row r="26" spans="2:25" s="58" customFormat="1" x14ac:dyDescent="0.25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5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5003.6950000000015</v>
      </c>
      <c r="U27" s="9"/>
      <c r="V27" s="54"/>
      <c r="W27" s="1"/>
      <c r="X27" s="36"/>
      <c r="Y27" s="36"/>
    </row>
    <row r="28" spans="2:25" x14ac:dyDescent="0.25">
      <c r="B28" s="16" t="s">
        <v>34</v>
      </c>
      <c r="C28" s="17" t="s">
        <v>35</v>
      </c>
      <c r="D28" s="17" t="s">
        <v>36</v>
      </c>
      <c r="E28" s="18" t="s">
        <v>37</v>
      </c>
      <c r="F28" s="18"/>
      <c r="G28" s="16" t="s">
        <v>38</v>
      </c>
      <c r="H28" s="16" t="s">
        <v>39</v>
      </c>
      <c r="I28" s="17" t="s">
        <v>66</v>
      </c>
      <c r="J28" s="19" t="s">
        <v>40</v>
      </c>
      <c r="K28" s="17" t="s">
        <v>41</v>
      </c>
      <c r="L28" s="17" t="s">
        <v>42</v>
      </c>
      <c r="M28" s="17" t="s">
        <v>43</v>
      </c>
      <c r="N28" s="17" t="s">
        <v>44</v>
      </c>
      <c r="O28" s="42" t="s">
        <v>45</v>
      </c>
      <c r="P28" s="17" t="s">
        <v>46</v>
      </c>
      <c r="Q28" s="20" t="s">
        <v>108</v>
      </c>
      <c r="R28" s="17" t="s">
        <v>47</v>
      </c>
      <c r="S28" s="16" t="s">
        <v>48</v>
      </c>
      <c r="T28" s="21" t="s">
        <v>65</v>
      </c>
      <c r="U28" s="21" t="s">
        <v>64</v>
      </c>
      <c r="V28" s="52" t="s">
        <v>109</v>
      </c>
      <c r="W28" s="56" t="e">
        <f>+#REF!</f>
        <v>#REF!</v>
      </c>
      <c r="X28" s="36"/>
      <c r="Y28" s="36"/>
    </row>
    <row r="29" spans="2:25" s="112" customFormat="1" ht="12" customHeight="1" x14ac:dyDescent="0.25">
      <c r="B29" s="103" t="s">
        <v>110</v>
      </c>
      <c r="C29" s="104" t="s">
        <v>116</v>
      </c>
      <c r="D29" s="104" t="s">
        <v>117</v>
      </c>
      <c r="E29" s="105">
        <v>36861</v>
      </c>
      <c r="F29" s="105">
        <v>36891</v>
      </c>
      <c r="G29" s="109"/>
      <c r="H29" s="109"/>
      <c r="I29" s="104" t="s">
        <v>118</v>
      </c>
      <c r="J29" s="102">
        <v>2.8340000000000001E-2</v>
      </c>
      <c r="K29" s="106">
        <v>0</v>
      </c>
      <c r="L29" s="106">
        <v>2.2000000000000001E-3</v>
      </c>
      <c r="M29" s="106">
        <v>7.1999999999999998E-3</v>
      </c>
      <c r="N29" s="106">
        <v>0</v>
      </c>
      <c r="O29" s="107">
        <v>0</v>
      </c>
      <c r="P29" s="106">
        <f t="shared" ref="P29:P36" si="1">SUM(J29:N29)</f>
        <v>3.7740000000000003E-2</v>
      </c>
      <c r="Q29" s="108" t="s">
        <v>154</v>
      </c>
      <c r="R29" s="104">
        <v>247782</v>
      </c>
      <c r="S29" s="103" t="s">
        <v>74</v>
      </c>
      <c r="T29" s="110">
        <f>+J29*R29</f>
        <v>7022.1418800000001</v>
      </c>
      <c r="U29" s="110"/>
      <c r="V29" s="123">
        <v>505825</v>
      </c>
      <c r="W29" s="135" t="s">
        <v>33</v>
      </c>
      <c r="X29" s="111"/>
      <c r="Y29" s="111"/>
    </row>
    <row r="30" spans="2:25" s="112" customFormat="1" ht="12" customHeight="1" x14ac:dyDescent="0.25">
      <c r="B30" s="103" t="s">
        <v>110</v>
      </c>
      <c r="C30" s="104" t="s">
        <v>116</v>
      </c>
      <c r="D30" s="104" t="s">
        <v>117</v>
      </c>
      <c r="E30" s="105">
        <v>36861</v>
      </c>
      <c r="F30" s="105">
        <v>36891</v>
      </c>
      <c r="G30" s="109"/>
      <c r="H30" s="109"/>
      <c r="I30" s="104" t="s">
        <v>118</v>
      </c>
      <c r="J30" s="102">
        <f>1.544/J1</f>
        <v>4.980645161290323E-2</v>
      </c>
      <c r="K30" s="106">
        <v>0</v>
      </c>
      <c r="L30" s="106">
        <v>2.2000000000000001E-3</v>
      </c>
      <c r="M30" s="106">
        <v>7.1999999999999998E-3</v>
      </c>
      <c r="N30" s="106">
        <v>0</v>
      </c>
      <c r="O30" s="107">
        <v>0</v>
      </c>
      <c r="P30" s="106">
        <f t="shared" si="1"/>
        <v>5.9206451612903228E-2</v>
      </c>
      <c r="Q30" s="108" t="s">
        <v>154</v>
      </c>
      <c r="R30" s="104">
        <v>5003</v>
      </c>
      <c r="S30" s="103" t="s">
        <v>75</v>
      </c>
      <c r="T30" s="110">
        <f>+J30*R30*30</f>
        <v>7475.4503225806457</v>
      </c>
      <c r="U30" s="110"/>
      <c r="V30" s="123">
        <v>505825</v>
      </c>
      <c r="W30" s="135" t="s">
        <v>33</v>
      </c>
      <c r="X30" s="111"/>
      <c r="Y30" s="111"/>
    </row>
    <row r="31" spans="2:25" s="112" customFormat="1" ht="12" customHeight="1" x14ac:dyDescent="0.25">
      <c r="B31" s="103" t="s">
        <v>110</v>
      </c>
      <c r="C31" s="104" t="s">
        <v>116</v>
      </c>
      <c r="D31" s="104" t="s">
        <v>117</v>
      </c>
      <c r="E31" s="105">
        <v>36861</v>
      </c>
      <c r="F31" s="105">
        <v>36891</v>
      </c>
      <c r="G31" s="109"/>
      <c r="H31" s="109"/>
      <c r="I31" s="104" t="s">
        <v>118</v>
      </c>
      <c r="J31" s="102">
        <v>2.8340000000000001E-2</v>
      </c>
      <c r="K31" s="106">
        <v>0</v>
      </c>
      <c r="L31" s="106">
        <v>2.2000000000000001E-3</v>
      </c>
      <c r="M31" s="106">
        <v>7.1999999999999998E-3</v>
      </c>
      <c r="N31" s="106">
        <v>0</v>
      </c>
      <c r="O31" s="107">
        <v>0</v>
      </c>
      <c r="P31" s="106">
        <f t="shared" si="1"/>
        <v>3.7740000000000003E-2</v>
      </c>
      <c r="Q31" s="108" t="s">
        <v>154</v>
      </c>
      <c r="R31" s="104">
        <v>3749</v>
      </c>
      <c r="S31" s="103" t="s">
        <v>74</v>
      </c>
      <c r="T31" s="110">
        <f>+J31*R31</f>
        <v>106.24666000000001</v>
      </c>
      <c r="U31" s="110"/>
      <c r="V31" s="123">
        <v>505865</v>
      </c>
      <c r="W31" s="135" t="s">
        <v>33</v>
      </c>
      <c r="X31" s="111"/>
      <c r="Y31" s="111"/>
    </row>
    <row r="32" spans="2:25" s="112" customFormat="1" x14ac:dyDescent="0.25">
      <c r="B32" s="103" t="s">
        <v>110</v>
      </c>
      <c r="C32" s="104" t="s">
        <v>116</v>
      </c>
      <c r="D32" s="104" t="s">
        <v>117</v>
      </c>
      <c r="E32" s="105">
        <v>36861</v>
      </c>
      <c r="F32" s="105">
        <v>36891</v>
      </c>
      <c r="G32" s="109"/>
      <c r="H32" s="109"/>
      <c r="I32" s="104" t="s">
        <v>118</v>
      </c>
      <c r="J32" s="102">
        <f>1.544/J1</f>
        <v>4.980645161290323E-2</v>
      </c>
      <c r="K32" s="106">
        <v>0</v>
      </c>
      <c r="L32" s="106">
        <v>2.2000000000000001E-3</v>
      </c>
      <c r="M32" s="106">
        <v>7.1999999999999998E-3</v>
      </c>
      <c r="N32" s="106">
        <v>0</v>
      </c>
      <c r="O32" s="107">
        <v>0</v>
      </c>
      <c r="P32" s="106">
        <f t="shared" si="1"/>
        <v>5.9206451612903228E-2</v>
      </c>
      <c r="Q32" s="108" t="s">
        <v>154</v>
      </c>
      <c r="R32" s="104">
        <v>76</v>
      </c>
      <c r="S32" s="103" t="s">
        <v>75</v>
      </c>
      <c r="T32" s="110">
        <f>+J32*R32*30</f>
        <v>113.55870967741937</v>
      </c>
      <c r="U32" s="110"/>
      <c r="V32" s="123">
        <v>505865</v>
      </c>
      <c r="W32" s="135" t="s">
        <v>33</v>
      </c>
      <c r="X32" s="111"/>
      <c r="Y32" s="111"/>
    </row>
    <row r="33" spans="2:25" s="112" customFormat="1" ht="12" customHeight="1" x14ac:dyDescent="0.25">
      <c r="B33" s="103" t="s">
        <v>110</v>
      </c>
      <c r="C33" s="104" t="s">
        <v>116</v>
      </c>
      <c r="D33" s="104" t="s">
        <v>117</v>
      </c>
      <c r="E33" s="105">
        <v>36861</v>
      </c>
      <c r="F33" s="105">
        <v>37864</v>
      </c>
      <c r="G33" s="109"/>
      <c r="H33" s="109"/>
      <c r="I33" s="104" t="s">
        <v>118</v>
      </c>
      <c r="J33" s="102">
        <v>2.8340000000000001E-2</v>
      </c>
      <c r="K33" s="106">
        <v>0</v>
      </c>
      <c r="L33" s="106">
        <v>2.2000000000000001E-3</v>
      </c>
      <c r="M33" s="106">
        <v>7.1999999999999998E-3</v>
      </c>
      <c r="N33" s="106">
        <v>0</v>
      </c>
      <c r="O33" s="107">
        <v>0</v>
      </c>
      <c r="P33" s="106">
        <f>SUM(J33:N33)</f>
        <v>3.7740000000000003E-2</v>
      </c>
      <c r="Q33" s="108" t="s">
        <v>154</v>
      </c>
      <c r="R33" s="104">
        <v>8749</v>
      </c>
      <c r="S33" s="103" t="s">
        <v>74</v>
      </c>
      <c r="T33" s="110">
        <f>+J33*R33</f>
        <v>247.94666000000001</v>
      </c>
      <c r="U33" s="110"/>
      <c r="V33" s="123">
        <v>506329</v>
      </c>
      <c r="W33" s="103"/>
      <c r="X33" s="111"/>
      <c r="Y33" s="111"/>
    </row>
    <row r="34" spans="2:25" s="112" customFormat="1" ht="12" customHeight="1" x14ac:dyDescent="0.25">
      <c r="B34" s="103" t="s">
        <v>110</v>
      </c>
      <c r="C34" s="104" t="s">
        <v>116</v>
      </c>
      <c r="D34" s="104" t="s">
        <v>117</v>
      </c>
      <c r="E34" s="105">
        <v>36861</v>
      </c>
      <c r="F34" s="105">
        <v>37864</v>
      </c>
      <c r="G34" s="109"/>
      <c r="H34" s="109"/>
      <c r="I34" s="104" t="s">
        <v>118</v>
      </c>
      <c r="J34" s="102">
        <f>1.544/31</f>
        <v>4.980645161290323E-2</v>
      </c>
      <c r="K34" s="106">
        <v>0</v>
      </c>
      <c r="L34" s="106">
        <v>2.2000000000000001E-3</v>
      </c>
      <c r="M34" s="106">
        <v>7.1999999999999998E-3</v>
      </c>
      <c r="N34" s="106">
        <v>0</v>
      </c>
      <c r="O34" s="107">
        <v>0</v>
      </c>
      <c r="P34" s="106">
        <f>SUM(J34:N34)</f>
        <v>5.9206451612903228E-2</v>
      </c>
      <c r="Q34" s="108" t="s">
        <v>154</v>
      </c>
      <c r="R34" s="104">
        <v>176</v>
      </c>
      <c r="S34" s="103" t="s">
        <v>75</v>
      </c>
      <c r="T34" s="110">
        <f>+J34*R34*30</f>
        <v>262.97806451612905</v>
      </c>
      <c r="U34" s="110" t="s">
        <v>33</v>
      </c>
      <c r="V34" s="123">
        <v>506329</v>
      </c>
      <c r="W34" s="103"/>
      <c r="X34" s="111"/>
      <c r="Y34" s="111"/>
    </row>
    <row r="35" spans="2:25" s="112" customFormat="1" ht="12" customHeight="1" x14ac:dyDescent="0.25">
      <c r="B35" s="103" t="s">
        <v>110</v>
      </c>
      <c r="C35" s="104" t="s">
        <v>116</v>
      </c>
      <c r="D35" s="104" t="s">
        <v>117</v>
      </c>
      <c r="E35" s="105">
        <v>36861</v>
      </c>
      <c r="F35" s="105">
        <v>37864</v>
      </c>
      <c r="G35" s="109"/>
      <c r="H35" s="109"/>
      <c r="I35" s="104" t="s">
        <v>118</v>
      </c>
      <c r="J35" s="102">
        <v>2.8340000000000001E-2</v>
      </c>
      <c r="K35" s="106">
        <v>0</v>
      </c>
      <c r="L35" s="106">
        <v>2.2000000000000001E-3</v>
      </c>
      <c r="M35" s="106">
        <v>7.1999999999999998E-3</v>
      </c>
      <c r="N35" s="106">
        <v>0</v>
      </c>
      <c r="O35" s="107">
        <v>0</v>
      </c>
      <c r="P35" s="106">
        <f t="shared" si="1"/>
        <v>3.7740000000000003E-2</v>
      </c>
      <c r="Q35" s="108" t="s">
        <v>154</v>
      </c>
      <c r="R35" s="104">
        <v>578157</v>
      </c>
      <c r="S35" s="103" t="s">
        <v>74</v>
      </c>
      <c r="T35" s="110">
        <f>+J35*R35</f>
        <v>16384.969379999999</v>
      </c>
      <c r="U35" s="110"/>
      <c r="V35" s="123">
        <v>506338</v>
      </c>
      <c r="W35" s="103"/>
      <c r="X35" s="111"/>
      <c r="Y35" s="111"/>
    </row>
    <row r="36" spans="2:25" s="112" customFormat="1" ht="12" customHeight="1" x14ac:dyDescent="0.25">
      <c r="B36" s="103" t="s">
        <v>110</v>
      </c>
      <c r="C36" s="104" t="s">
        <v>116</v>
      </c>
      <c r="D36" s="104" t="s">
        <v>117</v>
      </c>
      <c r="E36" s="105">
        <v>36861</v>
      </c>
      <c r="F36" s="105">
        <v>37864</v>
      </c>
      <c r="G36" s="109"/>
      <c r="H36" s="109"/>
      <c r="I36" s="104" t="s">
        <v>118</v>
      </c>
      <c r="J36" s="102">
        <f>1.544/31</f>
        <v>4.980645161290323E-2</v>
      </c>
      <c r="K36" s="106">
        <v>0</v>
      </c>
      <c r="L36" s="106">
        <v>2.2000000000000001E-3</v>
      </c>
      <c r="M36" s="106">
        <v>7.1999999999999998E-3</v>
      </c>
      <c r="N36" s="106">
        <v>0</v>
      </c>
      <c r="O36" s="107">
        <v>0</v>
      </c>
      <c r="P36" s="106">
        <f t="shared" si="1"/>
        <v>5.9206451612903228E-2</v>
      </c>
      <c r="Q36" s="108" t="s">
        <v>154</v>
      </c>
      <c r="R36" s="104">
        <v>11675</v>
      </c>
      <c r="S36" s="103" t="s">
        <v>75</v>
      </c>
      <c r="T36" s="110">
        <f>+J36*R36*30</f>
        <v>17444.709677419356</v>
      </c>
      <c r="U36" s="110"/>
      <c r="V36" s="123">
        <v>506338</v>
      </c>
      <c r="W36" s="103"/>
      <c r="X36" s="111"/>
      <c r="Y36" s="111"/>
    </row>
    <row r="37" spans="2:25" s="112" customFormat="1" ht="12" customHeight="1" x14ac:dyDescent="0.25">
      <c r="B37" s="103" t="s">
        <v>110</v>
      </c>
      <c r="C37" s="104" t="s">
        <v>116</v>
      </c>
      <c r="D37" s="104" t="s">
        <v>117</v>
      </c>
      <c r="E37" s="105">
        <v>36861</v>
      </c>
      <c r="F37" s="105">
        <v>37864</v>
      </c>
      <c r="G37" s="103" t="s">
        <v>99</v>
      </c>
      <c r="H37" s="103" t="s">
        <v>88</v>
      </c>
      <c r="I37" s="104" t="s">
        <v>85</v>
      </c>
      <c r="J37" s="102">
        <f>10.913/J1</f>
        <v>0.35203225806451616</v>
      </c>
      <c r="K37" s="106"/>
      <c r="L37" s="106"/>
      <c r="M37" s="106"/>
      <c r="N37" s="106"/>
      <c r="O37" s="107"/>
      <c r="P37" s="106"/>
      <c r="Q37" s="108" t="s">
        <v>145</v>
      </c>
      <c r="R37" s="104">
        <v>4568</v>
      </c>
      <c r="S37" s="136">
        <v>2000002527</v>
      </c>
      <c r="T37" s="110">
        <f>+J37*R37*30</f>
        <v>48242.500645161294</v>
      </c>
      <c r="U37" s="110"/>
      <c r="V37" s="123">
        <v>506323</v>
      </c>
      <c r="W37" s="103"/>
      <c r="X37" s="111"/>
      <c r="Y37" s="111"/>
    </row>
    <row r="38" spans="2:25" s="58" customFormat="1" ht="12" customHeight="1" x14ac:dyDescent="0.25">
      <c r="B38" s="1" t="s">
        <v>110</v>
      </c>
      <c r="C38" s="3" t="s">
        <v>116</v>
      </c>
      <c r="D38" s="3" t="s">
        <v>117</v>
      </c>
      <c r="E38" s="4">
        <v>36800</v>
      </c>
      <c r="F38" s="4">
        <v>36830</v>
      </c>
      <c r="G38" s="1" t="s">
        <v>99</v>
      </c>
      <c r="H38" s="1" t="s">
        <v>88</v>
      </c>
      <c r="I38" s="3" t="s">
        <v>85</v>
      </c>
      <c r="J38" s="8">
        <f>10.913/J1</f>
        <v>0.35203225806451616</v>
      </c>
      <c r="K38" s="5"/>
      <c r="L38" s="5"/>
      <c r="M38" s="5"/>
      <c r="N38" s="5"/>
      <c r="O38" s="41"/>
      <c r="P38" s="5"/>
      <c r="Q38" s="24" t="s">
        <v>145</v>
      </c>
      <c r="R38" s="3">
        <v>9090</v>
      </c>
      <c r="S38" s="100" t="s">
        <v>188</v>
      </c>
      <c r="T38" s="9">
        <f>+R38*J38*30</f>
        <v>95999.196774193551</v>
      </c>
      <c r="U38" s="9"/>
      <c r="V38" s="54">
        <v>418602</v>
      </c>
      <c r="W38" s="1"/>
      <c r="X38" s="36"/>
      <c r="Y38" s="36"/>
    </row>
    <row r="39" spans="2:25" s="58" customFormat="1" ht="12" customHeight="1" x14ac:dyDescent="0.25">
      <c r="B39" s="1" t="s">
        <v>110</v>
      </c>
      <c r="C39" s="3" t="s">
        <v>116</v>
      </c>
      <c r="D39" s="3" t="s">
        <v>117</v>
      </c>
      <c r="E39" s="4">
        <v>36770</v>
      </c>
      <c r="F39" s="4">
        <v>37864</v>
      </c>
      <c r="G39" s="1" t="s">
        <v>99</v>
      </c>
      <c r="H39" s="1" t="s">
        <v>88</v>
      </c>
      <c r="I39" s="3" t="s">
        <v>85</v>
      </c>
      <c r="J39" s="8">
        <f>10.913/J1</f>
        <v>0.35203225806451616</v>
      </c>
      <c r="K39" s="5"/>
      <c r="L39" s="5"/>
      <c r="M39" s="5"/>
      <c r="N39" s="5"/>
      <c r="O39" s="41"/>
      <c r="P39" s="5"/>
      <c r="Q39" s="24" t="s">
        <v>145</v>
      </c>
      <c r="R39" s="3">
        <f>16156*1.02</f>
        <v>16479.12</v>
      </c>
      <c r="S39" s="100" t="s">
        <v>185</v>
      </c>
      <c r="T39" s="9">
        <f>+R39*J39*30</f>
        <v>174035.45473548389</v>
      </c>
      <c r="U39" s="9"/>
      <c r="V39" s="54">
        <v>380770</v>
      </c>
      <c r="W39" s="1"/>
      <c r="X39" s="36"/>
      <c r="Y39" s="36"/>
    </row>
    <row r="40" spans="2:25" s="58" customFormat="1" ht="12" customHeight="1" x14ac:dyDescent="0.25">
      <c r="B40" s="1" t="s">
        <v>110</v>
      </c>
      <c r="C40" s="3" t="s">
        <v>116</v>
      </c>
      <c r="D40" s="3" t="s">
        <v>117</v>
      </c>
      <c r="E40" s="4">
        <v>36770</v>
      </c>
      <c r="F40" s="4">
        <v>37864</v>
      </c>
      <c r="G40" s="1" t="s">
        <v>99</v>
      </c>
      <c r="H40" s="1" t="s">
        <v>186</v>
      </c>
      <c r="I40" s="3" t="s">
        <v>85</v>
      </c>
      <c r="J40" s="8">
        <f>8.223/J1</f>
        <v>0.26525806451612904</v>
      </c>
      <c r="K40" s="5"/>
      <c r="L40" s="5"/>
      <c r="M40" s="5"/>
      <c r="N40" s="5"/>
      <c r="O40" s="41"/>
      <c r="P40" s="5"/>
      <c r="Q40" s="24" t="s">
        <v>145</v>
      </c>
      <c r="R40" s="3">
        <f>340*1.02</f>
        <v>346.8</v>
      </c>
      <c r="S40" s="101">
        <v>2000001604</v>
      </c>
      <c r="T40" s="9">
        <f>+R40*J40*30</f>
        <v>2759.7449032258064</v>
      </c>
      <c r="U40" s="9"/>
      <c r="V40" s="54">
        <v>380777</v>
      </c>
      <c r="W40" s="1"/>
      <c r="X40" s="36"/>
      <c r="Y40" s="36"/>
    </row>
    <row r="41" spans="2:25" s="58" customFormat="1" ht="12" customHeight="1" x14ac:dyDescent="0.25">
      <c r="B41" s="1" t="s">
        <v>110</v>
      </c>
      <c r="C41" s="3" t="s">
        <v>116</v>
      </c>
      <c r="D41" s="3" t="s">
        <v>117</v>
      </c>
      <c r="E41" s="4">
        <v>36770</v>
      </c>
      <c r="F41" s="4">
        <v>36830</v>
      </c>
      <c r="G41" s="1" t="s">
        <v>99</v>
      </c>
      <c r="H41" s="1" t="s">
        <v>187</v>
      </c>
      <c r="I41" s="3" t="s">
        <v>85</v>
      </c>
      <c r="J41" s="8">
        <f>10.913/J1</f>
        <v>0.35203225806451616</v>
      </c>
      <c r="K41" s="5"/>
      <c r="L41" s="5"/>
      <c r="M41" s="5"/>
      <c r="N41" s="5"/>
      <c r="O41" s="41"/>
      <c r="P41" s="5"/>
      <c r="Q41" s="24" t="s">
        <v>145</v>
      </c>
      <c r="R41" s="3">
        <f>457*1.02</f>
        <v>466.14</v>
      </c>
      <c r="S41" s="101">
        <v>2000001640</v>
      </c>
      <c r="T41" s="9">
        <f>+R41*J41*30</f>
        <v>4922.8895032258069</v>
      </c>
      <c r="U41" s="9"/>
      <c r="V41" s="54">
        <v>380789</v>
      </c>
      <c r="W41" s="1"/>
      <c r="X41" s="36"/>
      <c r="Y41" s="36"/>
    </row>
    <row r="42" spans="2:25" s="58" customFormat="1" ht="12" customHeight="1" x14ac:dyDescent="0.25">
      <c r="B42" s="1" t="s">
        <v>110</v>
      </c>
      <c r="C42" s="3" t="s">
        <v>116</v>
      </c>
      <c r="D42" s="3" t="s">
        <v>117</v>
      </c>
      <c r="E42" s="4">
        <v>36800</v>
      </c>
      <c r="F42" s="4">
        <v>36830</v>
      </c>
      <c r="G42" s="29"/>
      <c r="H42" s="29"/>
      <c r="I42" s="3" t="s">
        <v>85</v>
      </c>
      <c r="J42" s="8">
        <f>10.913/J1</f>
        <v>0.35203225806451616</v>
      </c>
      <c r="K42" s="5"/>
      <c r="L42" s="5"/>
      <c r="M42" s="5"/>
      <c r="N42" s="5"/>
      <c r="O42" s="41"/>
      <c r="P42" s="5"/>
      <c r="Q42" s="24" t="s">
        <v>145</v>
      </c>
      <c r="R42" s="3">
        <v>201</v>
      </c>
      <c r="S42" s="29" t="s">
        <v>189</v>
      </c>
      <c r="T42" s="9">
        <f>J42*J$1*R42</f>
        <v>2193.5129999999999</v>
      </c>
      <c r="U42" s="9"/>
      <c r="V42" s="54">
        <v>418558</v>
      </c>
      <c r="W42" s="1"/>
      <c r="X42" s="36"/>
      <c r="Y42" s="36"/>
    </row>
    <row r="43" spans="2:25" s="112" customFormat="1" ht="12" customHeight="1" x14ac:dyDescent="0.25">
      <c r="B43" s="103" t="s">
        <v>110</v>
      </c>
      <c r="C43" s="104" t="s">
        <v>116</v>
      </c>
      <c r="D43" s="104" t="s">
        <v>117</v>
      </c>
      <c r="E43" s="105">
        <v>36861</v>
      </c>
      <c r="F43" s="105">
        <v>36891</v>
      </c>
      <c r="G43" s="109"/>
      <c r="H43" s="109"/>
      <c r="I43" s="104" t="s">
        <v>85</v>
      </c>
      <c r="J43" s="102">
        <f>10.913/31</f>
        <v>0.35203225806451616</v>
      </c>
      <c r="K43" s="106"/>
      <c r="L43" s="106"/>
      <c r="M43" s="106"/>
      <c r="N43" s="106"/>
      <c r="O43" s="107"/>
      <c r="P43" s="106"/>
      <c r="Q43" s="108" t="s">
        <v>145</v>
      </c>
      <c r="R43" s="104">
        <v>1957</v>
      </c>
      <c r="S43" s="109" t="s">
        <v>262</v>
      </c>
      <c r="T43" s="110">
        <f>J43*J$1*R43</f>
        <v>21356.741000000002</v>
      </c>
      <c r="U43" s="110"/>
      <c r="V43" s="123">
        <v>505687</v>
      </c>
      <c r="W43" s="103"/>
      <c r="X43" s="111"/>
      <c r="Y43" s="111"/>
    </row>
    <row r="44" spans="2:25" s="58" customFormat="1" ht="12" customHeight="1" x14ac:dyDescent="0.25">
      <c r="B44" s="1" t="s">
        <v>110</v>
      </c>
      <c r="C44" s="3" t="s">
        <v>116</v>
      </c>
      <c r="D44" s="3" t="s">
        <v>117</v>
      </c>
      <c r="E44" s="4">
        <v>36800</v>
      </c>
      <c r="F44" s="4">
        <v>36830</v>
      </c>
      <c r="G44" s="29"/>
      <c r="H44" s="29"/>
      <c r="I44" s="3" t="s">
        <v>85</v>
      </c>
      <c r="J44" s="8">
        <f>8.223/J1</f>
        <v>0.26525806451612904</v>
      </c>
      <c r="K44" s="5"/>
      <c r="L44" s="5"/>
      <c r="M44" s="5"/>
      <c r="N44" s="5"/>
      <c r="O44" s="41"/>
      <c r="P44" s="5"/>
      <c r="Q44" s="24" t="s">
        <v>145</v>
      </c>
      <c r="R44" s="3">
        <v>54</v>
      </c>
      <c r="S44" s="100" t="s">
        <v>190</v>
      </c>
      <c r="T44" s="9">
        <f>J44*J$1*R44</f>
        <v>444.04200000000003</v>
      </c>
      <c r="U44" s="9"/>
      <c r="V44" s="54">
        <v>418279</v>
      </c>
      <c r="W44" s="1"/>
      <c r="X44" s="36"/>
      <c r="Y44" s="36"/>
    </row>
    <row r="45" spans="2:25" s="112" customFormat="1" ht="12" customHeight="1" x14ac:dyDescent="0.25">
      <c r="B45" s="103" t="s">
        <v>110</v>
      </c>
      <c r="C45" s="104" t="s">
        <v>116</v>
      </c>
      <c r="D45" s="104" t="s">
        <v>117</v>
      </c>
      <c r="E45" s="105">
        <v>36861</v>
      </c>
      <c r="F45" s="105">
        <v>36891</v>
      </c>
      <c r="G45" s="103" t="s">
        <v>99</v>
      </c>
      <c r="H45" s="103" t="s">
        <v>99</v>
      </c>
      <c r="I45" s="104" t="s">
        <v>85</v>
      </c>
      <c r="J45" s="102">
        <f>8.223/J1</f>
        <v>0.26525806451612904</v>
      </c>
      <c r="K45" s="106"/>
      <c r="L45" s="106"/>
      <c r="M45" s="106"/>
      <c r="N45" s="106"/>
      <c r="O45" s="107"/>
      <c r="P45" s="106"/>
      <c r="Q45" s="108" t="s">
        <v>145</v>
      </c>
      <c r="R45" s="104">
        <v>150</v>
      </c>
      <c r="S45" s="134" t="s">
        <v>263</v>
      </c>
      <c r="T45" s="110">
        <f>J45*J$1*R45</f>
        <v>1233.45</v>
      </c>
      <c r="U45" s="110"/>
      <c r="V45" s="123">
        <v>505711</v>
      </c>
      <c r="W45" s="103"/>
      <c r="X45" s="111"/>
      <c r="Y45" s="111"/>
    </row>
    <row r="46" spans="2:25" s="112" customFormat="1" ht="12" customHeight="1" x14ac:dyDescent="0.25">
      <c r="B46" s="103" t="s">
        <v>110</v>
      </c>
      <c r="C46" s="104" t="s">
        <v>120</v>
      </c>
      <c r="D46" s="104" t="s">
        <v>117</v>
      </c>
      <c r="E46" s="105">
        <v>36861</v>
      </c>
      <c r="F46" s="105">
        <v>36891</v>
      </c>
      <c r="G46" s="103" t="s">
        <v>99</v>
      </c>
      <c r="H46" s="103" t="s">
        <v>99</v>
      </c>
      <c r="I46" s="104" t="s">
        <v>85</v>
      </c>
      <c r="J46" s="102">
        <f>4.75/31</f>
        <v>0.15322580645161291</v>
      </c>
      <c r="K46" s="106"/>
      <c r="L46" s="106"/>
      <c r="M46" s="106"/>
      <c r="N46" s="106"/>
      <c r="O46" s="107"/>
      <c r="P46" s="106"/>
      <c r="Q46" s="108" t="s">
        <v>162</v>
      </c>
      <c r="R46" s="104">
        <v>171</v>
      </c>
      <c r="S46" s="134" t="s">
        <v>260</v>
      </c>
      <c r="T46" s="110">
        <f>+J46*R46*31</f>
        <v>812.25</v>
      </c>
      <c r="U46" s="110"/>
      <c r="V46" s="123">
        <v>505746</v>
      </c>
      <c r="W46" s="103"/>
      <c r="X46" s="111"/>
      <c r="Y46" s="111"/>
    </row>
    <row r="47" spans="2:25" s="112" customFormat="1" ht="12" customHeight="1" x14ac:dyDescent="0.25">
      <c r="B47" s="103" t="s">
        <v>110</v>
      </c>
      <c r="C47" s="104" t="s">
        <v>120</v>
      </c>
      <c r="D47" s="104" t="s">
        <v>117</v>
      </c>
      <c r="E47" s="105">
        <v>36861</v>
      </c>
      <c r="F47" s="105">
        <v>37864</v>
      </c>
      <c r="G47" s="103" t="s">
        <v>99</v>
      </c>
      <c r="H47" s="103" t="s">
        <v>99</v>
      </c>
      <c r="I47" s="104" t="s">
        <v>85</v>
      </c>
      <c r="J47" s="102">
        <f>4.75/31</f>
        <v>0.15322580645161291</v>
      </c>
      <c r="K47" s="106"/>
      <c r="L47" s="106"/>
      <c r="M47" s="106"/>
      <c r="N47" s="106"/>
      <c r="O47" s="107"/>
      <c r="P47" s="106"/>
      <c r="Q47" s="108" t="s">
        <v>162</v>
      </c>
      <c r="R47" s="104">
        <v>411</v>
      </c>
      <c r="S47" s="109" t="s">
        <v>261</v>
      </c>
      <c r="T47" s="110">
        <f>J47*J$1*R47</f>
        <v>1952.25</v>
      </c>
      <c r="U47" s="110"/>
      <c r="V47" s="123">
        <v>506345</v>
      </c>
      <c r="W47" s="103"/>
      <c r="X47" s="111"/>
      <c r="Y47" s="111"/>
    </row>
    <row r="48" spans="2:25" s="58" customFormat="1" ht="12" customHeight="1" x14ac:dyDescent="0.25">
      <c r="B48" s="1"/>
      <c r="C48" s="3"/>
      <c r="D48" s="3"/>
      <c r="E48" s="4"/>
      <c r="F48" s="4"/>
      <c r="G48" s="1"/>
      <c r="H48" s="1"/>
      <c r="I48" s="3"/>
      <c r="J48" s="8"/>
      <c r="K48" s="5"/>
      <c r="L48" s="5"/>
      <c r="M48" s="5"/>
      <c r="N48" s="5"/>
      <c r="O48" s="41"/>
      <c r="P48" s="5"/>
      <c r="Q48" s="24"/>
      <c r="R48" s="3"/>
      <c r="S48" s="1"/>
      <c r="T48" s="9"/>
      <c r="U48" s="9"/>
      <c r="V48" s="54"/>
      <c r="W48" s="1"/>
      <c r="X48" s="36"/>
      <c r="Y48" s="36"/>
    </row>
    <row r="49" spans="2:25" s="58" customFormat="1" x14ac:dyDescent="0.25">
      <c r="B49" s="1"/>
      <c r="C49" s="3"/>
      <c r="D49" s="3"/>
      <c r="E49" s="4"/>
      <c r="F49" s="4"/>
      <c r="G49" s="29"/>
      <c r="H49" s="29"/>
      <c r="I49" s="3"/>
      <c r="J49" s="8"/>
      <c r="K49" s="5"/>
      <c r="L49" s="5"/>
      <c r="M49" s="5"/>
      <c r="N49" s="5"/>
      <c r="O49" s="41"/>
      <c r="P49" s="5"/>
      <c r="Q49" s="24"/>
      <c r="R49" s="3"/>
      <c r="S49" s="1"/>
      <c r="T49" s="9">
        <f>SUM(T29:T48)</f>
        <v>403010.03391548386</v>
      </c>
      <c r="U49" s="9"/>
      <c r="V49" s="54"/>
      <c r="W49" s="1"/>
      <c r="X49" s="36"/>
      <c r="Y49" s="36"/>
    </row>
    <row r="50" spans="2:25" x14ac:dyDescent="0.25">
      <c r="B50" s="16" t="s">
        <v>34</v>
      </c>
      <c r="C50" s="17" t="s">
        <v>35</v>
      </c>
      <c r="D50" s="17" t="s">
        <v>36</v>
      </c>
      <c r="E50" s="18" t="s">
        <v>37</v>
      </c>
      <c r="F50" s="18"/>
      <c r="G50" s="16" t="s">
        <v>38</v>
      </c>
      <c r="H50" s="16" t="s">
        <v>39</v>
      </c>
      <c r="I50" s="17" t="s">
        <v>66</v>
      </c>
      <c r="J50" s="19" t="s">
        <v>40</v>
      </c>
      <c r="K50" s="17" t="s">
        <v>41</v>
      </c>
      <c r="L50" s="17" t="s">
        <v>42</v>
      </c>
      <c r="M50" s="17" t="s">
        <v>43</v>
      </c>
      <c r="N50" s="17" t="s">
        <v>44</v>
      </c>
      <c r="O50" s="42" t="s">
        <v>45</v>
      </c>
      <c r="P50" s="17" t="s">
        <v>46</v>
      </c>
      <c r="Q50" s="20" t="s">
        <v>108</v>
      </c>
      <c r="R50" s="17" t="s">
        <v>47</v>
      </c>
      <c r="S50" s="16" t="s">
        <v>48</v>
      </c>
      <c r="T50" s="21" t="s">
        <v>65</v>
      </c>
      <c r="U50" s="21" t="s">
        <v>64</v>
      </c>
      <c r="V50" s="52" t="s">
        <v>109</v>
      </c>
      <c r="W50" s="56" t="e">
        <f>+#REF!</f>
        <v>#REF!</v>
      </c>
      <c r="X50" s="36"/>
      <c r="Y50" s="36"/>
    </row>
    <row r="51" spans="2:25" x14ac:dyDescent="0.25">
      <c r="B51" s="1"/>
      <c r="C51" s="3"/>
      <c r="D51" s="3"/>
      <c r="E51" s="4"/>
      <c r="F51" s="4"/>
      <c r="G51" s="1"/>
      <c r="H51" s="1"/>
      <c r="I51" s="3"/>
      <c r="J51" s="8"/>
      <c r="K51" s="5"/>
      <c r="L51" s="23"/>
      <c r="M51" s="5"/>
      <c r="N51" s="5"/>
      <c r="O51" s="41"/>
      <c r="P51" s="5"/>
      <c r="Q51" s="24"/>
      <c r="R51" s="2"/>
      <c r="S51" s="3"/>
      <c r="T51" s="9"/>
      <c r="U51" s="9"/>
      <c r="V51" s="54"/>
      <c r="W51" s="1"/>
      <c r="X51" s="36"/>
      <c r="Y51" s="36"/>
    </row>
    <row r="52" spans="2:25" x14ac:dyDescent="0.25">
      <c r="B52" s="1"/>
      <c r="C52" s="3"/>
      <c r="D52" s="3"/>
      <c r="E52" s="4"/>
      <c r="F52" s="4"/>
      <c r="G52" s="1"/>
      <c r="H52" s="1"/>
      <c r="I52" s="3"/>
      <c r="J52" s="8"/>
      <c r="K52" s="5"/>
      <c r="L52" s="23"/>
      <c r="M52" s="5"/>
      <c r="N52" s="5"/>
      <c r="O52" s="44"/>
      <c r="P52" s="5"/>
      <c r="Q52" s="24"/>
      <c r="R52" s="3"/>
      <c r="S52" s="3"/>
      <c r="T52" s="67">
        <f>SUM(T51:T51)</f>
        <v>0</v>
      </c>
      <c r="W52" s="29"/>
      <c r="X52" s="37"/>
      <c r="Y52" s="37"/>
    </row>
    <row r="53" spans="2:25" ht="11.25" customHeight="1" x14ac:dyDescent="0.25">
      <c r="B53" s="16" t="s">
        <v>34</v>
      </c>
      <c r="C53" s="17" t="s">
        <v>35</v>
      </c>
      <c r="D53" s="17" t="s">
        <v>36</v>
      </c>
      <c r="E53" s="18" t="s">
        <v>37</v>
      </c>
      <c r="F53" s="18"/>
      <c r="G53" s="16" t="s">
        <v>38</v>
      </c>
      <c r="H53" s="16" t="s">
        <v>39</v>
      </c>
      <c r="I53" s="17" t="s">
        <v>66</v>
      </c>
      <c r="J53" s="19" t="s">
        <v>40</v>
      </c>
      <c r="K53" s="17" t="s">
        <v>41</v>
      </c>
      <c r="L53" s="17" t="s">
        <v>42</v>
      </c>
      <c r="M53" s="17" t="s">
        <v>43</v>
      </c>
      <c r="N53" s="17" t="s">
        <v>44</v>
      </c>
      <c r="O53" s="42" t="s">
        <v>45</v>
      </c>
      <c r="P53" s="17" t="s">
        <v>46</v>
      </c>
      <c r="Q53" s="20" t="s">
        <v>108</v>
      </c>
      <c r="R53" s="17" t="s">
        <v>47</v>
      </c>
      <c r="S53" s="16" t="s">
        <v>48</v>
      </c>
      <c r="T53" s="21" t="s">
        <v>65</v>
      </c>
      <c r="U53" s="21" t="s">
        <v>64</v>
      </c>
      <c r="V53" s="52" t="s">
        <v>109</v>
      </c>
      <c r="W53" s="56" t="e">
        <f>+#REF!</f>
        <v>#REF!</v>
      </c>
      <c r="X53" s="36"/>
      <c r="Y53" s="36"/>
    </row>
    <row r="54" spans="2:25" s="112" customFormat="1" x14ac:dyDescent="0.25">
      <c r="B54" s="103" t="s">
        <v>110</v>
      </c>
      <c r="C54" s="104" t="s">
        <v>32</v>
      </c>
      <c r="D54" s="104" t="s">
        <v>81</v>
      </c>
      <c r="E54" s="105">
        <v>36861</v>
      </c>
      <c r="F54" s="105">
        <v>36891</v>
      </c>
      <c r="G54" s="103" t="s">
        <v>52</v>
      </c>
      <c r="H54" s="109" t="s">
        <v>89</v>
      </c>
      <c r="I54" s="104" t="s">
        <v>86</v>
      </c>
      <c r="J54" s="102">
        <f>7.5654/J$1</f>
        <v>0.24404516129032258</v>
      </c>
      <c r="K54" s="106">
        <v>0</v>
      </c>
      <c r="L54" s="106">
        <v>2.2000000000000001E-3</v>
      </c>
      <c r="M54" s="106">
        <v>0</v>
      </c>
      <c r="N54" s="106">
        <v>0</v>
      </c>
      <c r="O54" s="107">
        <v>0</v>
      </c>
      <c r="P54" s="106">
        <f t="shared" ref="P54:P67" si="2">SUM(J54:N54)</f>
        <v>0.24624516129032259</v>
      </c>
      <c r="Q54" s="122">
        <v>3.7623000000000002</v>
      </c>
      <c r="R54" s="104">
        <v>47</v>
      </c>
      <c r="S54" s="103" t="s">
        <v>245</v>
      </c>
      <c r="T54" s="110">
        <f t="shared" ref="T54:T81" si="3">J54*J$1*R54</f>
        <v>355.57380000000001</v>
      </c>
      <c r="U54" s="110"/>
      <c r="V54" s="123">
        <v>506741</v>
      </c>
      <c r="W54" s="103"/>
      <c r="X54" s="111"/>
      <c r="Y54" s="111"/>
    </row>
    <row r="55" spans="2:25" s="112" customFormat="1" x14ac:dyDescent="0.25">
      <c r="B55" s="103" t="s">
        <v>110</v>
      </c>
      <c r="C55" s="104" t="s">
        <v>32</v>
      </c>
      <c r="D55" s="104" t="s">
        <v>81</v>
      </c>
      <c r="E55" s="105">
        <v>36861</v>
      </c>
      <c r="F55" s="105">
        <v>36891</v>
      </c>
      <c r="G55" s="103" t="s">
        <v>87</v>
      </c>
      <c r="H55" s="109" t="s">
        <v>89</v>
      </c>
      <c r="I55" s="104" t="s">
        <v>86</v>
      </c>
      <c r="J55" s="102">
        <f>+J54</f>
        <v>0.24404516129032258</v>
      </c>
      <c r="K55" s="106">
        <v>0</v>
      </c>
      <c r="L55" s="106">
        <v>2.2000000000000001E-3</v>
      </c>
      <c r="M55" s="106">
        <v>0</v>
      </c>
      <c r="N55" s="106">
        <v>0</v>
      </c>
      <c r="O55" s="107">
        <v>0</v>
      </c>
      <c r="P55" s="106">
        <f t="shared" si="2"/>
        <v>0.24624516129032259</v>
      </c>
      <c r="Q55" s="122">
        <f>+Q54</f>
        <v>3.7623000000000002</v>
      </c>
      <c r="R55" s="104">
        <v>70</v>
      </c>
      <c r="S55" s="103" t="str">
        <f>+S54</f>
        <v>#022236</v>
      </c>
      <c r="T55" s="110">
        <f t="shared" si="3"/>
        <v>529.57799999999997</v>
      </c>
      <c r="U55" s="110"/>
      <c r="V55" s="123">
        <f>+V54</f>
        <v>506741</v>
      </c>
      <c r="W55" s="103"/>
      <c r="X55" s="111"/>
      <c r="Y55" s="111"/>
    </row>
    <row r="56" spans="2:25" s="112" customFormat="1" x14ac:dyDescent="0.25">
      <c r="B56" s="103" t="s">
        <v>110</v>
      </c>
      <c r="C56" s="104" t="s">
        <v>32</v>
      </c>
      <c r="D56" s="104" t="s">
        <v>81</v>
      </c>
      <c r="E56" s="105">
        <v>36861</v>
      </c>
      <c r="F56" s="105">
        <v>36891</v>
      </c>
      <c r="G56" s="103" t="s">
        <v>88</v>
      </c>
      <c r="H56" s="109" t="s">
        <v>89</v>
      </c>
      <c r="I56" s="104" t="s">
        <v>86</v>
      </c>
      <c r="J56" s="102">
        <f>+J55</f>
        <v>0.24404516129032258</v>
      </c>
      <c r="K56" s="106">
        <v>0</v>
      </c>
      <c r="L56" s="106">
        <v>2.2000000000000001E-3</v>
      </c>
      <c r="M56" s="106">
        <v>0</v>
      </c>
      <c r="N56" s="106">
        <v>0</v>
      </c>
      <c r="O56" s="107">
        <v>0</v>
      </c>
      <c r="P56" s="106">
        <f t="shared" si="2"/>
        <v>0.24624516129032259</v>
      </c>
      <c r="Q56" s="122">
        <f>+Q55</f>
        <v>3.7623000000000002</v>
      </c>
      <c r="R56" s="104">
        <f>53+109</f>
        <v>162</v>
      </c>
      <c r="S56" s="103" t="str">
        <f>+S55</f>
        <v>#022236</v>
      </c>
      <c r="T56" s="110">
        <f t="shared" si="3"/>
        <v>1225.5948000000001</v>
      </c>
      <c r="U56" s="110"/>
      <c r="V56" s="123">
        <f>+V55</f>
        <v>506741</v>
      </c>
      <c r="W56" s="103"/>
      <c r="X56" s="111"/>
      <c r="Y56" s="111"/>
    </row>
    <row r="57" spans="2:25" s="112" customFormat="1" x14ac:dyDescent="0.25">
      <c r="B57" s="103" t="s">
        <v>110</v>
      </c>
      <c r="C57" s="104" t="s">
        <v>32</v>
      </c>
      <c r="D57" s="104" t="s">
        <v>81</v>
      </c>
      <c r="E57" s="105">
        <v>36861</v>
      </c>
      <c r="F57" s="105">
        <v>36891</v>
      </c>
      <c r="G57" s="103" t="s">
        <v>52</v>
      </c>
      <c r="H57" s="109" t="s">
        <v>89</v>
      </c>
      <c r="I57" s="104" t="s">
        <v>86</v>
      </c>
      <c r="J57" s="102">
        <f t="shared" ref="J57:J66" si="4">7.5654/J$1</f>
        <v>0.24404516129032258</v>
      </c>
      <c r="K57" s="106">
        <v>0</v>
      </c>
      <c r="L57" s="106">
        <v>2.2000000000000001E-3</v>
      </c>
      <c r="M57" s="106">
        <v>0</v>
      </c>
      <c r="N57" s="106">
        <v>0</v>
      </c>
      <c r="O57" s="107">
        <v>0</v>
      </c>
      <c r="P57" s="106">
        <f>SUM(J57:N57)</f>
        <v>0.24624516129032259</v>
      </c>
      <c r="Q57" s="122">
        <v>3.7570999999999999</v>
      </c>
      <c r="R57" s="115">
        <v>20</v>
      </c>
      <c r="S57" s="103" t="s">
        <v>248</v>
      </c>
      <c r="T57" s="110">
        <f t="shared" si="3"/>
        <v>151.30799999999999</v>
      </c>
      <c r="U57" s="110"/>
      <c r="V57" s="123">
        <v>506449</v>
      </c>
      <c r="W57" s="103" t="s">
        <v>227</v>
      </c>
      <c r="X57" s="111"/>
      <c r="Y57" s="111"/>
    </row>
    <row r="58" spans="2:25" s="112" customFormat="1" x14ac:dyDescent="0.25">
      <c r="B58" s="103" t="s">
        <v>110</v>
      </c>
      <c r="C58" s="104" t="s">
        <v>32</v>
      </c>
      <c r="D58" s="104" t="s">
        <v>81</v>
      </c>
      <c r="E58" s="105">
        <v>36861</v>
      </c>
      <c r="F58" s="105">
        <v>36891</v>
      </c>
      <c r="G58" s="103" t="s">
        <v>87</v>
      </c>
      <c r="H58" s="109" t="s">
        <v>89</v>
      </c>
      <c r="I58" s="104" t="s">
        <v>86</v>
      </c>
      <c r="J58" s="102">
        <f t="shared" si="4"/>
        <v>0.24404516129032258</v>
      </c>
      <c r="K58" s="106">
        <v>0</v>
      </c>
      <c r="L58" s="106">
        <v>2.2000000000000001E-3</v>
      </c>
      <c r="M58" s="106">
        <v>0</v>
      </c>
      <c r="N58" s="106">
        <v>0</v>
      </c>
      <c r="O58" s="107">
        <v>0</v>
      </c>
      <c r="P58" s="106">
        <f>SUM(J58:N58)</f>
        <v>0.24624516129032259</v>
      </c>
      <c r="Q58" s="122">
        <v>3.7570999999999999</v>
      </c>
      <c r="R58" s="104">
        <v>29</v>
      </c>
      <c r="S58" s="103" t="str">
        <f>+S57</f>
        <v>#022141</v>
      </c>
      <c r="T58" s="110">
        <f t="shared" si="3"/>
        <v>219.39660000000001</v>
      </c>
      <c r="U58" s="110"/>
      <c r="V58" s="123">
        <v>506449</v>
      </c>
      <c r="W58" s="103" t="s">
        <v>227</v>
      </c>
      <c r="X58" s="111"/>
      <c r="Y58" s="111"/>
    </row>
    <row r="59" spans="2:25" s="112" customFormat="1" x14ac:dyDescent="0.25">
      <c r="B59" s="103" t="s">
        <v>110</v>
      </c>
      <c r="C59" s="104" t="s">
        <v>32</v>
      </c>
      <c r="D59" s="104" t="s">
        <v>81</v>
      </c>
      <c r="E59" s="105">
        <v>36861</v>
      </c>
      <c r="F59" s="105">
        <v>36891</v>
      </c>
      <c r="G59" s="103" t="s">
        <v>88</v>
      </c>
      <c r="H59" s="109" t="s">
        <v>89</v>
      </c>
      <c r="I59" s="104" t="s">
        <v>86</v>
      </c>
      <c r="J59" s="102">
        <f t="shared" si="4"/>
        <v>0.24404516129032258</v>
      </c>
      <c r="K59" s="106">
        <v>0</v>
      </c>
      <c r="L59" s="106">
        <v>2.2000000000000001E-3</v>
      </c>
      <c r="M59" s="106">
        <v>0</v>
      </c>
      <c r="N59" s="106">
        <v>0</v>
      </c>
      <c r="O59" s="107">
        <v>0</v>
      </c>
      <c r="P59" s="106">
        <f>SUM(J59:N59)</f>
        <v>0.24624516129032259</v>
      </c>
      <c r="Q59" s="122">
        <v>3.7570999999999999</v>
      </c>
      <c r="R59" s="104">
        <f>22+45</f>
        <v>67</v>
      </c>
      <c r="S59" s="103" t="str">
        <f>+S58</f>
        <v>#022141</v>
      </c>
      <c r="T59" s="110">
        <f t="shared" si="3"/>
        <v>506.8818</v>
      </c>
      <c r="U59" s="110"/>
      <c r="V59" s="123">
        <v>506449</v>
      </c>
      <c r="W59" s="103" t="s">
        <v>227</v>
      </c>
      <c r="X59" s="111"/>
      <c r="Y59" s="111"/>
    </row>
    <row r="60" spans="2:25" s="112" customFormat="1" x14ac:dyDescent="0.25">
      <c r="B60" s="103" t="s">
        <v>110</v>
      </c>
      <c r="C60" s="104" t="s">
        <v>32</v>
      </c>
      <c r="D60" s="104" t="s">
        <v>81</v>
      </c>
      <c r="E60" s="105">
        <v>36861</v>
      </c>
      <c r="F60" s="105">
        <v>36891</v>
      </c>
      <c r="G60" s="103" t="s">
        <v>52</v>
      </c>
      <c r="H60" s="109" t="s">
        <v>89</v>
      </c>
      <c r="I60" s="104" t="s">
        <v>86</v>
      </c>
      <c r="J60" s="102">
        <f t="shared" si="4"/>
        <v>0.24404516129032258</v>
      </c>
      <c r="K60" s="106">
        <v>0</v>
      </c>
      <c r="L60" s="106">
        <v>2.2000000000000001E-3</v>
      </c>
      <c r="M60" s="106">
        <v>0</v>
      </c>
      <c r="N60" s="106">
        <v>0</v>
      </c>
      <c r="O60" s="107">
        <v>0</v>
      </c>
      <c r="P60" s="106">
        <f t="shared" si="2"/>
        <v>0.24624516129032259</v>
      </c>
      <c r="Q60" s="122">
        <v>3.7477999999999998</v>
      </c>
      <c r="R60" s="115">
        <v>46</v>
      </c>
      <c r="S60" s="103" t="s">
        <v>249</v>
      </c>
      <c r="T60" s="110">
        <f t="shared" si="3"/>
        <v>348.00839999999999</v>
      </c>
      <c r="U60" s="110"/>
      <c r="V60" s="123">
        <v>503124</v>
      </c>
      <c r="W60" s="103"/>
      <c r="X60" s="111"/>
      <c r="Y60" s="111"/>
    </row>
    <row r="61" spans="2:25" s="112" customFormat="1" x14ac:dyDescent="0.25">
      <c r="B61" s="103" t="s">
        <v>110</v>
      </c>
      <c r="C61" s="104" t="s">
        <v>32</v>
      </c>
      <c r="D61" s="104" t="s">
        <v>81</v>
      </c>
      <c r="E61" s="105">
        <v>36861</v>
      </c>
      <c r="F61" s="105">
        <v>36891</v>
      </c>
      <c r="G61" s="103" t="s">
        <v>87</v>
      </c>
      <c r="H61" s="109" t="s">
        <v>89</v>
      </c>
      <c r="I61" s="104" t="s">
        <v>86</v>
      </c>
      <c r="J61" s="102">
        <f t="shared" si="4"/>
        <v>0.24404516129032258</v>
      </c>
      <c r="K61" s="106">
        <v>0</v>
      </c>
      <c r="L61" s="106">
        <v>2.2000000000000001E-3</v>
      </c>
      <c r="M61" s="106">
        <v>0</v>
      </c>
      <c r="N61" s="106">
        <v>0</v>
      </c>
      <c r="O61" s="107">
        <v>0</v>
      </c>
      <c r="P61" s="106">
        <f t="shared" si="2"/>
        <v>0.24624516129032259</v>
      </c>
      <c r="Q61" s="122">
        <v>3.7477999999999998</v>
      </c>
      <c r="R61" s="104">
        <v>67</v>
      </c>
      <c r="S61" s="103" t="str">
        <f>+S60</f>
        <v>#022140</v>
      </c>
      <c r="T61" s="110">
        <f t="shared" si="3"/>
        <v>506.8818</v>
      </c>
      <c r="U61" s="110"/>
      <c r="V61" s="123">
        <v>503124</v>
      </c>
      <c r="W61" s="103"/>
      <c r="X61" s="111"/>
      <c r="Y61" s="111"/>
    </row>
    <row r="62" spans="2:25" s="112" customFormat="1" x14ac:dyDescent="0.25">
      <c r="B62" s="103" t="s">
        <v>110</v>
      </c>
      <c r="C62" s="104" t="s">
        <v>32</v>
      </c>
      <c r="D62" s="104" t="s">
        <v>81</v>
      </c>
      <c r="E62" s="105">
        <v>36861</v>
      </c>
      <c r="F62" s="105">
        <v>36891</v>
      </c>
      <c r="G62" s="103" t="s">
        <v>88</v>
      </c>
      <c r="H62" s="109" t="s">
        <v>89</v>
      </c>
      <c r="I62" s="104" t="s">
        <v>86</v>
      </c>
      <c r="J62" s="102">
        <f t="shared" si="4"/>
        <v>0.24404516129032258</v>
      </c>
      <c r="K62" s="106">
        <v>0</v>
      </c>
      <c r="L62" s="106">
        <v>2.2000000000000001E-3</v>
      </c>
      <c r="M62" s="106">
        <v>0</v>
      </c>
      <c r="N62" s="106">
        <v>0</v>
      </c>
      <c r="O62" s="107">
        <v>0</v>
      </c>
      <c r="P62" s="106">
        <f t="shared" si="2"/>
        <v>0.24624516129032259</v>
      </c>
      <c r="Q62" s="122">
        <v>3.7477999999999998</v>
      </c>
      <c r="R62" s="104">
        <f>51+105</f>
        <v>156</v>
      </c>
      <c r="S62" s="103" t="str">
        <f>+S61</f>
        <v>#022140</v>
      </c>
      <c r="T62" s="110">
        <f t="shared" si="3"/>
        <v>1180.2024000000001</v>
      </c>
      <c r="U62" s="110"/>
      <c r="V62" s="123">
        <v>503124</v>
      </c>
      <c r="W62" s="103"/>
      <c r="X62" s="111"/>
      <c r="Y62" s="111"/>
    </row>
    <row r="63" spans="2:25" s="112" customFormat="1" x14ac:dyDescent="0.25">
      <c r="B63" s="103" t="s">
        <v>110</v>
      </c>
      <c r="C63" s="104" t="s">
        <v>32</v>
      </c>
      <c r="D63" s="104" t="s">
        <v>81</v>
      </c>
      <c r="E63" s="105">
        <v>36861</v>
      </c>
      <c r="F63" s="105">
        <v>36891</v>
      </c>
      <c r="G63" s="103" t="s">
        <v>88</v>
      </c>
      <c r="H63" s="103" t="s">
        <v>88</v>
      </c>
      <c r="I63" s="104" t="s">
        <v>86</v>
      </c>
      <c r="J63" s="102">
        <f>7.3654/J$1</f>
        <v>0.23759354838709679</v>
      </c>
      <c r="K63" s="106">
        <v>0</v>
      </c>
      <c r="L63" s="106">
        <v>2.2000000000000001E-3</v>
      </c>
      <c r="M63" s="106">
        <v>0</v>
      </c>
      <c r="N63" s="106">
        <v>0</v>
      </c>
      <c r="O63" s="107">
        <v>0</v>
      </c>
      <c r="P63" s="106">
        <f>SUM(J63:N63)</f>
        <v>0.23979354838709679</v>
      </c>
      <c r="Q63" s="122">
        <v>3.7624</v>
      </c>
      <c r="R63" s="104">
        <v>109</v>
      </c>
      <c r="S63" s="103" t="s">
        <v>246</v>
      </c>
      <c r="T63" s="110">
        <f t="shared" si="3"/>
        <v>802.82860000000005</v>
      </c>
      <c r="U63" s="110"/>
      <c r="V63" s="123">
        <v>506738</v>
      </c>
      <c r="W63" s="103"/>
      <c r="X63" s="111"/>
      <c r="Y63" s="111"/>
    </row>
    <row r="64" spans="2:25" s="112" customFormat="1" x14ac:dyDescent="0.25">
      <c r="B64" s="103" t="s">
        <v>110</v>
      </c>
      <c r="C64" s="104" t="s">
        <v>32</v>
      </c>
      <c r="D64" s="104" t="s">
        <v>81</v>
      </c>
      <c r="E64" s="105">
        <v>36861</v>
      </c>
      <c r="F64" s="105">
        <v>37864</v>
      </c>
      <c r="G64" s="103" t="s">
        <v>52</v>
      </c>
      <c r="H64" s="109" t="s">
        <v>89</v>
      </c>
      <c r="I64" s="104" t="s">
        <v>86</v>
      </c>
      <c r="J64" s="102">
        <f t="shared" si="4"/>
        <v>0.24404516129032258</v>
      </c>
      <c r="K64" s="106">
        <v>0</v>
      </c>
      <c r="L64" s="106">
        <v>2.2000000000000001E-3</v>
      </c>
      <c r="M64" s="106">
        <v>0</v>
      </c>
      <c r="N64" s="106">
        <v>0</v>
      </c>
      <c r="O64" s="107">
        <v>0</v>
      </c>
      <c r="P64" s="106">
        <f>SUM(J64:N64)</f>
        <v>0.24624516129032259</v>
      </c>
      <c r="Q64" s="122">
        <v>3.7475999999999998</v>
      </c>
      <c r="R64" s="115">
        <v>759</v>
      </c>
      <c r="S64" s="103" t="s">
        <v>254</v>
      </c>
      <c r="T64" s="110">
        <f t="shared" si="3"/>
        <v>5742.1386000000002</v>
      </c>
      <c r="U64" s="110"/>
      <c r="V64" s="123">
        <v>503144</v>
      </c>
      <c r="W64" s="103"/>
      <c r="X64" s="111"/>
      <c r="Y64" s="111"/>
    </row>
    <row r="65" spans="2:25" s="112" customFormat="1" x14ac:dyDescent="0.25">
      <c r="B65" s="103" t="s">
        <v>110</v>
      </c>
      <c r="C65" s="104" t="s">
        <v>32</v>
      </c>
      <c r="D65" s="104" t="s">
        <v>81</v>
      </c>
      <c r="E65" s="105">
        <v>36861</v>
      </c>
      <c r="F65" s="105">
        <v>37864</v>
      </c>
      <c r="G65" s="103" t="s">
        <v>87</v>
      </c>
      <c r="H65" s="109" t="s">
        <v>89</v>
      </c>
      <c r="I65" s="104" t="s">
        <v>86</v>
      </c>
      <c r="J65" s="102">
        <f t="shared" si="4"/>
        <v>0.24404516129032258</v>
      </c>
      <c r="K65" s="106">
        <v>0</v>
      </c>
      <c r="L65" s="106">
        <v>2.2000000000000001E-3</v>
      </c>
      <c r="M65" s="106">
        <v>0</v>
      </c>
      <c r="N65" s="106">
        <v>0</v>
      </c>
      <c r="O65" s="107">
        <v>0</v>
      </c>
      <c r="P65" s="106">
        <f>SUM(J65:N65)</f>
        <v>0.24624516129032259</v>
      </c>
      <c r="Q65" s="122">
        <f>+Q64</f>
        <v>3.7475999999999998</v>
      </c>
      <c r="R65" s="104">
        <v>1116</v>
      </c>
      <c r="S65" s="103" t="str">
        <f>+S64</f>
        <v>#022144</v>
      </c>
      <c r="T65" s="110">
        <f t="shared" si="3"/>
        <v>8442.9863999999998</v>
      </c>
      <c r="U65" s="110"/>
      <c r="V65" s="123">
        <v>503144</v>
      </c>
      <c r="W65" s="103"/>
      <c r="X65" s="111"/>
      <c r="Y65" s="111"/>
    </row>
    <row r="66" spans="2:25" s="112" customFormat="1" x14ac:dyDescent="0.25">
      <c r="B66" s="103" t="s">
        <v>110</v>
      </c>
      <c r="C66" s="104" t="s">
        <v>32</v>
      </c>
      <c r="D66" s="104" t="s">
        <v>81</v>
      </c>
      <c r="E66" s="105">
        <v>36861</v>
      </c>
      <c r="F66" s="105">
        <v>37864</v>
      </c>
      <c r="G66" s="103" t="s">
        <v>88</v>
      </c>
      <c r="H66" s="109" t="s">
        <v>89</v>
      </c>
      <c r="I66" s="104" t="s">
        <v>86</v>
      </c>
      <c r="J66" s="102">
        <f t="shared" si="4"/>
        <v>0.24404516129032258</v>
      </c>
      <c r="K66" s="106">
        <v>0</v>
      </c>
      <c r="L66" s="106">
        <v>2.2000000000000001E-3</v>
      </c>
      <c r="M66" s="106">
        <v>0</v>
      </c>
      <c r="N66" s="106">
        <v>0</v>
      </c>
      <c r="O66" s="107">
        <v>0</v>
      </c>
      <c r="P66" s="106">
        <f>SUM(J66:N66)</f>
        <v>0.24624516129032259</v>
      </c>
      <c r="Q66" s="122">
        <f>+Q65</f>
        <v>3.7475999999999998</v>
      </c>
      <c r="R66" s="104">
        <f>849+1742</f>
        <v>2591</v>
      </c>
      <c r="S66" s="103" t="str">
        <f>+S65</f>
        <v>#022144</v>
      </c>
      <c r="T66" s="110">
        <f t="shared" si="3"/>
        <v>19601.951400000002</v>
      </c>
      <c r="U66" s="110"/>
      <c r="V66" s="123">
        <v>503144</v>
      </c>
      <c r="W66" s="103"/>
      <c r="X66" s="111"/>
      <c r="Y66" s="111"/>
    </row>
    <row r="67" spans="2:25" s="112" customFormat="1" x14ac:dyDescent="0.25">
      <c r="B67" s="103" t="s">
        <v>110</v>
      </c>
      <c r="C67" s="104" t="s">
        <v>32</v>
      </c>
      <c r="D67" s="104" t="s">
        <v>81</v>
      </c>
      <c r="E67" s="105">
        <v>36861</v>
      </c>
      <c r="F67" s="105">
        <v>37864</v>
      </c>
      <c r="G67" s="103" t="s">
        <v>90</v>
      </c>
      <c r="H67" s="109" t="s">
        <v>89</v>
      </c>
      <c r="I67" s="104" t="s">
        <v>91</v>
      </c>
      <c r="J67" s="102">
        <f>12.0693/J1</f>
        <v>0.38933225806451616</v>
      </c>
      <c r="K67" s="106">
        <v>0</v>
      </c>
      <c r="L67" s="106">
        <v>2.2000000000000001E-3</v>
      </c>
      <c r="M67" s="106">
        <v>0</v>
      </c>
      <c r="N67" s="106">
        <v>0</v>
      </c>
      <c r="O67" s="107">
        <v>0</v>
      </c>
      <c r="P67" s="106">
        <f t="shared" si="2"/>
        <v>0.39153225806451614</v>
      </c>
      <c r="Q67" s="133">
        <v>3.7475000000000001</v>
      </c>
      <c r="R67" s="104">
        <v>2736</v>
      </c>
      <c r="S67" s="103" t="s">
        <v>255</v>
      </c>
      <c r="T67" s="110">
        <f t="shared" si="3"/>
        <v>33021.604800000001</v>
      </c>
      <c r="U67" s="110"/>
      <c r="V67" s="123">
        <v>503167</v>
      </c>
      <c r="W67" s="103"/>
      <c r="X67" s="111"/>
      <c r="Y67" s="111"/>
    </row>
    <row r="68" spans="2:25" s="112" customFormat="1" x14ac:dyDescent="0.25">
      <c r="B68" s="103" t="s">
        <v>110</v>
      </c>
      <c r="C68" s="104" t="s">
        <v>32</v>
      </c>
      <c r="D68" s="104" t="s">
        <v>81</v>
      </c>
      <c r="E68" s="105">
        <v>36861</v>
      </c>
      <c r="F68" s="105">
        <v>36891</v>
      </c>
      <c r="G68" s="103" t="s">
        <v>90</v>
      </c>
      <c r="H68" s="109" t="s">
        <v>89</v>
      </c>
      <c r="I68" s="104" t="s">
        <v>91</v>
      </c>
      <c r="J68" s="102">
        <f>12.0693/J1</f>
        <v>0.38933225806451616</v>
      </c>
      <c r="K68" s="106">
        <v>0</v>
      </c>
      <c r="L68" s="106">
        <v>2.2000000000000001E-3</v>
      </c>
      <c r="M68" s="106">
        <v>0</v>
      </c>
      <c r="N68" s="106">
        <v>0</v>
      </c>
      <c r="O68" s="107">
        <v>0</v>
      </c>
      <c r="P68" s="106">
        <f t="shared" ref="P68:P79" si="5">SUM(J68:N68)</f>
        <v>0.39153225806451614</v>
      </c>
      <c r="Q68" s="133">
        <v>3.7574000000000001</v>
      </c>
      <c r="R68" s="104">
        <v>1172</v>
      </c>
      <c r="S68" s="103" t="s">
        <v>257</v>
      </c>
      <c r="T68" s="110">
        <f t="shared" si="3"/>
        <v>14145.2196</v>
      </c>
      <c r="U68" s="110"/>
      <c r="V68" s="123">
        <v>506372</v>
      </c>
      <c r="W68" s="103" t="s">
        <v>227</v>
      </c>
      <c r="X68" s="111"/>
      <c r="Y68" s="111"/>
    </row>
    <row r="69" spans="2:25" s="112" customFormat="1" x14ac:dyDescent="0.25">
      <c r="B69" s="103" t="s">
        <v>110</v>
      </c>
      <c r="C69" s="104" t="s">
        <v>32</v>
      </c>
      <c r="D69" s="104" t="s">
        <v>81</v>
      </c>
      <c r="E69" s="105">
        <v>36861</v>
      </c>
      <c r="F69" s="105">
        <v>36891</v>
      </c>
      <c r="G69" s="103" t="s">
        <v>52</v>
      </c>
      <c r="H69" s="109" t="s">
        <v>89</v>
      </c>
      <c r="I69" s="104" t="s">
        <v>86</v>
      </c>
      <c r="J69" s="102">
        <f>7.5654/J$1</f>
        <v>0.24404516129032258</v>
      </c>
      <c r="K69" s="106">
        <v>0</v>
      </c>
      <c r="L69" s="106">
        <v>2.2000000000000001E-3</v>
      </c>
      <c r="M69" s="106">
        <v>0</v>
      </c>
      <c r="N69" s="106">
        <v>0</v>
      </c>
      <c r="O69" s="107">
        <v>0</v>
      </c>
      <c r="P69" s="106">
        <f t="shared" si="5"/>
        <v>0.24624516129032259</v>
      </c>
      <c r="Q69" s="122">
        <v>3.7572999999999999</v>
      </c>
      <c r="R69" s="115">
        <v>325</v>
      </c>
      <c r="S69" s="103" t="s">
        <v>258</v>
      </c>
      <c r="T69" s="110">
        <f t="shared" si="3"/>
        <v>2458.7550000000001</v>
      </c>
      <c r="U69" s="110"/>
      <c r="V69" s="123">
        <v>506384</v>
      </c>
      <c r="W69" s="103" t="s">
        <v>227</v>
      </c>
      <c r="X69" s="111"/>
      <c r="Y69" s="111"/>
    </row>
    <row r="70" spans="2:25" s="112" customFormat="1" x14ac:dyDescent="0.25">
      <c r="B70" s="103" t="s">
        <v>110</v>
      </c>
      <c r="C70" s="104" t="s">
        <v>32</v>
      </c>
      <c r="D70" s="104" t="s">
        <v>81</v>
      </c>
      <c r="E70" s="105">
        <v>36861</v>
      </c>
      <c r="F70" s="105">
        <v>36891</v>
      </c>
      <c r="G70" s="103" t="s">
        <v>87</v>
      </c>
      <c r="H70" s="109" t="s">
        <v>89</v>
      </c>
      <c r="I70" s="104" t="s">
        <v>86</v>
      </c>
      <c r="J70" s="102">
        <f>7.5654/J$1</f>
        <v>0.24404516129032258</v>
      </c>
      <c r="K70" s="106">
        <v>0</v>
      </c>
      <c r="L70" s="106">
        <v>2.2000000000000001E-3</v>
      </c>
      <c r="M70" s="106">
        <v>0</v>
      </c>
      <c r="N70" s="106">
        <v>0</v>
      </c>
      <c r="O70" s="107">
        <v>0</v>
      </c>
      <c r="P70" s="106">
        <f t="shared" si="5"/>
        <v>0.24624516129032259</v>
      </c>
      <c r="Q70" s="122">
        <v>3.7572999999999999</v>
      </c>
      <c r="R70" s="104">
        <v>479</v>
      </c>
      <c r="S70" s="103" t="str">
        <f>+S69</f>
        <v>#022145</v>
      </c>
      <c r="T70" s="110">
        <f t="shared" si="3"/>
        <v>3623.8266000000003</v>
      </c>
      <c r="U70" s="110"/>
      <c r="V70" s="123">
        <f>+V69</f>
        <v>506384</v>
      </c>
      <c r="W70" s="103" t="s">
        <v>227</v>
      </c>
      <c r="X70" s="111"/>
      <c r="Y70" s="111"/>
    </row>
    <row r="71" spans="2:25" s="112" customFormat="1" x14ac:dyDescent="0.25">
      <c r="B71" s="103" t="s">
        <v>110</v>
      </c>
      <c r="C71" s="104" t="s">
        <v>32</v>
      </c>
      <c r="D71" s="104" t="s">
        <v>81</v>
      </c>
      <c r="E71" s="105">
        <v>36861</v>
      </c>
      <c r="F71" s="105">
        <v>36891</v>
      </c>
      <c r="G71" s="103" t="s">
        <v>88</v>
      </c>
      <c r="H71" s="109" t="s">
        <v>89</v>
      </c>
      <c r="I71" s="104" t="s">
        <v>86</v>
      </c>
      <c r="J71" s="102">
        <f>7.5654/J$1</f>
        <v>0.24404516129032258</v>
      </c>
      <c r="K71" s="106">
        <v>0</v>
      </c>
      <c r="L71" s="106">
        <v>2.2000000000000001E-3</v>
      </c>
      <c r="M71" s="106">
        <v>0</v>
      </c>
      <c r="N71" s="106">
        <v>0</v>
      </c>
      <c r="O71" s="107">
        <v>0</v>
      </c>
      <c r="P71" s="106">
        <f>SUM(J71:N71)</f>
        <v>0.24624516129032259</v>
      </c>
      <c r="Q71" s="122">
        <v>3.7572999999999999</v>
      </c>
      <c r="R71" s="104">
        <f>746+364</f>
        <v>1110</v>
      </c>
      <c r="S71" s="103" t="str">
        <f>+S69</f>
        <v>#022145</v>
      </c>
      <c r="T71" s="110">
        <f t="shared" si="3"/>
        <v>8397.594000000001</v>
      </c>
      <c r="U71" s="110"/>
      <c r="V71" s="123">
        <f>+V69</f>
        <v>506384</v>
      </c>
      <c r="W71" s="103" t="s">
        <v>227</v>
      </c>
      <c r="X71" s="111"/>
      <c r="Y71" s="111"/>
    </row>
    <row r="72" spans="2:25" s="112" customFormat="1" x14ac:dyDescent="0.25">
      <c r="B72" s="103" t="s">
        <v>110</v>
      </c>
      <c r="C72" s="104" t="s">
        <v>32</v>
      </c>
      <c r="D72" s="104" t="s">
        <v>81</v>
      </c>
      <c r="E72" s="105">
        <v>36861</v>
      </c>
      <c r="F72" s="105">
        <v>36891</v>
      </c>
      <c r="G72" s="103" t="s">
        <v>95</v>
      </c>
      <c r="H72" s="109"/>
      <c r="I72" s="104" t="s">
        <v>94</v>
      </c>
      <c r="J72" s="102">
        <v>7.9000000000000008E-3</v>
      </c>
      <c r="K72" s="106">
        <v>0</v>
      </c>
      <c r="L72" s="106">
        <v>2.2000000000000001E-3</v>
      </c>
      <c r="M72" s="106">
        <v>0</v>
      </c>
      <c r="N72" s="106">
        <v>0</v>
      </c>
      <c r="O72" s="107">
        <v>0</v>
      </c>
      <c r="P72" s="106">
        <f t="shared" si="5"/>
        <v>1.0100000000000001E-2</v>
      </c>
      <c r="Q72" s="133">
        <v>3.7545000000000002</v>
      </c>
      <c r="R72" s="104">
        <v>111513</v>
      </c>
      <c r="S72" s="103" t="s">
        <v>251</v>
      </c>
      <c r="T72" s="110">
        <f t="shared" si="3"/>
        <v>27309.533700000004</v>
      </c>
      <c r="U72" s="110"/>
      <c r="V72" s="123">
        <v>506348</v>
      </c>
      <c r="W72" s="103" t="s">
        <v>227</v>
      </c>
      <c r="X72" s="111"/>
      <c r="Y72" s="111"/>
    </row>
    <row r="73" spans="2:25" s="112" customFormat="1" x14ac:dyDescent="0.25">
      <c r="B73" s="103" t="s">
        <v>110</v>
      </c>
      <c r="C73" s="104" t="s">
        <v>32</v>
      </c>
      <c r="D73" s="104" t="s">
        <v>81</v>
      </c>
      <c r="E73" s="105">
        <v>36861</v>
      </c>
      <c r="F73" s="105">
        <v>36891</v>
      </c>
      <c r="G73" s="103" t="s">
        <v>93</v>
      </c>
      <c r="H73" s="109"/>
      <c r="I73" s="104" t="s">
        <v>94</v>
      </c>
      <c r="J73" s="102">
        <v>0.6673</v>
      </c>
      <c r="K73" s="106">
        <v>0</v>
      </c>
      <c r="L73" s="106">
        <v>2.2000000000000001E-3</v>
      </c>
      <c r="M73" s="106">
        <v>0</v>
      </c>
      <c r="N73" s="106">
        <v>0</v>
      </c>
      <c r="O73" s="107">
        <v>0</v>
      </c>
      <c r="P73" s="106">
        <f t="shared" si="5"/>
        <v>0.66949999999999998</v>
      </c>
      <c r="Q73" s="133">
        <v>3.7545000000000002</v>
      </c>
      <c r="R73" s="104">
        <v>1312</v>
      </c>
      <c r="S73" s="103" t="s">
        <v>251</v>
      </c>
      <c r="T73" s="110">
        <f t="shared" si="3"/>
        <v>27140.425599999999</v>
      </c>
      <c r="U73" s="110"/>
      <c r="V73" s="123">
        <v>506348</v>
      </c>
      <c r="W73" s="103" t="s">
        <v>227</v>
      </c>
      <c r="X73" s="111"/>
      <c r="Y73" s="111"/>
    </row>
    <row r="74" spans="2:25" s="112" customFormat="1" x14ac:dyDescent="0.25">
      <c r="B74" s="103" t="s">
        <v>110</v>
      </c>
      <c r="C74" s="104" t="s">
        <v>32</v>
      </c>
      <c r="D74" s="104" t="s">
        <v>81</v>
      </c>
      <c r="E74" s="105">
        <v>36861</v>
      </c>
      <c r="F74" s="105">
        <v>37864</v>
      </c>
      <c r="G74" s="103" t="s">
        <v>95</v>
      </c>
      <c r="H74" s="109"/>
      <c r="I74" s="104" t="s">
        <v>94</v>
      </c>
      <c r="J74" s="102">
        <v>7.9000000000000008E-3</v>
      </c>
      <c r="K74" s="106">
        <v>0</v>
      </c>
      <c r="L74" s="106">
        <v>2.2000000000000001E-3</v>
      </c>
      <c r="M74" s="106">
        <v>0</v>
      </c>
      <c r="N74" s="106">
        <v>0</v>
      </c>
      <c r="O74" s="107">
        <v>0</v>
      </c>
      <c r="P74" s="106">
        <f t="shared" si="5"/>
        <v>1.0100000000000001E-2</v>
      </c>
      <c r="Q74" s="122">
        <v>3.7507999999999999</v>
      </c>
      <c r="R74" s="104">
        <v>260196</v>
      </c>
      <c r="S74" s="103" t="s">
        <v>256</v>
      </c>
      <c r="T74" s="110">
        <f t="shared" si="3"/>
        <v>63722.000400000012</v>
      </c>
      <c r="U74" s="110"/>
      <c r="V74" s="123">
        <v>503104</v>
      </c>
      <c r="W74" s="103"/>
      <c r="X74" s="111"/>
      <c r="Y74" s="111"/>
    </row>
    <row r="75" spans="2:25" s="112" customFormat="1" x14ac:dyDescent="0.25">
      <c r="B75" s="103" t="s">
        <v>110</v>
      </c>
      <c r="C75" s="104" t="s">
        <v>32</v>
      </c>
      <c r="D75" s="104" t="s">
        <v>81</v>
      </c>
      <c r="E75" s="105">
        <v>36861</v>
      </c>
      <c r="F75" s="105">
        <v>37864</v>
      </c>
      <c r="G75" s="103" t="s">
        <v>93</v>
      </c>
      <c r="H75" s="109"/>
      <c r="I75" s="104" t="s">
        <v>94</v>
      </c>
      <c r="J75" s="102">
        <v>0.6673</v>
      </c>
      <c r="K75" s="106">
        <v>0</v>
      </c>
      <c r="L75" s="106">
        <v>2.2000000000000001E-3</v>
      </c>
      <c r="M75" s="106">
        <v>0</v>
      </c>
      <c r="N75" s="106">
        <v>0</v>
      </c>
      <c r="O75" s="107">
        <v>0</v>
      </c>
      <c r="P75" s="106">
        <f t="shared" si="5"/>
        <v>0.66949999999999998</v>
      </c>
      <c r="Q75" s="122">
        <v>3.7507999999999999</v>
      </c>
      <c r="R75" s="104">
        <v>3061</v>
      </c>
      <c r="S75" s="103" t="s">
        <v>256</v>
      </c>
      <c r="T75" s="110">
        <f t="shared" si="3"/>
        <v>63320.764299999995</v>
      </c>
      <c r="U75" s="110"/>
      <c r="V75" s="123">
        <v>503104</v>
      </c>
      <c r="W75" s="103"/>
      <c r="X75" s="111"/>
      <c r="Y75" s="111"/>
    </row>
    <row r="76" spans="2:25" s="112" customFormat="1" x14ac:dyDescent="0.25">
      <c r="B76" s="103" t="s">
        <v>110</v>
      </c>
      <c r="C76" s="104" t="s">
        <v>32</v>
      </c>
      <c r="D76" s="104" t="s">
        <v>81</v>
      </c>
      <c r="E76" s="105">
        <v>36861</v>
      </c>
      <c r="F76" s="105">
        <v>36891</v>
      </c>
      <c r="G76" s="103" t="s">
        <v>96</v>
      </c>
      <c r="H76" s="109"/>
      <c r="I76" s="104" t="s">
        <v>98</v>
      </c>
      <c r="J76" s="102">
        <v>4.8099999999999997E-2</v>
      </c>
      <c r="K76" s="106">
        <v>0</v>
      </c>
      <c r="L76" s="106">
        <v>2.2000000000000001E-3</v>
      </c>
      <c r="M76" s="106">
        <v>0</v>
      </c>
      <c r="N76" s="106">
        <v>0</v>
      </c>
      <c r="O76" s="107">
        <v>0</v>
      </c>
      <c r="P76" s="106">
        <f t="shared" si="5"/>
        <v>5.0299999999999997E-2</v>
      </c>
      <c r="Q76" s="133">
        <v>3.7544</v>
      </c>
      <c r="R76" s="104">
        <v>5665</v>
      </c>
      <c r="S76" s="103" t="s">
        <v>252</v>
      </c>
      <c r="T76" s="110">
        <f t="shared" si="3"/>
        <v>8447.0814999999984</v>
      </c>
      <c r="U76" s="110"/>
      <c r="V76" s="123">
        <v>506356</v>
      </c>
      <c r="W76" s="103"/>
      <c r="X76" s="111"/>
      <c r="Y76" s="111"/>
    </row>
    <row r="77" spans="2:25" s="112" customFormat="1" x14ac:dyDescent="0.25">
      <c r="B77" s="103" t="s">
        <v>110</v>
      </c>
      <c r="C77" s="104" t="s">
        <v>32</v>
      </c>
      <c r="D77" s="104" t="s">
        <v>81</v>
      </c>
      <c r="E77" s="105">
        <v>36861</v>
      </c>
      <c r="F77" s="105">
        <v>36891</v>
      </c>
      <c r="G77" s="103" t="s">
        <v>97</v>
      </c>
      <c r="H77" s="109"/>
      <c r="I77" s="104" t="s">
        <v>98</v>
      </c>
      <c r="J77" s="102">
        <v>0.48399999999999999</v>
      </c>
      <c r="K77" s="106">
        <v>0</v>
      </c>
      <c r="L77" s="106">
        <v>2.2000000000000001E-3</v>
      </c>
      <c r="M77" s="106">
        <v>0</v>
      </c>
      <c r="N77" s="106">
        <v>0</v>
      </c>
      <c r="O77" s="107">
        <v>0</v>
      </c>
      <c r="P77" s="106">
        <f t="shared" si="5"/>
        <v>0.48619999999999997</v>
      </c>
      <c r="Q77" s="133">
        <v>3.7544</v>
      </c>
      <c r="R77" s="104">
        <v>563</v>
      </c>
      <c r="S77" s="103" t="s">
        <v>252</v>
      </c>
      <c r="T77" s="110">
        <f t="shared" si="3"/>
        <v>8447.2520000000004</v>
      </c>
      <c r="U77" s="110"/>
      <c r="V77" s="123">
        <v>506356</v>
      </c>
      <c r="W77" s="103"/>
      <c r="X77" s="111"/>
      <c r="Y77" s="111"/>
    </row>
    <row r="78" spans="2:25" s="112" customFormat="1" x14ac:dyDescent="0.25">
      <c r="B78" s="103" t="s">
        <v>110</v>
      </c>
      <c r="C78" s="104" t="s">
        <v>32</v>
      </c>
      <c r="D78" s="104" t="s">
        <v>81</v>
      </c>
      <c r="E78" s="105">
        <v>36861</v>
      </c>
      <c r="F78" s="105">
        <v>37864</v>
      </c>
      <c r="G78" s="103" t="s">
        <v>96</v>
      </c>
      <c r="H78" s="109"/>
      <c r="I78" s="104" t="s">
        <v>98</v>
      </c>
      <c r="J78" s="102">
        <v>4.8099999999999997E-2</v>
      </c>
      <c r="K78" s="106">
        <v>0</v>
      </c>
      <c r="L78" s="106">
        <v>2.2000000000000001E-3</v>
      </c>
      <c r="M78" s="106">
        <v>0</v>
      </c>
      <c r="N78" s="106">
        <v>0</v>
      </c>
      <c r="O78" s="107">
        <v>0</v>
      </c>
      <c r="P78" s="106">
        <f t="shared" si="5"/>
        <v>5.0299999999999997E-2</v>
      </c>
      <c r="Q78" s="133">
        <v>3.7507000000000001</v>
      </c>
      <c r="R78" s="104">
        <v>13219</v>
      </c>
      <c r="S78" s="103" t="s">
        <v>259</v>
      </c>
      <c r="T78" s="110">
        <f t="shared" si="3"/>
        <v>19710.850899999998</v>
      </c>
      <c r="U78" s="110"/>
      <c r="V78" s="123">
        <v>503082</v>
      </c>
      <c r="W78" s="127" t="s">
        <v>227</v>
      </c>
      <c r="X78" s="111"/>
      <c r="Y78" s="111"/>
    </row>
    <row r="79" spans="2:25" s="112" customFormat="1" x14ac:dyDescent="0.25">
      <c r="B79" s="103" t="s">
        <v>110</v>
      </c>
      <c r="C79" s="104" t="s">
        <v>32</v>
      </c>
      <c r="D79" s="104" t="s">
        <v>81</v>
      </c>
      <c r="E79" s="105">
        <v>36861</v>
      </c>
      <c r="F79" s="105">
        <v>37864</v>
      </c>
      <c r="G79" s="103" t="s">
        <v>97</v>
      </c>
      <c r="H79" s="109"/>
      <c r="I79" s="104" t="s">
        <v>98</v>
      </c>
      <c r="J79" s="102">
        <v>0.48399999999999999</v>
      </c>
      <c r="K79" s="106">
        <v>0</v>
      </c>
      <c r="L79" s="106">
        <v>2.2000000000000001E-3</v>
      </c>
      <c r="M79" s="106">
        <v>0</v>
      </c>
      <c r="N79" s="106">
        <v>0</v>
      </c>
      <c r="O79" s="107">
        <v>0</v>
      </c>
      <c r="P79" s="106">
        <f t="shared" si="5"/>
        <v>0.48619999999999997</v>
      </c>
      <c r="Q79" s="133">
        <v>3.7507000000000001</v>
      </c>
      <c r="R79" s="104">
        <v>1314</v>
      </c>
      <c r="S79" s="103" t="s">
        <v>259</v>
      </c>
      <c r="T79" s="110">
        <f t="shared" si="3"/>
        <v>19715.256000000001</v>
      </c>
      <c r="U79" s="110"/>
      <c r="V79" s="123">
        <v>503082</v>
      </c>
      <c r="W79" s="127" t="s">
        <v>227</v>
      </c>
      <c r="X79" s="111"/>
      <c r="Y79" s="111"/>
    </row>
    <row r="80" spans="2:25" s="124" customFormat="1" x14ac:dyDescent="0.25">
      <c r="B80" s="103" t="s">
        <v>110</v>
      </c>
      <c r="C80" s="104" t="s">
        <v>32</v>
      </c>
      <c r="D80" s="104" t="s">
        <v>81</v>
      </c>
      <c r="E80" s="105">
        <v>36861</v>
      </c>
      <c r="F80" s="105">
        <v>36891</v>
      </c>
      <c r="G80" s="103" t="s">
        <v>200</v>
      </c>
      <c r="H80" s="103" t="s">
        <v>89</v>
      </c>
      <c r="I80" s="104" t="s">
        <v>201</v>
      </c>
      <c r="J80" s="102">
        <f>15.0677/J1</f>
        <v>0.48605483870967742</v>
      </c>
      <c r="K80" s="106"/>
      <c r="L80" s="106"/>
      <c r="M80" s="106"/>
      <c r="N80" s="106"/>
      <c r="O80" s="107"/>
      <c r="P80" s="106"/>
      <c r="Q80" s="125">
        <v>3.7644000000000002</v>
      </c>
      <c r="R80" s="126">
        <v>929</v>
      </c>
      <c r="S80" s="127" t="s">
        <v>247</v>
      </c>
      <c r="T80" s="110">
        <f t="shared" si="3"/>
        <v>13997.8933</v>
      </c>
      <c r="U80" s="129"/>
      <c r="V80" s="130">
        <v>506737</v>
      </c>
      <c r="W80" s="127" t="s">
        <v>227</v>
      </c>
      <c r="X80" s="131"/>
      <c r="Y80" s="131"/>
    </row>
    <row r="81" spans="2:25" s="124" customFormat="1" x14ac:dyDescent="0.25">
      <c r="B81" s="103" t="s">
        <v>110</v>
      </c>
      <c r="C81" s="104" t="s">
        <v>32</v>
      </c>
      <c r="D81" s="104" t="s">
        <v>81</v>
      </c>
      <c r="E81" s="105">
        <v>36861</v>
      </c>
      <c r="F81" s="105">
        <v>36891</v>
      </c>
      <c r="G81" s="103" t="s">
        <v>226</v>
      </c>
      <c r="H81" s="103" t="s">
        <v>89</v>
      </c>
      <c r="I81" s="104" t="s">
        <v>228</v>
      </c>
      <c r="J81" s="132">
        <f>14.1875/J1</f>
        <v>0.45766129032258063</v>
      </c>
      <c r="K81" s="106"/>
      <c r="L81" s="106"/>
      <c r="M81" s="106"/>
      <c r="N81" s="106"/>
      <c r="O81" s="107"/>
      <c r="P81" s="106"/>
      <c r="Q81" s="125">
        <v>3.7572000000000001</v>
      </c>
      <c r="R81" s="126">
        <v>1526</v>
      </c>
      <c r="S81" s="127" t="s">
        <v>250</v>
      </c>
      <c r="T81" s="110">
        <f t="shared" si="3"/>
        <v>21650.125</v>
      </c>
      <c r="U81" s="129"/>
      <c r="V81" s="130">
        <v>506418</v>
      </c>
      <c r="W81" s="127" t="s">
        <v>227</v>
      </c>
      <c r="X81" s="131"/>
      <c r="Y81" s="131"/>
    </row>
    <row r="82" spans="2:25" s="124" customFormat="1" x14ac:dyDescent="0.25">
      <c r="B82" s="103" t="s">
        <v>110</v>
      </c>
      <c r="C82" s="104" t="s">
        <v>32</v>
      </c>
      <c r="D82" s="104" t="s">
        <v>81</v>
      </c>
      <c r="E82" s="105">
        <v>36861</v>
      </c>
      <c r="F82" s="105">
        <v>37864</v>
      </c>
      <c r="G82" s="103" t="s">
        <v>226</v>
      </c>
      <c r="H82" s="103" t="s">
        <v>89</v>
      </c>
      <c r="I82" s="104" t="s">
        <v>228</v>
      </c>
      <c r="J82" s="132">
        <f>14.1875/J1</f>
        <v>0.45766129032258063</v>
      </c>
      <c r="K82" s="106"/>
      <c r="L82" s="106"/>
      <c r="M82" s="106"/>
      <c r="N82" s="106"/>
      <c r="O82" s="107"/>
      <c r="P82" s="106"/>
      <c r="Q82" s="125">
        <v>3.7477</v>
      </c>
      <c r="R82" s="126">
        <v>3562</v>
      </c>
      <c r="S82" s="127" t="s">
        <v>253</v>
      </c>
      <c r="T82" s="110">
        <f>J82*J$1*R82</f>
        <v>50535.875</v>
      </c>
      <c r="U82" s="129"/>
      <c r="V82" s="130">
        <v>503132</v>
      </c>
      <c r="W82" s="127" t="s">
        <v>227</v>
      </c>
      <c r="X82" s="131"/>
      <c r="Y82" s="131"/>
    </row>
    <row r="83" spans="2:25" ht="13.8" thickBot="1" x14ac:dyDescent="0.3">
      <c r="B83" s="27"/>
      <c r="C83" s="3"/>
      <c r="D83" s="3"/>
      <c r="E83" s="4"/>
      <c r="F83" s="4"/>
      <c r="G83" s="1"/>
      <c r="H83" s="1"/>
      <c r="I83" s="3"/>
      <c r="J83" s="5"/>
      <c r="K83" s="5"/>
      <c r="L83" s="5"/>
      <c r="M83" s="5"/>
      <c r="N83" s="5"/>
      <c r="O83" s="41"/>
      <c r="P83" s="5"/>
      <c r="Q83" s="47"/>
      <c r="R83" s="48"/>
      <c r="S83" s="28"/>
      <c r="T83" s="75">
        <f>SUM(T54:T82)</f>
        <v>425257.38829999999</v>
      </c>
      <c r="U83" s="28"/>
      <c r="V83" s="50"/>
      <c r="W83" s="55"/>
      <c r="X83" s="35"/>
      <c r="Y83" s="35"/>
    </row>
    <row r="84" spans="2:25" ht="13.8" thickTop="1" x14ac:dyDescent="0.25">
      <c r="B84" s="27"/>
      <c r="C84" s="3"/>
      <c r="D84" s="3"/>
      <c r="E84" s="4"/>
      <c r="F84" s="4"/>
      <c r="G84" s="1"/>
      <c r="H84" s="1"/>
      <c r="I84" s="3"/>
      <c r="J84" s="5"/>
      <c r="K84" s="5"/>
      <c r="L84" s="5"/>
      <c r="M84" s="5"/>
      <c r="N84" s="5"/>
      <c r="O84" s="41"/>
      <c r="P84" s="5"/>
      <c r="Q84" s="47"/>
      <c r="R84" s="48"/>
      <c r="S84" s="28"/>
      <c r="T84" s="28"/>
      <c r="U84" s="55"/>
      <c r="V84" s="50"/>
      <c r="W84" s="55"/>
      <c r="X84" s="39"/>
      <c r="Y84" s="35"/>
    </row>
    <row r="85" spans="2:25" x14ac:dyDescent="0.25">
      <c r="B85" s="27"/>
      <c r="C85" s="3"/>
      <c r="D85" s="3"/>
      <c r="E85" s="4"/>
      <c r="F85" s="4"/>
      <c r="G85" s="1"/>
      <c r="H85" s="1"/>
      <c r="I85" s="3"/>
      <c r="J85" s="5"/>
      <c r="K85" s="5"/>
      <c r="L85" s="5"/>
      <c r="M85" s="5"/>
      <c r="N85" s="5"/>
      <c r="O85" s="41"/>
      <c r="P85" s="5"/>
      <c r="Q85" s="47"/>
      <c r="R85" s="48"/>
      <c r="S85" s="28"/>
      <c r="T85" s="28"/>
      <c r="U85" s="28"/>
      <c r="V85" s="50"/>
      <c r="W85" s="55"/>
      <c r="X85" s="35"/>
      <c r="Y85" s="35"/>
    </row>
    <row r="86" spans="2:25" x14ac:dyDescent="0.25">
      <c r="B86" s="27"/>
      <c r="C86" s="3"/>
      <c r="D86" s="3"/>
      <c r="E86" s="4"/>
      <c r="F86" s="4"/>
      <c r="G86" s="1"/>
      <c r="H86" s="1"/>
      <c r="I86" s="3"/>
      <c r="J86" s="5"/>
      <c r="K86" s="5"/>
      <c r="L86" s="5"/>
      <c r="M86" s="5"/>
      <c r="N86" s="5"/>
      <c r="O86" s="41"/>
      <c r="P86" s="5"/>
      <c r="Q86" s="47"/>
      <c r="R86" s="48"/>
      <c r="S86" s="28"/>
      <c r="T86" s="28"/>
      <c r="U86" s="28"/>
      <c r="V86" s="50"/>
      <c r="W86" s="55"/>
      <c r="X86" s="35"/>
      <c r="Y86" s="35"/>
    </row>
    <row r="87" spans="2:25" ht="13.8" thickBot="1" x14ac:dyDescent="0.3">
      <c r="B87" s="27"/>
      <c r="C87" s="3"/>
      <c r="D87" s="3"/>
      <c r="E87" s="36"/>
      <c r="F87" s="4"/>
      <c r="G87" s="1"/>
      <c r="H87" s="1"/>
      <c r="I87" s="3"/>
      <c r="J87" s="8"/>
      <c r="K87" s="5"/>
      <c r="L87" s="5"/>
      <c r="M87" s="5"/>
      <c r="N87" s="5"/>
      <c r="O87" s="41"/>
      <c r="P87" s="5"/>
      <c r="Q87" s="47"/>
      <c r="R87" s="48"/>
      <c r="S87" s="39"/>
      <c r="T87" s="171">
        <f>+T83+T49+T27</f>
        <v>833271.1172154838</v>
      </c>
      <c r="U87" s="55" t="s">
        <v>309</v>
      </c>
      <c r="V87" s="50"/>
      <c r="W87" s="55"/>
      <c r="X87" s="35"/>
      <c r="Y87" s="35"/>
    </row>
    <row r="88" spans="2:25" ht="13.8" thickTop="1" x14ac:dyDescent="0.25">
      <c r="B88" s="27"/>
      <c r="C88" s="3"/>
      <c r="D88" s="3"/>
      <c r="E88" s="36"/>
      <c r="F88" s="4"/>
      <c r="G88" s="1"/>
      <c r="H88" s="1"/>
      <c r="I88" s="3"/>
      <c r="J88" s="8"/>
      <c r="K88" s="5"/>
      <c r="L88" s="5"/>
      <c r="M88" s="5"/>
      <c r="N88" s="5"/>
      <c r="O88" s="41"/>
      <c r="P88" s="5"/>
      <c r="Q88" s="47"/>
      <c r="R88" s="48"/>
      <c r="S88" s="39"/>
      <c r="T88" s="28"/>
      <c r="U88" s="28"/>
      <c r="V88" s="50"/>
      <c r="W88" s="55"/>
      <c r="X88" s="35"/>
      <c r="Y88" s="35"/>
    </row>
    <row r="89" spans="2:25" x14ac:dyDescent="0.25">
      <c r="E89" s="38"/>
      <c r="Q89" s="34"/>
      <c r="R89" s="34"/>
      <c r="S89" s="34"/>
      <c r="T89" s="34"/>
      <c r="U89" s="34"/>
      <c r="V89" s="49"/>
      <c r="W89" s="57"/>
      <c r="X89" s="49"/>
    </row>
    <row r="90" spans="2:25" x14ac:dyDescent="0.25">
      <c r="E90" s="38"/>
      <c r="Q90" s="34"/>
      <c r="R90" s="34"/>
      <c r="S90" s="34"/>
      <c r="T90" s="34"/>
      <c r="U90" s="34"/>
      <c r="V90" s="49"/>
      <c r="W90" s="57"/>
      <c r="X90" s="49"/>
    </row>
    <row r="91" spans="2:25" x14ac:dyDescent="0.25">
      <c r="E91" s="38"/>
    </row>
    <row r="92" spans="2:25" x14ac:dyDescent="0.25">
      <c r="E92" s="38"/>
    </row>
    <row r="93" spans="2:25" x14ac:dyDescent="0.25">
      <c r="E93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9"/>
  <sheetViews>
    <sheetView topLeftCell="G52" workbookViewId="0">
      <selection activeCell="U73" sqref="U73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9.33203125" style="25" customWidth="1"/>
    <col min="10" max="10" width="7.6640625" style="25" customWidth="1"/>
    <col min="11" max="14" width="9.109375" style="25" hidden="1" customWidth="1"/>
    <col min="15" max="15" width="9.109375" style="45" hidden="1" customWidth="1"/>
    <col min="16" max="16" width="9.109375" style="25" hidden="1" customWidth="1"/>
    <col min="17" max="17" width="11.10937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4.88671875" style="38" customWidth="1"/>
    <col min="22" max="22" width="42.33203125" style="27" customWidth="1"/>
    <col min="23" max="24" width="9.109375" style="38"/>
    <col min="25" max="25" width="12.44140625" style="25" customWidth="1"/>
    <col min="26" max="16384" width="9.109375" style="25"/>
  </cols>
  <sheetData>
    <row r="1" spans="2:24" x14ac:dyDescent="0.25">
      <c r="B1" s="40" t="s">
        <v>267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 t="s">
        <v>233</v>
      </c>
      <c r="T1" s="28"/>
      <c r="U1" s="50"/>
      <c r="V1" s="55"/>
      <c r="W1" s="35"/>
      <c r="X1" s="35"/>
    </row>
    <row r="2" spans="2:24" x14ac:dyDescent="0.25">
      <c r="B2" s="1"/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5">
      <c r="B3" s="1"/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50"/>
      <c r="V3" s="55"/>
      <c r="W3" s="35"/>
      <c r="X3" s="35"/>
    </row>
    <row r="4" spans="2:24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5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5">
      <c r="B6" s="10" t="s">
        <v>33</v>
      </c>
      <c r="C6" s="11" t="s">
        <v>33</v>
      </c>
      <c r="D6" s="12" t="s">
        <v>33</v>
      </c>
      <c r="E6" s="13" t="s">
        <v>33</v>
      </c>
      <c r="F6" s="13"/>
      <c r="G6" s="10" t="s">
        <v>33</v>
      </c>
      <c r="H6" s="30" t="s">
        <v>33</v>
      </c>
      <c r="I6" s="11" t="s">
        <v>33</v>
      </c>
      <c r="J6" s="14"/>
      <c r="K6" s="15"/>
      <c r="L6" s="15"/>
      <c r="M6" s="15"/>
      <c r="N6" s="15"/>
      <c r="O6" s="43"/>
      <c r="P6" s="15"/>
      <c r="Q6" s="26" t="s">
        <v>33</v>
      </c>
      <c r="R6" s="11"/>
      <c r="S6" s="10" t="s">
        <v>33</v>
      </c>
      <c r="T6" s="22"/>
      <c r="U6" s="53"/>
      <c r="V6" s="10"/>
      <c r="W6" s="36"/>
      <c r="X6" s="36"/>
    </row>
    <row r="7" spans="2:24" x14ac:dyDescent="0.25">
      <c r="B7" s="16" t="s">
        <v>34</v>
      </c>
      <c r="C7" s="17" t="s">
        <v>35</v>
      </c>
      <c r="D7" s="17" t="s">
        <v>36</v>
      </c>
      <c r="E7" s="18" t="s">
        <v>37</v>
      </c>
      <c r="F7" s="18"/>
      <c r="G7" s="16" t="s">
        <v>38</v>
      </c>
      <c r="H7" s="16" t="s">
        <v>39</v>
      </c>
      <c r="I7" s="17" t="s">
        <v>66</v>
      </c>
      <c r="J7" s="19" t="s">
        <v>40</v>
      </c>
      <c r="K7" s="17" t="s">
        <v>41</v>
      </c>
      <c r="L7" s="17" t="s">
        <v>42</v>
      </c>
      <c r="M7" s="17" t="s">
        <v>43</v>
      </c>
      <c r="N7" s="17" t="s">
        <v>44</v>
      </c>
      <c r="O7" s="42" t="s">
        <v>45</v>
      </c>
      <c r="P7" s="17" t="s">
        <v>46</v>
      </c>
      <c r="Q7" s="20" t="s">
        <v>108</v>
      </c>
      <c r="R7" s="17" t="s">
        <v>47</v>
      </c>
      <c r="S7" s="16" t="s">
        <v>48</v>
      </c>
      <c r="T7" s="21" t="s">
        <v>65</v>
      </c>
      <c r="U7" s="52" t="s">
        <v>109</v>
      </c>
      <c r="V7" s="56" t="e">
        <f>+#REF!</f>
        <v>#REF!</v>
      </c>
      <c r="W7" s="36"/>
      <c r="X7" s="36"/>
    </row>
    <row r="8" spans="2:24" s="58" customFormat="1" x14ac:dyDescent="0.25">
      <c r="B8" s="1" t="s">
        <v>110</v>
      </c>
      <c r="C8" s="3" t="s">
        <v>61</v>
      </c>
      <c r="D8" s="3" t="s">
        <v>71</v>
      </c>
      <c r="E8" s="4">
        <v>36617</v>
      </c>
      <c r="F8" s="4">
        <v>36830</v>
      </c>
      <c r="G8" s="1" t="s">
        <v>72</v>
      </c>
      <c r="H8" s="1" t="s">
        <v>74</v>
      </c>
      <c r="I8" s="3" t="s">
        <v>73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163</v>
      </c>
      <c r="T8" s="9"/>
      <c r="U8" s="54">
        <v>156569</v>
      </c>
      <c r="V8" s="1"/>
      <c r="W8" s="36"/>
      <c r="X8" s="36"/>
    </row>
    <row r="9" spans="2:24" s="58" customFormat="1" x14ac:dyDescent="0.25">
      <c r="B9" s="1" t="s">
        <v>110</v>
      </c>
      <c r="C9" s="3" t="s">
        <v>61</v>
      </c>
      <c r="D9" s="3" t="s">
        <v>71</v>
      </c>
      <c r="E9" s="4">
        <v>36617</v>
      </c>
      <c r="F9" s="4">
        <v>36830</v>
      </c>
      <c r="G9" s="1" t="s">
        <v>72</v>
      </c>
      <c r="H9" s="1" t="s">
        <v>75</v>
      </c>
      <c r="I9" s="3" t="s">
        <v>73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163</v>
      </c>
      <c r="T9" s="9"/>
      <c r="U9" s="54">
        <v>156569</v>
      </c>
      <c r="V9" s="1"/>
      <c r="W9" s="36"/>
      <c r="X9" s="36"/>
    </row>
    <row r="10" spans="2:24" s="112" customFormat="1" x14ac:dyDescent="0.25">
      <c r="B10" s="103" t="s">
        <v>110</v>
      </c>
      <c r="C10" s="104" t="s">
        <v>61</v>
      </c>
      <c r="D10" s="104" t="s">
        <v>232</v>
      </c>
      <c r="E10" s="105">
        <v>36861</v>
      </c>
      <c r="F10" s="105">
        <v>36891</v>
      </c>
      <c r="G10" s="103"/>
      <c r="H10" s="103" t="s">
        <v>176</v>
      </c>
      <c r="I10" s="104" t="s">
        <v>70</v>
      </c>
      <c r="J10" s="102">
        <f>3.1/J$1</f>
        <v>0.1</v>
      </c>
      <c r="K10" s="106">
        <v>1.32E-2</v>
      </c>
      <c r="L10" s="106">
        <v>2.2000000000000001E-3</v>
      </c>
      <c r="M10" s="106">
        <v>7.4999999999999997E-3</v>
      </c>
      <c r="N10" s="106">
        <v>0</v>
      </c>
      <c r="O10" s="107">
        <v>2.1160000000000002E-2</v>
      </c>
      <c r="P10" s="106">
        <f>SUM(J10:N10)</f>
        <v>0.12290000000000001</v>
      </c>
      <c r="Q10" s="108">
        <v>62164</v>
      </c>
      <c r="R10" s="158">
        <v>-2000</v>
      </c>
      <c r="S10" s="109" t="s">
        <v>264</v>
      </c>
      <c r="T10" s="110">
        <f t="shared" ref="T10:T21" si="0">J10*J$1*R10</f>
        <v>-6200</v>
      </c>
      <c r="U10" s="111">
        <v>509063</v>
      </c>
      <c r="V10" s="111"/>
    </row>
    <row r="11" spans="2:24" s="112" customFormat="1" x14ac:dyDescent="0.25">
      <c r="B11" s="103" t="s">
        <v>110</v>
      </c>
      <c r="C11" s="104" t="s">
        <v>61</v>
      </c>
      <c r="D11" s="104" t="s">
        <v>55</v>
      </c>
      <c r="E11" s="105">
        <v>36495</v>
      </c>
      <c r="F11" s="105">
        <v>36891</v>
      </c>
      <c r="G11" s="103"/>
      <c r="H11" s="103" t="s">
        <v>176</v>
      </c>
      <c r="I11" s="104" t="s">
        <v>70</v>
      </c>
      <c r="J11" s="102">
        <f>3.0417/J$1</f>
        <v>9.8119354838709677E-2</v>
      </c>
      <c r="K11" s="106">
        <v>1.32E-2</v>
      </c>
      <c r="L11" s="106">
        <v>2.2000000000000001E-3</v>
      </c>
      <c r="M11" s="106">
        <v>7.4999999999999997E-3</v>
      </c>
      <c r="N11" s="106">
        <v>0</v>
      </c>
      <c r="O11" s="107">
        <v>2.1160000000000002E-2</v>
      </c>
      <c r="P11" s="106">
        <f>SUM(J11:N11)</f>
        <v>0.12101935483870968</v>
      </c>
      <c r="Q11" s="108">
        <v>62164</v>
      </c>
      <c r="R11" s="158">
        <v>2000</v>
      </c>
      <c r="S11" s="109" t="s">
        <v>138</v>
      </c>
      <c r="T11" s="110">
        <f t="shared" si="0"/>
        <v>6083.4000000000005</v>
      </c>
      <c r="U11" s="111">
        <v>235649</v>
      </c>
      <c r="V11" s="111"/>
    </row>
    <row r="12" spans="2:24" s="112" customFormat="1" x14ac:dyDescent="0.25">
      <c r="B12" s="103" t="s">
        <v>110</v>
      </c>
      <c r="C12" s="104" t="s">
        <v>61</v>
      </c>
      <c r="D12" s="104" t="s">
        <v>63</v>
      </c>
      <c r="E12" s="105">
        <v>36557</v>
      </c>
      <c r="F12" s="105">
        <v>36922</v>
      </c>
      <c r="G12" s="103" t="s">
        <v>112</v>
      </c>
      <c r="H12" s="103" t="s">
        <v>113</v>
      </c>
      <c r="I12" s="104" t="s">
        <v>70</v>
      </c>
      <c r="J12" s="102">
        <f>6.431/J$1</f>
        <v>0.20745161290322581</v>
      </c>
      <c r="K12" s="106"/>
      <c r="L12" s="106"/>
      <c r="M12" s="106"/>
      <c r="N12" s="106"/>
      <c r="O12" s="107"/>
      <c r="P12" s="106"/>
      <c r="Q12" s="108">
        <v>66280</v>
      </c>
      <c r="R12" s="104">
        <v>1</v>
      </c>
      <c r="S12" s="103" t="s">
        <v>115</v>
      </c>
      <c r="T12" s="110">
        <f t="shared" si="0"/>
        <v>6.431</v>
      </c>
      <c r="U12" s="123">
        <v>156606</v>
      </c>
      <c r="V12" s="103"/>
      <c r="W12" s="111"/>
      <c r="X12" s="111"/>
    </row>
    <row r="13" spans="2:24" s="112" customFormat="1" x14ac:dyDescent="0.25">
      <c r="B13" s="103" t="s">
        <v>110</v>
      </c>
      <c r="C13" s="104" t="s">
        <v>61</v>
      </c>
      <c r="D13" s="104" t="s">
        <v>63</v>
      </c>
      <c r="E13" s="105">
        <v>36557</v>
      </c>
      <c r="F13" s="105">
        <v>36922</v>
      </c>
      <c r="G13" s="103" t="s">
        <v>112</v>
      </c>
      <c r="H13" s="103" t="s">
        <v>114</v>
      </c>
      <c r="I13" s="104" t="s">
        <v>70</v>
      </c>
      <c r="J13" s="102">
        <f>6.431/J$1</f>
        <v>0.20745161290322581</v>
      </c>
      <c r="K13" s="106"/>
      <c r="L13" s="106"/>
      <c r="M13" s="106"/>
      <c r="N13" s="106"/>
      <c r="O13" s="107"/>
      <c r="P13" s="106"/>
      <c r="Q13" s="108">
        <v>66280</v>
      </c>
      <c r="R13" s="104">
        <v>4</v>
      </c>
      <c r="S13" s="103" t="s">
        <v>115</v>
      </c>
      <c r="T13" s="110">
        <f t="shared" si="0"/>
        <v>25.724</v>
      </c>
      <c r="U13" s="123">
        <v>156606</v>
      </c>
      <c r="V13" s="103"/>
      <c r="W13" s="111"/>
      <c r="X13" s="111"/>
    </row>
    <row r="14" spans="2:24" s="58" customFormat="1" x14ac:dyDescent="0.25">
      <c r="B14" s="1" t="s">
        <v>110</v>
      </c>
      <c r="C14" s="3" t="s">
        <v>61</v>
      </c>
      <c r="D14" s="3" t="s">
        <v>140</v>
      </c>
      <c r="E14" s="4">
        <v>36617</v>
      </c>
      <c r="F14" s="4" t="s">
        <v>141</v>
      </c>
      <c r="G14" s="1" t="s">
        <v>142</v>
      </c>
      <c r="H14" s="1"/>
      <c r="I14" s="3" t="s">
        <v>143</v>
      </c>
      <c r="J14" s="8"/>
      <c r="K14" s="5"/>
      <c r="L14" s="5"/>
      <c r="M14" s="5"/>
      <c r="N14" s="5"/>
      <c r="O14" s="41"/>
      <c r="P14" s="5"/>
      <c r="Q14" s="24">
        <v>66917</v>
      </c>
      <c r="R14" s="3"/>
      <c r="S14" s="1"/>
      <c r="T14" s="9">
        <f t="shared" si="0"/>
        <v>0</v>
      </c>
      <c r="U14" s="54">
        <v>228085</v>
      </c>
      <c r="V14" s="1"/>
      <c r="W14" s="36"/>
      <c r="X14" s="36"/>
    </row>
    <row r="15" spans="2:24" s="112" customFormat="1" x14ac:dyDescent="0.25">
      <c r="B15" s="103" t="s">
        <v>110</v>
      </c>
      <c r="C15" s="104" t="s">
        <v>61</v>
      </c>
      <c r="D15" s="104" t="s">
        <v>63</v>
      </c>
      <c r="E15" s="105">
        <v>36617</v>
      </c>
      <c r="F15" s="105">
        <v>36981</v>
      </c>
      <c r="G15" s="103" t="s">
        <v>112</v>
      </c>
      <c r="H15" s="103" t="s">
        <v>150</v>
      </c>
      <c r="I15" s="104" t="s">
        <v>70</v>
      </c>
      <c r="J15" s="102">
        <f t="shared" ref="J15:J20" si="1">6.431/$J$1</f>
        <v>0.20745161290322581</v>
      </c>
      <c r="K15" s="106"/>
      <c r="L15" s="106"/>
      <c r="M15" s="106"/>
      <c r="N15" s="106"/>
      <c r="O15" s="107"/>
      <c r="P15" s="106"/>
      <c r="Q15" s="108">
        <v>66939</v>
      </c>
      <c r="R15" s="104">
        <v>3</v>
      </c>
      <c r="S15" s="103" t="s">
        <v>31</v>
      </c>
      <c r="T15" s="110">
        <f t="shared" si="0"/>
        <v>19.292999999999999</v>
      </c>
      <c r="U15" s="123"/>
      <c r="V15" s="103"/>
      <c r="W15" s="111"/>
      <c r="X15" s="111"/>
    </row>
    <row r="16" spans="2:24" s="112" customFormat="1" x14ac:dyDescent="0.25">
      <c r="B16" s="103" t="s">
        <v>110</v>
      </c>
      <c r="C16" s="104" t="s">
        <v>61</v>
      </c>
      <c r="D16" s="104" t="s">
        <v>63</v>
      </c>
      <c r="E16" s="105">
        <v>36617</v>
      </c>
      <c r="F16" s="105">
        <v>36981</v>
      </c>
      <c r="G16" s="103" t="s">
        <v>112</v>
      </c>
      <c r="H16" s="103" t="s">
        <v>113</v>
      </c>
      <c r="I16" s="104" t="s">
        <v>70</v>
      </c>
      <c r="J16" s="102">
        <f t="shared" si="1"/>
        <v>0.20745161290322581</v>
      </c>
      <c r="K16" s="106"/>
      <c r="L16" s="106"/>
      <c r="M16" s="106"/>
      <c r="N16" s="106"/>
      <c r="O16" s="107"/>
      <c r="P16" s="106"/>
      <c r="Q16" s="108">
        <v>66939</v>
      </c>
      <c r="R16" s="104">
        <v>5</v>
      </c>
      <c r="S16" s="103" t="s">
        <v>31</v>
      </c>
      <c r="T16" s="110">
        <f t="shared" si="0"/>
        <v>32.155000000000001</v>
      </c>
      <c r="U16" s="123"/>
      <c r="V16" s="103"/>
      <c r="W16" s="111"/>
      <c r="X16" s="111"/>
    </row>
    <row r="17" spans="2:24" s="112" customFormat="1" x14ac:dyDescent="0.25">
      <c r="B17" s="103" t="s">
        <v>110</v>
      </c>
      <c r="C17" s="104" t="s">
        <v>61</v>
      </c>
      <c r="D17" s="104" t="s">
        <v>63</v>
      </c>
      <c r="E17" s="105">
        <v>36617</v>
      </c>
      <c r="F17" s="105">
        <v>36981</v>
      </c>
      <c r="G17" s="103" t="s">
        <v>112</v>
      </c>
      <c r="H17" s="103" t="s">
        <v>151</v>
      </c>
      <c r="I17" s="104" t="s">
        <v>70</v>
      </c>
      <c r="J17" s="102">
        <f t="shared" si="1"/>
        <v>0.20745161290322581</v>
      </c>
      <c r="K17" s="106"/>
      <c r="L17" s="106"/>
      <c r="M17" s="106"/>
      <c r="N17" s="106"/>
      <c r="O17" s="107"/>
      <c r="P17" s="106"/>
      <c r="Q17" s="108">
        <v>66939</v>
      </c>
      <c r="R17" s="104">
        <v>17</v>
      </c>
      <c r="S17" s="103" t="s">
        <v>31</v>
      </c>
      <c r="T17" s="110">
        <f t="shared" si="0"/>
        <v>109.327</v>
      </c>
      <c r="U17" s="123"/>
      <c r="V17" s="103"/>
      <c r="W17" s="111"/>
      <c r="X17" s="111"/>
    </row>
    <row r="18" spans="2:24" s="112" customFormat="1" x14ac:dyDescent="0.25">
      <c r="B18" s="103" t="s">
        <v>110</v>
      </c>
      <c r="C18" s="104" t="s">
        <v>61</v>
      </c>
      <c r="D18" s="104" t="s">
        <v>63</v>
      </c>
      <c r="E18" s="105">
        <v>36617</v>
      </c>
      <c r="F18" s="105">
        <v>36981</v>
      </c>
      <c r="G18" s="103" t="s">
        <v>112</v>
      </c>
      <c r="H18" s="103" t="s">
        <v>114</v>
      </c>
      <c r="I18" s="104" t="s">
        <v>70</v>
      </c>
      <c r="J18" s="102">
        <f t="shared" si="1"/>
        <v>0.20745161290322581</v>
      </c>
      <c r="K18" s="106"/>
      <c r="L18" s="106"/>
      <c r="M18" s="106"/>
      <c r="N18" s="106"/>
      <c r="O18" s="107"/>
      <c r="P18" s="106"/>
      <c r="Q18" s="108">
        <v>66939</v>
      </c>
      <c r="R18" s="104">
        <v>27</v>
      </c>
      <c r="S18" s="103" t="s">
        <v>31</v>
      </c>
      <c r="T18" s="110">
        <f t="shared" si="0"/>
        <v>173.637</v>
      </c>
      <c r="U18" s="123"/>
      <c r="V18" s="103"/>
      <c r="W18" s="111"/>
      <c r="X18" s="111"/>
    </row>
    <row r="19" spans="2:24" s="112" customFormat="1" x14ac:dyDescent="0.25">
      <c r="B19" s="103" t="s">
        <v>110</v>
      </c>
      <c r="C19" s="104" t="s">
        <v>61</v>
      </c>
      <c r="D19" s="104" t="s">
        <v>62</v>
      </c>
      <c r="E19" s="105">
        <v>36617</v>
      </c>
      <c r="F19" s="105">
        <v>36981</v>
      </c>
      <c r="G19" s="103" t="s">
        <v>197</v>
      </c>
      <c r="H19" s="103" t="s">
        <v>152</v>
      </c>
      <c r="I19" s="104" t="s">
        <v>70</v>
      </c>
      <c r="J19" s="102">
        <f t="shared" si="1"/>
        <v>0.20745161290322581</v>
      </c>
      <c r="K19" s="106"/>
      <c r="L19" s="106"/>
      <c r="M19" s="106"/>
      <c r="N19" s="106"/>
      <c r="O19" s="107"/>
      <c r="P19" s="106"/>
      <c r="Q19" s="108">
        <v>66940</v>
      </c>
      <c r="R19" s="104">
        <v>1</v>
      </c>
      <c r="S19" s="109" t="s">
        <v>144</v>
      </c>
      <c r="T19" s="110">
        <f t="shared" si="0"/>
        <v>6.431</v>
      </c>
      <c r="U19" s="123">
        <v>228134</v>
      </c>
      <c r="V19" s="103"/>
      <c r="W19" s="111"/>
      <c r="X19" s="111"/>
    </row>
    <row r="20" spans="2:24" s="112" customFormat="1" x14ac:dyDescent="0.25">
      <c r="B20" s="103" t="s">
        <v>110</v>
      </c>
      <c r="C20" s="104" t="s">
        <v>61</v>
      </c>
      <c r="D20" s="104" t="s">
        <v>62</v>
      </c>
      <c r="E20" s="105">
        <v>36617</v>
      </c>
      <c r="F20" s="105">
        <v>36981</v>
      </c>
      <c r="G20" s="103" t="s">
        <v>197</v>
      </c>
      <c r="H20" s="103" t="s">
        <v>153</v>
      </c>
      <c r="I20" s="104" t="s">
        <v>70</v>
      </c>
      <c r="J20" s="102">
        <f t="shared" si="1"/>
        <v>0.20745161290322581</v>
      </c>
      <c r="K20" s="106"/>
      <c r="L20" s="106"/>
      <c r="M20" s="106"/>
      <c r="N20" s="106"/>
      <c r="O20" s="107"/>
      <c r="P20" s="106"/>
      <c r="Q20" s="108">
        <v>66940</v>
      </c>
      <c r="R20" s="104">
        <v>1</v>
      </c>
      <c r="S20" s="109" t="s">
        <v>144</v>
      </c>
      <c r="T20" s="110">
        <f t="shared" si="0"/>
        <v>6.431</v>
      </c>
      <c r="U20" s="123">
        <v>228134</v>
      </c>
      <c r="V20" s="103"/>
      <c r="W20" s="111"/>
      <c r="X20" s="111"/>
    </row>
    <row r="21" spans="2:24" s="58" customFormat="1" x14ac:dyDescent="0.25">
      <c r="B21" s="1" t="s">
        <v>110</v>
      </c>
      <c r="C21" s="3" t="s">
        <v>61</v>
      </c>
      <c r="D21" s="3" t="s">
        <v>71</v>
      </c>
      <c r="E21" s="4">
        <v>36800</v>
      </c>
      <c r="F21" s="4">
        <v>36981</v>
      </c>
      <c r="G21" s="1" t="s">
        <v>72</v>
      </c>
      <c r="H21" s="1" t="s">
        <v>78</v>
      </c>
      <c r="I21" s="3" t="s">
        <v>77</v>
      </c>
      <c r="J21" s="102">
        <f>6.059/$J$1</f>
        <v>0.19545161290322582</v>
      </c>
      <c r="K21" s="5">
        <v>1.2999999999999999E-2</v>
      </c>
      <c r="L21" s="5">
        <v>2.2000000000000001E-3</v>
      </c>
      <c r="M21" s="5">
        <v>7.1999999999999998E-3</v>
      </c>
      <c r="N21" s="5">
        <v>0</v>
      </c>
      <c r="O21" s="41">
        <v>2.1160000000000002E-2</v>
      </c>
      <c r="P21" s="5">
        <f>SUM(J21:N21)</f>
        <v>0.21785161290322586</v>
      </c>
      <c r="Q21" s="24">
        <v>67694</v>
      </c>
      <c r="R21" s="3">
        <v>108648</v>
      </c>
      <c r="S21" s="1" t="s">
        <v>33</v>
      </c>
      <c r="T21" s="9">
        <f t="shared" si="0"/>
        <v>658298.23199999996</v>
      </c>
      <c r="U21" s="54">
        <v>231723</v>
      </c>
      <c r="V21" s="1"/>
      <c r="W21" s="36"/>
      <c r="X21" s="36"/>
    </row>
    <row r="22" spans="2:24" s="58" customFormat="1" x14ac:dyDescent="0.25">
      <c r="B22" s="1" t="s">
        <v>110</v>
      </c>
      <c r="C22" s="3" t="s">
        <v>61</v>
      </c>
      <c r="D22" s="3" t="s">
        <v>71</v>
      </c>
      <c r="E22" s="4">
        <v>36617</v>
      </c>
      <c r="F22" s="4">
        <v>36981</v>
      </c>
      <c r="G22" s="1" t="s">
        <v>72</v>
      </c>
      <c r="H22" s="1" t="s">
        <v>75</v>
      </c>
      <c r="I22" s="3" t="s">
        <v>73</v>
      </c>
      <c r="J22" s="102">
        <v>1.524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1.524</v>
      </c>
      <c r="Q22" s="24">
        <v>67712</v>
      </c>
      <c r="R22" s="3">
        <v>108648</v>
      </c>
      <c r="S22" s="1" t="s">
        <v>159</v>
      </c>
      <c r="T22" s="9">
        <f>J22*R22</f>
        <v>165579.552</v>
      </c>
      <c r="U22" s="54">
        <v>235876</v>
      </c>
      <c r="V22" s="1">
        <v>231698</v>
      </c>
      <c r="W22" s="36"/>
      <c r="X22" s="36"/>
    </row>
    <row r="23" spans="2:24" s="58" customFormat="1" x14ac:dyDescent="0.25">
      <c r="B23" s="1" t="s">
        <v>110</v>
      </c>
      <c r="C23" s="3" t="s">
        <v>61</v>
      </c>
      <c r="D23" s="3" t="s">
        <v>71</v>
      </c>
      <c r="E23" s="4">
        <v>36617</v>
      </c>
      <c r="F23" s="4">
        <v>36981</v>
      </c>
      <c r="G23" s="1" t="s">
        <v>72</v>
      </c>
      <c r="H23" s="1" t="s">
        <v>74</v>
      </c>
      <c r="I23" s="3" t="s">
        <v>73</v>
      </c>
      <c r="J23" s="102">
        <v>2.93E-2</v>
      </c>
      <c r="K23" s="5">
        <v>0</v>
      </c>
      <c r="L23" s="5">
        <v>0</v>
      </c>
      <c r="M23" s="5">
        <v>0</v>
      </c>
      <c r="N23" s="5">
        <v>0</v>
      </c>
      <c r="O23" s="41">
        <v>0</v>
      </c>
      <c r="P23" s="5">
        <f>SUM(J23:N23)</f>
        <v>2.93E-2</v>
      </c>
      <c r="Q23" s="24">
        <v>67712</v>
      </c>
      <c r="R23" s="3">
        <v>6050607</v>
      </c>
      <c r="S23" s="1" t="s">
        <v>159</v>
      </c>
      <c r="T23" s="9">
        <f>J23*R23</f>
        <v>177282.78510000001</v>
      </c>
      <c r="U23" s="54">
        <v>235876</v>
      </c>
      <c r="V23" s="1">
        <v>231698</v>
      </c>
      <c r="W23" s="36"/>
      <c r="X23" s="36"/>
    </row>
    <row r="24" spans="2:24" s="58" customFormat="1" x14ac:dyDescent="0.25">
      <c r="B24" s="1" t="s">
        <v>110</v>
      </c>
      <c r="C24" s="3" t="s">
        <v>61</v>
      </c>
      <c r="D24" s="3" t="s">
        <v>71</v>
      </c>
      <c r="E24" s="4">
        <v>36617</v>
      </c>
      <c r="F24" s="4">
        <v>36981</v>
      </c>
      <c r="G24" s="1" t="s">
        <v>72</v>
      </c>
      <c r="H24" s="1" t="s">
        <v>74</v>
      </c>
      <c r="I24" s="3" t="s">
        <v>73</v>
      </c>
      <c r="J24" s="8">
        <v>0</v>
      </c>
      <c r="K24" s="5">
        <v>0</v>
      </c>
      <c r="L24" s="5">
        <v>0</v>
      </c>
      <c r="M24" s="5">
        <v>0</v>
      </c>
      <c r="N24" s="5">
        <v>0</v>
      </c>
      <c r="O24" s="41">
        <v>0</v>
      </c>
      <c r="P24" s="5">
        <f>SUM(J24:N24)</f>
        <v>0</v>
      </c>
      <c r="Q24" s="24">
        <v>67713</v>
      </c>
      <c r="R24" s="3">
        <v>0</v>
      </c>
      <c r="S24" s="1" t="s">
        <v>177</v>
      </c>
      <c r="T24" s="9">
        <f>J24*R24</f>
        <v>0</v>
      </c>
      <c r="U24" s="54">
        <v>235876</v>
      </c>
      <c r="V24" s="1"/>
      <c r="W24" s="36"/>
      <c r="X24" s="36"/>
    </row>
    <row r="25" spans="2:24" s="58" customFormat="1" x14ac:dyDescent="0.25">
      <c r="B25" s="1" t="s">
        <v>110</v>
      </c>
      <c r="C25" s="3" t="s">
        <v>61</v>
      </c>
      <c r="D25" s="3" t="s">
        <v>71</v>
      </c>
      <c r="E25" s="4">
        <v>36617</v>
      </c>
      <c r="F25" s="4">
        <v>36981</v>
      </c>
      <c r="G25" s="1" t="s">
        <v>72</v>
      </c>
      <c r="H25" s="1" t="s">
        <v>75</v>
      </c>
      <c r="I25" s="3" t="s">
        <v>73</v>
      </c>
      <c r="J25" s="8">
        <v>0</v>
      </c>
      <c r="K25" s="5">
        <v>0</v>
      </c>
      <c r="L25" s="5">
        <v>0</v>
      </c>
      <c r="M25" s="5">
        <v>0</v>
      </c>
      <c r="N25" s="5">
        <v>0</v>
      </c>
      <c r="O25" s="41">
        <v>0</v>
      </c>
      <c r="P25" s="5">
        <f>SUM(J25:N25)</f>
        <v>0</v>
      </c>
      <c r="Q25" s="24">
        <v>67713</v>
      </c>
      <c r="R25" s="3">
        <v>0</v>
      </c>
      <c r="S25" s="1" t="s">
        <v>177</v>
      </c>
      <c r="T25" s="9">
        <f>J25*R25</f>
        <v>0</v>
      </c>
      <c r="U25" s="54">
        <v>235876</v>
      </c>
      <c r="V25" s="1"/>
      <c r="W25" s="36"/>
      <c r="X25" s="36"/>
    </row>
    <row r="26" spans="2:24" s="112" customFormat="1" x14ac:dyDescent="0.25">
      <c r="B26" s="103" t="s">
        <v>110</v>
      </c>
      <c r="C26" s="104" t="s">
        <v>61</v>
      </c>
      <c r="D26" s="104" t="s">
        <v>62</v>
      </c>
      <c r="E26" s="105">
        <v>36647</v>
      </c>
      <c r="F26" s="105">
        <v>37011</v>
      </c>
      <c r="G26" s="103" t="s">
        <v>287</v>
      </c>
      <c r="H26" s="103" t="s">
        <v>157</v>
      </c>
      <c r="I26" s="104" t="s">
        <v>70</v>
      </c>
      <c r="J26" s="102">
        <f>6.431/$J$1</f>
        <v>0.20745161290322581</v>
      </c>
      <c r="K26" s="106"/>
      <c r="L26" s="106"/>
      <c r="M26" s="106"/>
      <c r="N26" s="106"/>
      <c r="O26" s="107"/>
      <c r="P26" s="106"/>
      <c r="Q26" s="108">
        <v>68188</v>
      </c>
      <c r="R26" s="104">
        <v>1</v>
      </c>
      <c r="S26" s="103" t="s">
        <v>158</v>
      </c>
      <c r="T26" s="110">
        <f t="shared" ref="T26:T67" si="2">J26*J$1*R26</f>
        <v>6.431</v>
      </c>
      <c r="U26" s="123">
        <v>253195</v>
      </c>
      <c r="V26" s="103"/>
      <c r="W26" s="111"/>
      <c r="X26" s="111"/>
    </row>
    <row r="27" spans="2:24" s="157" customFormat="1" x14ac:dyDescent="0.25">
      <c r="B27" s="127" t="s">
        <v>110</v>
      </c>
      <c r="C27" s="115" t="s">
        <v>61</v>
      </c>
      <c r="D27" s="115" t="s">
        <v>83</v>
      </c>
      <c r="E27" s="154">
        <v>36647</v>
      </c>
      <c r="F27" s="154">
        <v>37011</v>
      </c>
      <c r="G27" s="127" t="s">
        <v>112</v>
      </c>
      <c r="H27" s="127" t="s">
        <v>288</v>
      </c>
      <c r="I27" s="115" t="s">
        <v>70</v>
      </c>
      <c r="J27" s="102">
        <f>6.431/$J$1</f>
        <v>0.20745161290322581</v>
      </c>
      <c r="K27" s="155"/>
      <c r="L27" s="155"/>
      <c r="M27" s="155"/>
      <c r="N27" s="155"/>
      <c r="O27" s="156"/>
      <c r="P27" s="155"/>
      <c r="Q27" s="114">
        <v>68257</v>
      </c>
      <c r="R27" s="115">
        <v>21</v>
      </c>
      <c r="S27" s="127" t="s">
        <v>161</v>
      </c>
      <c r="T27" s="110">
        <f t="shared" si="2"/>
        <v>135.05099999999999</v>
      </c>
      <c r="U27" s="130">
        <v>254718</v>
      </c>
      <c r="V27" s="127"/>
      <c r="W27" s="131"/>
      <c r="X27" s="131"/>
    </row>
    <row r="28" spans="2:24" s="112" customFormat="1" x14ac:dyDescent="0.25">
      <c r="B28" s="103" t="s">
        <v>110</v>
      </c>
      <c r="C28" s="104" t="s">
        <v>61</v>
      </c>
      <c r="D28" s="104" t="s">
        <v>63</v>
      </c>
      <c r="E28" s="105">
        <v>36656</v>
      </c>
      <c r="F28" s="105">
        <v>36950</v>
      </c>
      <c r="G28" s="103" t="s">
        <v>112</v>
      </c>
      <c r="H28" s="109" t="s">
        <v>114</v>
      </c>
      <c r="I28" s="104" t="s">
        <v>70</v>
      </c>
      <c r="J28" s="102">
        <f t="shared" ref="J28:J36" si="3">6.431/$J$1</f>
        <v>0.20745161290322581</v>
      </c>
      <c r="K28" s="106"/>
      <c r="L28" s="106"/>
      <c r="M28" s="106"/>
      <c r="N28" s="106"/>
      <c r="O28" s="107"/>
      <c r="P28" s="106"/>
      <c r="Q28" s="108">
        <v>68308</v>
      </c>
      <c r="R28" s="104">
        <v>4</v>
      </c>
      <c r="S28" s="103" t="s">
        <v>164</v>
      </c>
      <c r="T28" s="110">
        <f t="shared" si="2"/>
        <v>25.724</v>
      </c>
      <c r="U28" s="123">
        <v>262094</v>
      </c>
      <c r="V28" s="103"/>
      <c r="W28" s="111"/>
      <c r="X28" s="111"/>
    </row>
    <row r="29" spans="2:24" s="112" customFormat="1" x14ac:dyDescent="0.25">
      <c r="B29" s="103" t="s">
        <v>110</v>
      </c>
      <c r="C29" s="104" t="s">
        <v>61</v>
      </c>
      <c r="D29" s="104" t="s">
        <v>63</v>
      </c>
      <c r="E29" s="105">
        <v>36656</v>
      </c>
      <c r="F29" s="105">
        <v>36950</v>
      </c>
      <c r="G29" s="103" t="s">
        <v>112</v>
      </c>
      <c r="H29" s="109" t="s">
        <v>113</v>
      </c>
      <c r="I29" s="104" t="s">
        <v>70</v>
      </c>
      <c r="J29" s="102">
        <f t="shared" si="3"/>
        <v>0.20745161290322581</v>
      </c>
      <c r="K29" s="106"/>
      <c r="L29" s="106"/>
      <c r="M29" s="106"/>
      <c r="N29" s="106"/>
      <c r="O29" s="107"/>
      <c r="P29" s="106"/>
      <c r="Q29" s="108">
        <v>68308</v>
      </c>
      <c r="R29" s="104">
        <v>5</v>
      </c>
      <c r="S29" s="103" t="s">
        <v>164</v>
      </c>
      <c r="T29" s="110">
        <f t="shared" si="2"/>
        <v>32.155000000000001</v>
      </c>
      <c r="U29" s="123">
        <v>262094</v>
      </c>
      <c r="V29" s="103"/>
      <c r="W29" s="111"/>
      <c r="X29" s="111"/>
    </row>
    <row r="30" spans="2:24" s="112" customFormat="1" x14ac:dyDescent="0.25">
      <c r="B30" s="103" t="s">
        <v>110</v>
      </c>
      <c r="C30" s="104" t="s">
        <v>61</v>
      </c>
      <c r="D30" s="104" t="s">
        <v>68</v>
      </c>
      <c r="E30" s="105">
        <v>36678</v>
      </c>
      <c r="F30" s="105">
        <v>37042</v>
      </c>
      <c r="G30" s="103" t="s">
        <v>69</v>
      </c>
      <c r="H30" s="103" t="s">
        <v>289</v>
      </c>
      <c r="I30" s="104" t="s">
        <v>70</v>
      </c>
      <c r="J30" s="102">
        <f t="shared" si="3"/>
        <v>0.20745161290322581</v>
      </c>
      <c r="K30" s="106">
        <v>1.32E-2</v>
      </c>
      <c r="L30" s="106">
        <v>2.2000000000000001E-3</v>
      </c>
      <c r="M30" s="106">
        <v>7.1999999999999998E-3</v>
      </c>
      <c r="N30" s="106">
        <v>0</v>
      </c>
      <c r="O30" s="107">
        <v>2.1160000000000002E-2</v>
      </c>
      <c r="P30" s="106">
        <f t="shared" ref="P30:P36" si="4">SUM(J30:N30)</f>
        <v>0.23005161290322582</v>
      </c>
      <c r="Q30" s="108">
        <v>68359</v>
      </c>
      <c r="R30" s="104">
        <v>285</v>
      </c>
      <c r="S30" s="103" t="s">
        <v>175</v>
      </c>
      <c r="T30" s="110">
        <f t="shared" si="2"/>
        <v>1832.835</v>
      </c>
      <c r="U30" s="123">
        <v>271307</v>
      </c>
      <c r="V30" s="103"/>
      <c r="W30" s="111"/>
      <c r="X30" s="111"/>
    </row>
    <row r="31" spans="2:24" s="112" customFormat="1" x14ac:dyDescent="0.25">
      <c r="B31" s="103" t="s">
        <v>110</v>
      </c>
      <c r="C31" s="104" t="s">
        <v>61</v>
      </c>
      <c r="D31" s="104" t="s">
        <v>67</v>
      </c>
      <c r="E31" s="105">
        <v>36678</v>
      </c>
      <c r="F31" s="105">
        <v>37042</v>
      </c>
      <c r="G31" s="103" t="s">
        <v>69</v>
      </c>
      <c r="H31" s="103" t="s">
        <v>290</v>
      </c>
      <c r="I31" s="104" t="s">
        <v>70</v>
      </c>
      <c r="J31" s="102">
        <f t="shared" si="3"/>
        <v>0.20745161290322581</v>
      </c>
      <c r="K31" s="106">
        <v>1.32E-2</v>
      </c>
      <c r="L31" s="106">
        <v>2.2000000000000001E-3</v>
      </c>
      <c r="M31" s="106">
        <v>7.1999999999999998E-3</v>
      </c>
      <c r="N31" s="106">
        <v>0</v>
      </c>
      <c r="O31" s="107">
        <v>2.1160000000000002E-2</v>
      </c>
      <c r="P31" s="106">
        <f t="shared" si="4"/>
        <v>0.23005161290322582</v>
      </c>
      <c r="Q31" s="108">
        <v>68384</v>
      </c>
      <c r="R31" s="104">
        <v>23</v>
      </c>
      <c r="S31" s="103" t="s">
        <v>174</v>
      </c>
      <c r="T31" s="110">
        <f t="shared" si="2"/>
        <v>147.91300000000001</v>
      </c>
      <c r="U31" s="123">
        <v>280570</v>
      </c>
      <c r="V31" s="103"/>
      <c r="W31" s="111"/>
      <c r="X31" s="111"/>
    </row>
    <row r="32" spans="2:24" s="112" customFormat="1" x14ac:dyDescent="0.25">
      <c r="B32" s="103" t="s">
        <v>110</v>
      </c>
      <c r="C32" s="104" t="s">
        <v>61</v>
      </c>
      <c r="D32" s="104" t="s">
        <v>67</v>
      </c>
      <c r="E32" s="105">
        <v>36678</v>
      </c>
      <c r="F32" s="105">
        <v>37042</v>
      </c>
      <c r="G32" s="103" t="s">
        <v>69</v>
      </c>
      <c r="H32" s="103" t="s">
        <v>291</v>
      </c>
      <c r="I32" s="104" t="s">
        <v>70</v>
      </c>
      <c r="J32" s="102">
        <f t="shared" si="3"/>
        <v>0.20745161290322581</v>
      </c>
      <c r="K32" s="106">
        <v>1.32E-2</v>
      </c>
      <c r="L32" s="106">
        <v>2.2000000000000001E-3</v>
      </c>
      <c r="M32" s="106">
        <v>7.1999999999999998E-3</v>
      </c>
      <c r="N32" s="106">
        <v>0</v>
      </c>
      <c r="O32" s="107">
        <v>2.1160000000000002E-2</v>
      </c>
      <c r="P32" s="106">
        <f t="shared" si="4"/>
        <v>0.23005161290322582</v>
      </c>
      <c r="Q32" s="108">
        <v>68384</v>
      </c>
      <c r="R32" s="104">
        <v>88</v>
      </c>
      <c r="S32" s="103" t="s">
        <v>174</v>
      </c>
      <c r="T32" s="110">
        <f>J32*J$1*R32</f>
        <v>565.928</v>
      </c>
      <c r="U32" s="123">
        <v>280570</v>
      </c>
      <c r="V32" s="103"/>
      <c r="W32" s="111"/>
      <c r="X32" s="111"/>
    </row>
    <row r="33" spans="2:25" s="112" customFormat="1" x14ac:dyDescent="0.25">
      <c r="B33" s="103" t="s">
        <v>110</v>
      </c>
      <c r="C33" s="104" t="s">
        <v>61</v>
      </c>
      <c r="D33" s="104" t="s">
        <v>67</v>
      </c>
      <c r="E33" s="105">
        <v>36678</v>
      </c>
      <c r="F33" s="105">
        <v>37042</v>
      </c>
      <c r="G33" s="103" t="s">
        <v>69</v>
      </c>
      <c r="H33" s="103" t="s">
        <v>292</v>
      </c>
      <c r="I33" s="104" t="s">
        <v>70</v>
      </c>
      <c r="J33" s="102">
        <f t="shared" si="3"/>
        <v>0.20745161290322581</v>
      </c>
      <c r="K33" s="106">
        <v>1.32E-2</v>
      </c>
      <c r="L33" s="106">
        <v>2.2000000000000001E-3</v>
      </c>
      <c r="M33" s="106">
        <v>7.1999999999999998E-3</v>
      </c>
      <c r="N33" s="106">
        <v>0</v>
      </c>
      <c r="O33" s="107">
        <v>2.1160000000000002E-2</v>
      </c>
      <c r="P33" s="106">
        <f t="shared" si="4"/>
        <v>0.23005161290322582</v>
      </c>
      <c r="Q33" s="108">
        <v>68384</v>
      </c>
      <c r="R33" s="104">
        <v>19</v>
      </c>
      <c r="S33" s="103" t="s">
        <v>174</v>
      </c>
      <c r="T33" s="110">
        <f>J33*J$1*R33</f>
        <v>122.18900000000001</v>
      </c>
      <c r="U33" s="123">
        <v>280570</v>
      </c>
      <c r="V33" s="103"/>
      <c r="W33" s="111"/>
      <c r="X33" s="111"/>
    </row>
    <row r="34" spans="2:25" s="112" customFormat="1" x14ac:dyDescent="0.25">
      <c r="B34" s="103" t="s">
        <v>110</v>
      </c>
      <c r="C34" s="104" t="s">
        <v>61</v>
      </c>
      <c r="D34" s="104" t="s">
        <v>67</v>
      </c>
      <c r="E34" s="105">
        <v>36678</v>
      </c>
      <c r="F34" s="105">
        <v>37042</v>
      </c>
      <c r="G34" s="103" t="s">
        <v>69</v>
      </c>
      <c r="H34" s="103" t="s">
        <v>151</v>
      </c>
      <c r="I34" s="104" t="s">
        <v>70</v>
      </c>
      <c r="J34" s="102">
        <f t="shared" si="3"/>
        <v>0.20745161290322581</v>
      </c>
      <c r="K34" s="106">
        <v>1.32E-2</v>
      </c>
      <c r="L34" s="106">
        <v>2.2000000000000001E-3</v>
      </c>
      <c r="M34" s="106">
        <v>7.1999999999999998E-3</v>
      </c>
      <c r="N34" s="106">
        <v>0</v>
      </c>
      <c r="O34" s="107">
        <v>2.1160000000000002E-2</v>
      </c>
      <c r="P34" s="106">
        <f t="shared" si="4"/>
        <v>0.23005161290322582</v>
      </c>
      <c r="Q34" s="108">
        <v>68384</v>
      </c>
      <c r="R34" s="104">
        <v>88</v>
      </c>
      <c r="S34" s="103" t="s">
        <v>174</v>
      </c>
      <c r="T34" s="110">
        <f>J34*J$1*R34</f>
        <v>565.928</v>
      </c>
      <c r="U34" s="123">
        <v>280570</v>
      </c>
      <c r="V34" s="103"/>
      <c r="W34" s="111"/>
      <c r="X34" s="111"/>
    </row>
    <row r="35" spans="2:25" s="112" customFormat="1" x14ac:dyDescent="0.25">
      <c r="B35" s="103" t="s">
        <v>110</v>
      </c>
      <c r="C35" s="104" t="s">
        <v>61</v>
      </c>
      <c r="D35" s="104" t="s">
        <v>68</v>
      </c>
      <c r="E35" s="105">
        <v>36708</v>
      </c>
      <c r="F35" s="105">
        <v>37072</v>
      </c>
      <c r="G35" s="103" t="s">
        <v>69</v>
      </c>
      <c r="H35" s="103" t="s">
        <v>288</v>
      </c>
      <c r="I35" s="104" t="s">
        <v>70</v>
      </c>
      <c r="J35" s="102">
        <f t="shared" si="3"/>
        <v>0.20745161290322581</v>
      </c>
      <c r="K35" s="106">
        <v>1.32E-2</v>
      </c>
      <c r="L35" s="106">
        <v>2.2000000000000001E-3</v>
      </c>
      <c r="M35" s="106">
        <v>7.1999999999999998E-3</v>
      </c>
      <c r="N35" s="106">
        <v>0</v>
      </c>
      <c r="O35" s="107">
        <v>2.1160000000000002E-2</v>
      </c>
      <c r="P35" s="106">
        <f t="shared" si="4"/>
        <v>0.23005161290322582</v>
      </c>
      <c r="Q35" s="108">
        <v>68616</v>
      </c>
      <c r="R35" s="104">
        <v>900</v>
      </c>
      <c r="S35" s="103" t="s">
        <v>178</v>
      </c>
      <c r="T35" s="110">
        <f t="shared" si="2"/>
        <v>5787.9</v>
      </c>
      <c r="U35" s="123">
        <v>309723</v>
      </c>
      <c r="V35" s="103" t="s">
        <v>179</v>
      </c>
      <c r="W35" s="111"/>
      <c r="X35" s="111"/>
    </row>
    <row r="36" spans="2:25" s="112" customFormat="1" x14ac:dyDescent="0.25">
      <c r="B36" s="103" t="s">
        <v>110</v>
      </c>
      <c r="C36" s="104" t="s">
        <v>61</v>
      </c>
      <c r="D36" s="104" t="s">
        <v>67</v>
      </c>
      <c r="E36" s="105">
        <v>36708</v>
      </c>
      <c r="F36" s="105">
        <v>37072</v>
      </c>
      <c r="G36" s="103" t="s">
        <v>69</v>
      </c>
      <c r="H36" s="103" t="s">
        <v>290</v>
      </c>
      <c r="I36" s="104" t="s">
        <v>70</v>
      </c>
      <c r="J36" s="102">
        <f t="shared" si="3"/>
        <v>0.20745161290322581</v>
      </c>
      <c r="K36" s="106">
        <v>1.32E-2</v>
      </c>
      <c r="L36" s="106">
        <v>2.2000000000000001E-3</v>
      </c>
      <c r="M36" s="106">
        <v>7.1999999999999998E-3</v>
      </c>
      <c r="N36" s="106">
        <v>0</v>
      </c>
      <c r="O36" s="107">
        <v>2.1160000000000002E-2</v>
      </c>
      <c r="P36" s="106">
        <f t="shared" si="4"/>
        <v>0.23005161290322582</v>
      </c>
      <c r="Q36" s="108">
        <v>68635</v>
      </c>
      <c r="R36" s="104">
        <v>1</v>
      </c>
      <c r="S36" s="103" t="s">
        <v>180</v>
      </c>
      <c r="T36" s="110">
        <f t="shared" si="2"/>
        <v>6.431</v>
      </c>
      <c r="U36" s="123">
        <v>312333</v>
      </c>
      <c r="V36" s="103"/>
      <c r="W36" s="111"/>
      <c r="X36" s="111"/>
    </row>
    <row r="37" spans="2:25" s="112" customFormat="1" x14ac:dyDescent="0.25">
      <c r="B37" s="103" t="s">
        <v>110</v>
      </c>
      <c r="C37" s="104" t="s">
        <v>61</v>
      </c>
      <c r="D37" s="104" t="s">
        <v>107</v>
      </c>
      <c r="E37" s="105">
        <v>36831</v>
      </c>
      <c r="F37" s="105">
        <v>37195</v>
      </c>
      <c r="G37" s="103" t="s">
        <v>212</v>
      </c>
      <c r="H37" s="103" t="s">
        <v>213</v>
      </c>
      <c r="I37" s="104" t="s">
        <v>70</v>
      </c>
      <c r="J37" s="102">
        <f>5.171/J$1</f>
        <v>0.16680645161290322</v>
      </c>
      <c r="K37" s="106">
        <v>1.32E-2</v>
      </c>
      <c r="L37" s="106">
        <v>2.2000000000000001E-3</v>
      </c>
      <c r="M37" s="106">
        <v>7.1999999999999998E-3</v>
      </c>
      <c r="N37" s="106">
        <v>0</v>
      </c>
      <c r="O37" s="107">
        <v>2.1160000000000002E-2</v>
      </c>
      <c r="P37" s="106">
        <f t="shared" ref="P37:P43" si="5">SUM(J37:N37)</f>
        <v>0.18940645161290323</v>
      </c>
      <c r="Q37" s="108">
        <v>68915</v>
      </c>
      <c r="R37" s="104">
        <v>2400</v>
      </c>
      <c r="S37" s="103" t="s">
        <v>211</v>
      </c>
      <c r="T37" s="110">
        <f t="shared" si="2"/>
        <v>12410.400000000001</v>
      </c>
      <c r="U37" s="113" t="s">
        <v>221</v>
      </c>
      <c r="V37" s="103"/>
      <c r="W37" s="111"/>
      <c r="X37" s="111"/>
    </row>
    <row r="38" spans="2:25" s="112" customFormat="1" x14ac:dyDescent="0.25">
      <c r="B38" s="103" t="s">
        <v>110</v>
      </c>
      <c r="C38" s="104" t="s">
        <v>61</v>
      </c>
      <c r="D38" s="104" t="s">
        <v>107</v>
      </c>
      <c r="E38" s="105">
        <v>36831</v>
      </c>
      <c r="F38" s="105">
        <v>37195</v>
      </c>
      <c r="G38" s="103" t="s">
        <v>79</v>
      </c>
      <c r="H38" s="103" t="s">
        <v>214</v>
      </c>
      <c r="I38" s="104" t="s">
        <v>70</v>
      </c>
      <c r="J38" s="102">
        <f>5.18/J$1</f>
        <v>0.16709677419354838</v>
      </c>
      <c r="K38" s="106">
        <v>1.32E-2</v>
      </c>
      <c r="L38" s="106">
        <v>2.2000000000000001E-3</v>
      </c>
      <c r="M38" s="106">
        <v>7.1999999999999998E-3</v>
      </c>
      <c r="N38" s="106">
        <v>0</v>
      </c>
      <c r="O38" s="107">
        <v>2.1160000000000002E-2</v>
      </c>
      <c r="P38" s="106">
        <f t="shared" si="5"/>
        <v>0.18969677419354838</v>
      </c>
      <c r="Q38" s="108">
        <v>68916</v>
      </c>
      <c r="R38" s="104">
        <v>1915</v>
      </c>
      <c r="S38" s="103" t="s">
        <v>215</v>
      </c>
      <c r="T38" s="110">
        <f t="shared" si="2"/>
        <v>9919.6999999999989</v>
      </c>
      <c r="U38" s="113" t="s">
        <v>222</v>
      </c>
      <c r="V38" s="103"/>
      <c r="W38" s="111"/>
      <c r="X38" s="111"/>
    </row>
    <row r="39" spans="2:25" s="112" customFormat="1" x14ac:dyDescent="0.25">
      <c r="B39" s="103" t="s">
        <v>110</v>
      </c>
      <c r="C39" s="104" t="s">
        <v>61</v>
      </c>
      <c r="D39" s="104" t="s">
        <v>107</v>
      </c>
      <c r="E39" s="105">
        <v>36831</v>
      </c>
      <c r="F39" s="105">
        <v>37195</v>
      </c>
      <c r="G39" s="103" t="s">
        <v>79</v>
      </c>
      <c r="H39" s="103" t="s">
        <v>214</v>
      </c>
      <c r="I39" s="104" t="s">
        <v>70</v>
      </c>
      <c r="J39" s="102">
        <f>5.1807/J$1</f>
        <v>0.16711935483870968</v>
      </c>
      <c r="K39" s="106">
        <v>1.32E-2</v>
      </c>
      <c r="L39" s="106">
        <v>2.2000000000000001E-3</v>
      </c>
      <c r="M39" s="106">
        <v>7.1999999999999998E-3</v>
      </c>
      <c r="N39" s="106">
        <v>0</v>
      </c>
      <c r="O39" s="107">
        <v>2.1160000000000002E-2</v>
      </c>
      <c r="P39" s="106">
        <f t="shared" si="5"/>
        <v>0.18971935483870969</v>
      </c>
      <c r="Q39" s="108">
        <v>68917</v>
      </c>
      <c r="R39" s="104">
        <v>85</v>
      </c>
      <c r="S39" s="103" t="s">
        <v>215</v>
      </c>
      <c r="T39" s="110">
        <f t="shared" si="2"/>
        <v>440.35949999999997</v>
      </c>
      <c r="U39" s="113" t="s">
        <v>223</v>
      </c>
      <c r="V39" s="103"/>
      <c r="W39" s="111"/>
      <c r="X39" s="111"/>
    </row>
    <row r="40" spans="2:25" s="112" customFormat="1" x14ac:dyDescent="0.25">
      <c r="B40" s="103" t="s">
        <v>110</v>
      </c>
      <c r="C40" s="104" t="s">
        <v>61</v>
      </c>
      <c r="D40" s="104" t="s">
        <v>107</v>
      </c>
      <c r="E40" s="105">
        <v>36831</v>
      </c>
      <c r="F40" s="105">
        <v>37195</v>
      </c>
      <c r="G40" s="103" t="s">
        <v>218</v>
      </c>
      <c r="H40" s="103" t="s">
        <v>217</v>
      </c>
      <c r="I40" s="104" t="s">
        <v>70</v>
      </c>
      <c r="J40" s="102">
        <f>5.171/J$1</f>
        <v>0.16680645161290322</v>
      </c>
      <c r="K40" s="106">
        <v>1.32E-2</v>
      </c>
      <c r="L40" s="106">
        <v>2.2000000000000001E-3</v>
      </c>
      <c r="M40" s="106">
        <v>7.1999999999999998E-3</v>
      </c>
      <c r="N40" s="106">
        <v>0</v>
      </c>
      <c r="O40" s="107">
        <v>2.1160000000000002E-2</v>
      </c>
      <c r="P40" s="106">
        <f t="shared" si="5"/>
        <v>0.18940645161290323</v>
      </c>
      <c r="Q40" s="108">
        <v>68918</v>
      </c>
      <c r="R40" s="104">
        <v>1000</v>
      </c>
      <c r="S40" s="103" t="s">
        <v>216</v>
      </c>
      <c r="T40" s="110">
        <f t="shared" si="2"/>
        <v>5171</v>
      </c>
      <c r="U40" s="113" t="s">
        <v>224</v>
      </c>
      <c r="V40" s="103"/>
      <c r="W40" s="111"/>
      <c r="X40" s="111"/>
    </row>
    <row r="41" spans="2:25" s="112" customFormat="1" x14ac:dyDescent="0.25">
      <c r="B41" s="103" t="s">
        <v>110</v>
      </c>
      <c r="C41" s="104" t="s">
        <v>61</v>
      </c>
      <c r="D41" s="104" t="s">
        <v>107</v>
      </c>
      <c r="E41" s="105">
        <v>36831</v>
      </c>
      <c r="F41" s="105">
        <v>37195</v>
      </c>
      <c r="G41" s="103" t="s">
        <v>79</v>
      </c>
      <c r="H41" s="103" t="s">
        <v>217</v>
      </c>
      <c r="I41" s="104" t="s">
        <v>70</v>
      </c>
      <c r="J41" s="102">
        <f>5.171/J$1</f>
        <v>0.16680645161290322</v>
      </c>
      <c r="K41" s="106">
        <v>1.32E-2</v>
      </c>
      <c r="L41" s="106">
        <v>2.2000000000000001E-3</v>
      </c>
      <c r="M41" s="106">
        <v>7.1999999999999998E-3</v>
      </c>
      <c r="N41" s="106">
        <v>0</v>
      </c>
      <c r="O41" s="107">
        <v>2.1160000000000002E-2</v>
      </c>
      <c r="P41" s="106">
        <f t="shared" si="5"/>
        <v>0.18940645161290323</v>
      </c>
      <c r="Q41" s="108">
        <v>68918</v>
      </c>
      <c r="R41" s="104">
        <v>2000</v>
      </c>
      <c r="S41" s="103" t="s">
        <v>216</v>
      </c>
      <c r="T41" s="110">
        <f t="shared" si="2"/>
        <v>10342</v>
      </c>
      <c r="U41" s="113" t="s">
        <v>224</v>
      </c>
      <c r="V41" s="103"/>
      <c r="W41" s="111"/>
      <c r="X41" s="111"/>
    </row>
    <row r="42" spans="2:25" s="112" customFormat="1" x14ac:dyDescent="0.25">
      <c r="B42" s="103" t="s">
        <v>110</v>
      </c>
      <c r="C42" s="104" t="s">
        <v>61</v>
      </c>
      <c r="D42" s="104" t="s">
        <v>107</v>
      </c>
      <c r="E42" s="105">
        <v>36831</v>
      </c>
      <c r="F42" s="105">
        <v>37195</v>
      </c>
      <c r="G42" s="103" t="s">
        <v>80</v>
      </c>
      <c r="H42" s="103" t="s">
        <v>217</v>
      </c>
      <c r="I42" s="104" t="s">
        <v>70</v>
      </c>
      <c r="J42" s="102">
        <f>5.171/J$1</f>
        <v>0.16680645161290322</v>
      </c>
      <c r="K42" s="106">
        <v>1.32E-2</v>
      </c>
      <c r="L42" s="106">
        <v>2.2000000000000001E-3</v>
      </c>
      <c r="M42" s="106">
        <v>7.1999999999999998E-3</v>
      </c>
      <c r="N42" s="106">
        <v>0</v>
      </c>
      <c r="O42" s="107">
        <v>2.1160000000000002E-2</v>
      </c>
      <c r="P42" s="106">
        <f t="shared" si="5"/>
        <v>0.18940645161290323</v>
      </c>
      <c r="Q42" s="108">
        <v>68918</v>
      </c>
      <c r="R42" s="104">
        <v>5000</v>
      </c>
      <c r="S42" s="103" t="s">
        <v>216</v>
      </c>
      <c r="T42" s="110">
        <f t="shared" si="2"/>
        <v>25855</v>
      </c>
      <c r="U42" s="113" t="s">
        <v>224</v>
      </c>
      <c r="V42" s="103"/>
      <c r="W42" s="111"/>
      <c r="X42" s="111"/>
    </row>
    <row r="43" spans="2:25" s="112" customFormat="1" x14ac:dyDescent="0.25">
      <c r="B43" s="103" t="s">
        <v>110</v>
      </c>
      <c r="C43" s="104" t="s">
        <v>61</v>
      </c>
      <c r="D43" s="104" t="s">
        <v>67</v>
      </c>
      <c r="E43" s="105">
        <v>36739</v>
      </c>
      <c r="F43" s="105">
        <v>37103</v>
      </c>
      <c r="G43" s="103" t="s">
        <v>69</v>
      </c>
      <c r="H43" s="103" t="s">
        <v>193</v>
      </c>
      <c r="I43" s="104" t="s">
        <v>70</v>
      </c>
      <c r="J43" s="102">
        <f>6.431/J$1</f>
        <v>0.20745161290322581</v>
      </c>
      <c r="K43" s="106">
        <v>1.32E-2</v>
      </c>
      <c r="L43" s="106">
        <v>2.2000000000000001E-3</v>
      </c>
      <c r="M43" s="106">
        <v>7.1999999999999998E-3</v>
      </c>
      <c r="N43" s="106">
        <v>0</v>
      </c>
      <c r="O43" s="107">
        <v>2.1160000000000002E-2</v>
      </c>
      <c r="P43" s="106">
        <f t="shared" si="5"/>
        <v>0.23005161290322582</v>
      </c>
      <c r="Q43" s="108">
        <v>68926</v>
      </c>
      <c r="R43" s="104">
        <v>2</v>
      </c>
      <c r="S43" s="103" t="s">
        <v>0</v>
      </c>
      <c r="T43" s="110">
        <f t="shared" si="2"/>
        <v>12.862</v>
      </c>
      <c r="U43" s="123">
        <v>345125</v>
      </c>
      <c r="V43" s="103"/>
      <c r="W43" s="111"/>
      <c r="X43" s="111"/>
    </row>
    <row r="44" spans="2:25" s="112" customFormat="1" x14ac:dyDescent="0.25">
      <c r="B44" s="103" t="s">
        <v>110</v>
      </c>
      <c r="C44" s="104" t="s">
        <v>61</v>
      </c>
      <c r="D44" s="104" t="s">
        <v>67</v>
      </c>
      <c r="E44" s="105">
        <v>36739</v>
      </c>
      <c r="F44" s="105">
        <v>37103</v>
      </c>
      <c r="G44" s="103" t="s">
        <v>69</v>
      </c>
      <c r="H44" s="103" t="s">
        <v>198</v>
      </c>
      <c r="I44" s="104" t="s">
        <v>70</v>
      </c>
      <c r="J44" s="102">
        <f>6.431/J$1</f>
        <v>0.20745161290322581</v>
      </c>
      <c r="K44" s="106">
        <v>1.32E-2</v>
      </c>
      <c r="L44" s="106">
        <v>2.2000000000000001E-3</v>
      </c>
      <c r="M44" s="106">
        <v>7.1999999999999998E-3</v>
      </c>
      <c r="N44" s="106">
        <v>0</v>
      </c>
      <c r="O44" s="107">
        <v>2.1160000000000002E-2</v>
      </c>
      <c r="P44" s="106">
        <f>SUM(J44:N44)</f>
        <v>0.23005161290322582</v>
      </c>
      <c r="Q44" s="108">
        <v>68926</v>
      </c>
      <c r="R44" s="104">
        <v>2</v>
      </c>
      <c r="S44" s="103" t="s">
        <v>0</v>
      </c>
      <c r="T44" s="110">
        <f>J44*J$1*R44</f>
        <v>12.862</v>
      </c>
      <c r="U44" s="123">
        <v>345125</v>
      </c>
      <c r="V44" s="103"/>
      <c r="W44" s="111"/>
      <c r="X44" s="111"/>
    </row>
    <row r="45" spans="2:25" s="112" customFormat="1" x14ac:dyDescent="0.25">
      <c r="B45" s="127" t="s">
        <v>110</v>
      </c>
      <c r="C45" s="115" t="s">
        <v>61</v>
      </c>
      <c r="D45" s="115" t="s">
        <v>83</v>
      </c>
      <c r="E45" s="154">
        <v>36739</v>
      </c>
      <c r="F45" s="154">
        <v>37103</v>
      </c>
      <c r="G45" s="127" t="s">
        <v>112</v>
      </c>
      <c r="H45" s="127" t="s">
        <v>293</v>
      </c>
      <c r="I45" s="115" t="s">
        <v>70</v>
      </c>
      <c r="J45" s="102">
        <f>6.431/$J$1</f>
        <v>0.20745161290322581</v>
      </c>
      <c r="K45" s="155"/>
      <c r="L45" s="155"/>
      <c r="M45" s="155"/>
      <c r="N45" s="155"/>
      <c r="O45" s="156"/>
      <c r="P45" s="155"/>
      <c r="Q45" s="114">
        <v>68928</v>
      </c>
      <c r="R45" s="115">
        <v>47</v>
      </c>
      <c r="S45" s="127" t="s">
        <v>3</v>
      </c>
      <c r="T45" s="110">
        <f t="shared" si="2"/>
        <v>302.25700000000001</v>
      </c>
      <c r="U45" s="130">
        <v>351966</v>
      </c>
      <c r="V45" s="127"/>
      <c r="W45" s="131"/>
      <c r="X45" s="131"/>
      <c r="Y45" s="157"/>
    </row>
    <row r="46" spans="2:25" s="112" customFormat="1" x14ac:dyDescent="0.25">
      <c r="B46" s="127" t="s">
        <v>110</v>
      </c>
      <c r="C46" s="115" t="s">
        <v>61</v>
      </c>
      <c r="D46" s="115" t="s">
        <v>63</v>
      </c>
      <c r="E46" s="154">
        <v>36770</v>
      </c>
      <c r="F46" s="154">
        <v>37134</v>
      </c>
      <c r="G46" s="127" t="s">
        <v>112</v>
      </c>
      <c r="H46" s="127" t="s">
        <v>194</v>
      </c>
      <c r="I46" s="115" t="s">
        <v>70</v>
      </c>
      <c r="J46" s="102">
        <f>6.431/$J$1</f>
        <v>0.20745161290322581</v>
      </c>
      <c r="K46" s="155"/>
      <c r="L46" s="155"/>
      <c r="M46" s="155"/>
      <c r="N46" s="155"/>
      <c r="O46" s="156"/>
      <c r="P46" s="155"/>
      <c r="Q46" s="114">
        <v>69144</v>
      </c>
      <c r="R46" s="115">
        <v>4</v>
      </c>
      <c r="S46" s="127" t="s">
        <v>183</v>
      </c>
      <c r="T46" s="110">
        <f t="shared" si="2"/>
        <v>25.724</v>
      </c>
      <c r="U46" s="130"/>
      <c r="V46" s="127"/>
      <c r="W46" s="131"/>
      <c r="X46" s="131"/>
      <c r="Y46" s="157"/>
    </row>
    <row r="47" spans="2:25" s="112" customFormat="1" x14ac:dyDescent="0.25">
      <c r="B47" s="127" t="s">
        <v>110</v>
      </c>
      <c r="C47" s="115" t="s">
        <v>61</v>
      </c>
      <c r="D47" s="115" t="s">
        <v>63</v>
      </c>
      <c r="E47" s="154">
        <v>36770</v>
      </c>
      <c r="F47" s="154">
        <v>37134</v>
      </c>
      <c r="G47" s="127" t="s">
        <v>112</v>
      </c>
      <c r="H47" s="127" t="s">
        <v>193</v>
      </c>
      <c r="I47" s="115" t="s">
        <v>70</v>
      </c>
      <c r="J47" s="102">
        <f>6.431/$J$1</f>
        <v>0.20745161290322581</v>
      </c>
      <c r="K47" s="155"/>
      <c r="L47" s="155"/>
      <c r="M47" s="155"/>
      <c r="N47" s="155"/>
      <c r="O47" s="156"/>
      <c r="P47" s="155"/>
      <c r="Q47" s="114">
        <v>69144</v>
      </c>
      <c r="R47" s="115">
        <v>23</v>
      </c>
      <c r="S47" s="127" t="s">
        <v>183</v>
      </c>
      <c r="T47" s="110">
        <f>J47*J$1*R47</f>
        <v>147.91300000000001</v>
      </c>
      <c r="U47" s="130"/>
      <c r="V47" s="127"/>
      <c r="W47" s="131"/>
      <c r="X47" s="131"/>
      <c r="Y47" s="157"/>
    </row>
    <row r="48" spans="2:25" s="112" customFormat="1" x14ac:dyDescent="0.25">
      <c r="B48" s="127" t="s">
        <v>110</v>
      </c>
      <c r="C48" s="115" t="s">
        <v>61</v>
      </c>
      <c r="D48" s="115" t="s">
        <v>63</v>
      </c>
      <c r="E48" s="154">
        <v>36770</v>
      </c>
      <c r="F48" s="154">
        <v>37134</v>
      </c>
      <c r="G48" s="127" t="s">
        <v>112</v>
      </c>
      <c r="H48" s="127" t="s">
        <v>294</v>
      </c>
      <c r="I48" s="115" t="s">
        <v>70</v>
      </c>
      <c r="J48" s="102">
        <f>6.431/$J$1</f>
        <v>0.20745161290322581</v>
      </c>
      <c r="K48" s="155"/>
      <c r="L48" s="155"/>
      <c r="M48" s="155"/>
      <c r="N48" s="155"/>
      <c r="O48" s="156"/>
      <c r="P48" s="155"/>
      <c r="Q48" s="114">
        <v>69144</v>
      </c>
      <c r="R48" s="115">
        <v>4</v>
      </c>
      <c r="S48" s="127" t="s">
        <v>183</v>
      </c>
      <c r="T48" s="110">
        <f>J48*J$1*R48</f>
        <v>25.724</v>
      </c>
      <c r="U48" s="130"/>
      <c r="V48" s="127"/>
      <c r="W48" s="131"/>
      <c r="X48" s="131"/>
      <c r="Y48" s="157"/>
    </row>
    <row r="49" spans="2:25" s="112" customFormat="1" x14ac:dyDescent="0.25">
      <c r="B49" s="127" t="s">
        <v>110</v>
      </c>
      <c r="C49" s="115" t="s">
        <v>61</v>
      </c>
      <c r="D49" s="115" t="s">
        <v>63</v>
      </c>
      <c r="E49" s="154">
        <v>36770</v>
      </c>
      <c r="F49" s="154">
        <v>37134</v>
      </c>
      <c r="G49" s="127" t="s">
        <v>112</v>
      </c>
      <c r="H49" s="127" t="s">
        <v>195</v>
      </c>
      <c r="I49" s="115" t="s">
        <v>70</v>
      </c>
      <c r="J49" s="102">
        <f>6.431/$J$1</f>
        <v>0.20745161290322581</v>
      </c>
      <c r="K49" s="155"/>
      <c r="L49" s="155"/>
      <c r="M49" s="155"/>
      <c r="N49" s="155"/>
      <c r="O49" s="156"/>
      <c r="P49" s="155"/>
      <c r="Q49" s="114">
        <v>69144</v>
      </c>
      <c r="R49" s="115">
        <v>31</v>
      </c>
      <c r="S49" s="127" t="s">
        <v>183</v>
      </c>
      <c r="T49" s="110">
        <f>J49*J$1*R49</f>
        <v>199.36099999999999</v>
      </c>
      <c r="U49" s="130"/>
      <c r="V49" s="127"/>
      <c r="W49" s="131"/>
      <c r="X49" s="131"/>
      <c r="Y49" s="157"/>
    </row>
    <row r="50" spans="2:25" s="157" customFormat="1" x14ac:dyDescent="0.25">
      <c r="B50" s="103" t="s">
        <v>110</v>
      </c>
      <c r="C50" s="104" t="s">
        <v>61</v>
      </c>
      <c r="D50" s="104" t="s">
        <v>107</v>
      </c>
      <c r="E50" s="105">
        <v>36831</v>
      </c>
      <c r="F50" s="105">
        <v>37195</v>
      </c>
      <c r="G50" s="103" t="s">
        <v>80</v>
      </c>
      <c r="H50" s="103" t="s">
        <v>213</v>
      </c>
      <c r="I50" s="104" t="s">
        <v>70</v>
      </c>
      <c r="J50" s="102">
        <f>5.171/J$1</f>
        <v>0.16680645161290322</v>
      </c>
      <c r="K50" s="106">
        <v>1.32E-2</v>
      </c>
      <c r="L50" s="106">
        <v>2.2000000000000001E-3</v>
      </c>
      <c r="M50" s="106">
        <v>7.1999999999999998E-3</v>
      </c>
      <c r="N50" s="106">
        <v>0</v>
      </c>
      <c r="O50" s="107">
        <v>2.1160000000000002E-2</v>
      </c>
      <c r="P50" s="106">
        <f>SUM(J50:N50)</f>
        <v>0.18940645161290323</v>
      </c>
      <c r="Q50" s="108">
        <v>69148</v>
      </c>
      <c r="R50" s="104">
        <v>500</v>
      </c>
      <c r="S50" s="103" t="s">
        <v>219</v>
      </c>
      <c r="T50" s="110">
        <f t="shared" si="2"/>
        <v>2585.5</v>
      </c>
      <c r="U50" s="113" t="s">
        <v>225</v>
      </c>
      <c r="V50" s="103"/>
      <c r="W50" s="111"/>
      <c r="X50" s="111"/>
      <c r="Y50" s="112"/>
    </row>
    <row r="51" spans="2:25" s="157" customFormat="1" x14ac:dyDescent="0.25">
      <c r="B51" s="103" t="s">
        <v>110</v>
      </c>
      <c r="C51" s="104" t="s">
        <v>61</v>
      </c>
      <c r="D51" s="104" t="s">
        <v>107</v>
      </c>
      <c r="E51" s="105">
        <v>36831</v>
      </c>
      <c r="F51" s="105">
        <v>37195</v>
      </c>
      <c r="G51" s="103" t="s">
        <v>79</v>
      </c>
      <c r="H51" s="103" t="s">
        <v>214</v>
      </c>
      <c r="I51" s="104" t="s">
        <v>70</v>
      </c>
      <c r="J51" s="102">
        <f>5.18/J$1</f>
        <v>0.16709677419354838</v>
      </c>
      <c r="K51" s="106">
        <v>1.32E-2</v>
      </c>
      <c r="L51" s="106">
        <v>2.2000000000000001E-3</v>
      </c>
      <c r="M51" s="106">
        <v>7.1999999999999998E-3</v>
      </c>
      <c r="N51" s="106">
        <v>0</v>
      </c>
      <c r="O51" s="107">
        <v>2.1160000000000002E-2</v>
      </c>
      <c r="P51" s="106">
        <f>SUM(J51:N51)</f>
        <v>0.18969677419354838</v>
      </c>
      <c r="Q51" s="108">
        <v>69149</v>
      </c>
      <c r="R51" s="104">
        <v>1000</v>
      </c>
      <c r="S51" s="103" t="s">
        <v>220</v>
      </c>
      <c r="T51" s="110">
        <f t="shared" si="2"/>
        <v>5180</v>
      </c>
      <c r="U51" s="113"/>
      <c r="V51" s="103"/>
      <c r="W51" s="111"/>
      <c r="X51" s="111"/>
      <c r="Y51" s="112"/>
    </row>
    <row r="52" spans="2:25" s="157" customFormat="1" x14ac:dyDescent="0.25">
      <c r="B52" s="127" t="s">
        <v>110</v>
      </c>
      <c r="C52" s="115" t="s">
        <v>61</v>
      </c>
      <c r="D52" s="115" t="s">
        <v>63</v>
      </c>
      <c r="E52" s="154">
        <v>36800</v>
      </c>
      <c r="F52" s="154">
        <v>37164</v>
      </c>
      <c r="G52" s="127" t="s">
        <v>112</v>
      </c>
      <c r="H52" s="127" t="s">
        <v>194</v>
      </c>
      <c r="I52" s="115" t="s">
        <v>70</v>
      </c>
      <c r="J52" s="102">
        <f>6.431/$J$1</f>
        <v>0.20745161290322581</v>
      </c>
      <c r="K52" s="155"/>
      <c r="L52" s="155"/>
      <c r="M52" s="155"/>
      <c r="N52" s="155"/>
      <c r="O52" s="156"/>
      <c r="P52" s="155"/>
      <c r="Q52" s="114">
        <v>69424</v>
      </c>
      <c r="R52" s="115">
        <v>1</v>
      </c>
      <c r="S52" s="127" t="s">
        <v>191</v>
      </c>
      <c r="T52" s="110">
        <f t="shared" si="2"/>
        <v>6.431</v>
      </c>
      <c r="U52" s="130">
        <v>418221</v>
      </c>
      <c r="V52" s="127"/>
      <c r="W52" s="131"/>
      <c r="X52" s="131"/>
    </row>
    <row r="53" spans="2:25" s="157" customFormat="1" x14ac:dyDescent="0.25">
      <c r="B53" s="127" t="s">
        <v>110</v>
      </c>
      <c r="C53" s="115" t="s">
        <v>61</v>
      </c>
      <c r="D53" s="115" t="s">
        <v>63</v>
      </c>
      <c r="E53" s="154">
        <v>36800</v>
      </c>
      <c r="F53" s="154">
        <v>37164</v>
      </c>
      <c r="G53" s="127" t="s">
        <v>112</v>
      </c>
      <c r="H53" s="127" t="s">
        <v>193</v>
      </c>
      <c r="I53" s="115" t="s">
        <v>70</v>
      </c>
      <c r="J53" s="102">
        <f>6.431/$J$1</f>
        <v>0.20745161290322581</v>
      </c>
      <c r="K53" s="155"/>
      <c r="L53" s="155"/>
      <c r="M53" s="155"/>
      <c r="N53" s="155"/>
      <c r="O53" s="156"/>
      <c r="P53" s="155"/>
      <c r="Q53" s="114">
        <v>69424</v>
      </c>
      <c r="R53" s="115">
        <v>1</v>
      </c>
      <c r="S53" s="127" t="s">
        <v>191</v>
      </c>
      <c r="T53" s="110">
        <f>J53*J$1*R53</f>
        <v>6.431</v>
      </c>
      <c r="U53" s="130">
        <v>418221</v>
      </c>
      <c r="V53" s="127"/>
      <c r="W53" s="131"/>
      <c r="X53" s="131"/>
    </row>
    <row r="54" spans="2:25" s="157" customFormat="1" x14ac:dyDescent="0.25">
      <c r="B54" s="127" t="s">
        <v>110</v>
      </c>
      <c r="C54" s="115" t="s">
        <v>61</v>
      </c>
      <c r="D54" s="115" t="s">
        <v>63</v>
      </c>
      <c r="E54" s="154">
        <v>36800</v>
      </c>
      <c r="F54" s="154">
        <v>37164</v>
      </c>
      <c r="G54" s="127" t="s">
        <v>112</v>
      </c>
      <c r="H54" s="127" t="s">
        <v>195</v>
      </c>
      <c r="I54" s="115" t="s">
        <v>70</v>
      </c>
      <c r="J54" s="102">
        <f>6.431/$J$1</f>
        <v>0.20745161290322581</v>
      </c>
      <c r="K54" s="155"/>
      <c r="L54" s="155"/>
      <c r="M54" s="155"/>
      <c r="N54" s="155"/>
      <c r="O54" s="156"/>
      <c r="P54" s="155"/>
      <c r="Q54" s="114">
        <v>69424</v>
      </c>
      <c r="R54" s="115">
        <v>11</v>
      </c>
      <c r="S54" s="127" t="s">
        <v>191</v>
      </c>
      <c r="T54" s="110">
        <f>J54*J$1*R54</f>
        <v>70.741</v>
      </c>
      <c r="U54" s="130">
        <v>418221</v>
      </c>
      <c r="V54" s="127"/>
      <c r="W54" s="131"/>
      <c r="X54" s="131"/>
    </row>
    <row r="55" spans="2:25" s="112" customFormat="1" x14ac:dyDescent="0.25">
      <c r="B55" s="103" t="s">
        <v>110</v>
      </c>
      <c r="C55" s="104" t="s">
        <v>61</v>
      </c>
      <c r="D55" s="104" t="s">
        <v>107</v>
      </c>
      <c r="E55" s="105">
        <v>36831</v>
      </c>
      <c r="F55" s="105">
        <v>37195</v>
      </c>
      <c r="G55" s="103" t="s">
        <v>234</v>
      </c>
      <c r="H55" s="103" t="s">
        <v>213</v>
      </c>
      <c r="I55" s="104" t="s">
        <v>70</v>
      </c>
      <c r="J55" s="102">
        <f>5.171/J$1</f>
        <v>0.16680645161290322</v>
      </c>
      <c r="K55" s="106">
        <v>1.32E-2</v>
      </c>
      <c r="L55" s="106">
        <v>2.2000000000000001E-3</v>
      </c>
      <c r="M55" s="106">
        <v>7.4999999999999997E-3</v>
      </c>
      <c r="N55" s="106">
        <v>0</v>
      </c>
      <c r="O55" s="107">
        <v>2.1160000000000002E-2</v>
      </c>
      <c r="P55" s="106">
        <f t="shared" ref="P55:P64" si="6">SUM(J55:N55)</f>
        <v>0.18970645161290323</v>
      </c>
      <c r="Q55" s="108">
        <v>69693</v>
      </c>
      <c r="R55" s="104">
        <v>1600</v>
      </c>
      <c r="S55" s="109" t="s">
        <v>235</v>
      </c>
      <c r="T55" s="110">
        <f t="shared" si="2"/>
        <v>8273.6</v>
      </c>
      <c r="U55" s="113" t="s">
        <v>199</v>
      </c>
      <c r="V55" s="110"/>
      <c r="W55" s="111"/>
      <c r="X55" s="111"/>
    </row>
    <row r="56" spans="2:25" s="112" customFormat="1" x14ac:dyDescent="0.25">
      <c r="B56" s="103" t="s">
        <v>110</v>
      </c>
      <c r="C56" s="104" t="s">
        <v>61</v>
      </c>
      <c r="D56" s="104" t="s">
        <v>76</v>
      </c>
      <c r="E56" s="105">
        <v>36831</v>
      </c>
      <c r="F56" s="105">
        <v>37195</v>
      </c>
      <c r="G56" s="103" t="s">
        <v>204</v>
      </c>
      <c r="H56" s="103" t="s">
        <v>295</v>
      </c>
      <c r="I56" s="104" t="s">
        <v>70</v>
      </c>
      <c r="J56" s="102">
        <f t="shared" ref="J56:J67" si="7">6.431/J$1</f>
        <v>0.20745161290322581</v>
      </c>
      <c r="K56" s="106">
        <v>1.32E-2</v>
      </c>
      <c r="L56" s="106">
        <v>2.2000000000000001E-3</v>
      </c>
      <c r="M56" s="106">
        <v>7.1999999999999998E-3</v>
      </c>
      <c r="N56" s="106">
        <v>0</v>
      </c>
      <c r="O56" s="107">
        <v>2.1160000000000002E-2</v>
      </c>
      <c r="P56" s="106">
        <f t="shared" si="6"/>
        <v>0.23005161290322582</v>
      </c>
      <c r="Q56" s="108">
        <v>69707</v>
      </c>
      <c r="R56" s="104">
        <v>4018</v>
      </c>
      <c r="S56" s="103" t="s">
        <v>205</v>
      </c>
      <c r="T56" s="110">
        <f t="shared" si="2"/>
        <v>25839.758000000002</v>
      </c>
      <c r="U56" s="113" t="s">
        <v>206</v>
      </c>
      <c r="V56" s="103"/>
      <c r="W56" s="111"/>
      <c r="X56" s="111"/>
    </row>
    <row r="57" spans="2:25" s="112" customFormat="1" x14ac:dyDescent="0.25">
      <c r="B57" s="103" t="s">
        <v>110</v>
      </c>
      <c r="C57" s="104" t="s">
        <v>61</v>
      </c>
      <c r="D57" s="104" t="s">
        <v>76</v>
      </c>
      <c r="E57" s="105">
        <v>36831</v>
      </c>
      <c r="F57" s="105">
        <v>37195</v>
      </c>
      <c r="G57" s="103" t="s">
        <v>69</v>
      </c>
      <c r="H57" s="103" t="s">
        <v>296</v>
      </c>
      <c r="I57" s="104" t="s">
        <v>70</v>
      </c>
      <c r="J57" s="102">
        <f t="shared" si="7"/>
        <v>0.20745161290322581</v>
      </c>
      <c r="K57" s="106">
        <v>1.32E-2</v>
      </c>
      <c r="L57" s="106">
        <v>2.2000000000000001E-3</v>
      </c>
      <c r="M57" s="106">
        <v>7.1999999999999998E-3</v>
      </c>
      <c r="N57" s="106">
        <v>0</v>
      </c>
      <c r="O57" s="107">
        <v>2.1160000000000002E-2</v>
      </c>
      <c r="P57" s="106">
        <f t="shared" si="6"/>
        <v>0.23005161290322582</v>
      </c>
      <c r="Q57" s="108">
        <v>69708</v>
      </c>
      <c r="R57" s="104">
        <v>2759</v>
      </c>
      <c r="S57" s="103" t="s">
        <v>207</v>
      </c>
      <c r="T57" s="110">
        <f t="shared" si="2"/>
        <v>17743.129000000001</v>
      </c>
      <c r="U57" s="113" t="s">
        <v>208</v>
      </c>
      <c r="V57" s="103"/>
      <c r="W57" s="111"/>
      <c r="X57" s="111"/>
    </row>
    <row r="58" spans="2:25" s="112" customFormat="1" x14ac:dyDescent="0.25">
      <c r="B58" s="103" t="s">
        <v>110</v>
      </c>
      <c r="C58" s="104" t="s">
        <v>61</v>
      </c>
      <c r="D58" s="104" t="s">
        <v>76</v>
      </c>
      <c r="E58" s="105">
        <v>36831</v>
      </c>
      <c r="F58" s="105">
        <v>37195</v>
      </c>
      <c r="G58" s="103" t="s">
        <v>197</v>
      </c>
      <c r="H58" s="103" t="s">
        <v>296</v>
      </c>
      <c r="I58" s="104" t="s">
        <v>70</v>
      </c>
      <c r="J58" s="102">
        <f t="shared" si="7"/>
        <v>0.20745161290322581</v>
      </c>
      <c r="K58" s="106">
        <v>1.32E-2</v>
      </c>
      <c r="L58" s="106">
        <v>2.2000000000000001E-3</v>
      </c>
      <c r="M58" s="106">
        <v>7.1999999999999998E-3</v>
      </c>
      <c r="N58" s="106">
        <v>0</v>
      </c>
      <c r="O58" s="107">
        <v>2.1160000000000002E-2</v>
      </c>
      <c r="P58" s="106">
        <f t="shared" si="6"/>
        <v>0.23005161290322582</v>
      </c>
      <c r="Q58" s="108">
        <v>69708</v>
      </c>
      <c r="R58" s="104">
        <v>2795</v>
      </c>
      <c r="S58" s="103" t="s">
        <v>207</v>
      </c>
      <c r="T58" s="110">
        <f t="shared" si="2"/>
        <v>17974.645</v>
      </c>
      <c r="U58" s="113" t="s">
        <v>208</v>
      </c>
      <c r="V58" s="103"/>
      <c r="W58" s="111"/>
      <c r="X58" s="111"/>
    </row>
    <row r="59" spans="2:25" s="112" customFormat="1" x14ac:dyDescent="0.25">
      <c r="B59" s="103" t="s">
        <v>110</v>
      </c>
      <c r="C59" s="104" t="s">
        <v>61</v>
      </c>
      <c r="D59" s="104" t="s">
        <v>76</v>
      </c>
      <c r="E59" s="105">
        <v>36831</v>
      </c>
      <c r="F59" s="105">
        <v>37195</v>
      </c>
      <c r="G59" s="103" t="s">
        <v>196</v>
      </c>
      <c r="H59" s="103" t="s">
        <v>296</v>
      </c>
      <c r="I59" s="104" t="s">
        <v>70</v>
      </c>
      <c r="J59" s="102">
        <f t="shared" si="7"/>
        <v>0.20745161290322581</v>
      </c>
      <c r="K59" s="106">
        <v>1.32E-2</v>
      </c>
      <c r="L59" s="106">
        <v>2.2000000000000001E-3</v>
      </c>
      <c r="M59" s="106">
        <v>7.1999999999999998E-3</v>
      </c>
      <c r="N59" s="106">
        <v>0</v>
      </c>
      <c r="O59" s="107">
        <v>2.1160000000000002E-2</v>
      </c>
      <c r="P59" s="106">
        <f t="shared" si="6"/>
        <v>0.23005161290322582</v>
      </c>
      <c r="Q59" s="108">
        <v>69708</v>
      </c>
      <c r="R59" s="104">
        <v>3630</v>
      </c>
      <c r="S59" s="103" t="s">
        <v>207</v>
      </c>
      <c r="T59" s="110">
        <f t="shared" si="2"/>
        <v>23344.53</v>
      </c>
      <c r="U59" s="113" t="s">
        <v>208</v>
      </c>
      <c r="V59" s="103"/>
      <c r="W59" s="111"/>
      <c r="X59" s="111"/>
    </row>
    <row r="60" spans="2:25" s="112" customFormat="1" x14ac:dyDescent="0.25">
      <c r="B60" s="103" t="s">
        <v>110</v>
      </c>
      <c r="C60" s="104" t="s">
        <v>61</v>
      </c>
      <c r="D60" s="104" t="s">
        <v>67</v>
      </c>
      <c r="E60" s="105">
        <v>36831</v>
      </c>
      <c r="F60" s="105">
        <v>37195</v>
      </c>
      <c r="G60" s="103" t="s">
        <v>69</v>
      </c>
      <c r="H60" s="103" t="s">
        <v>194</v>
      </c>
      <c r="I60" s="104" t="s">
        <v>70</v>
      </c>
      <c r="J60" s="102">
        <f t="shared" si="7"/>
        <v>0.20745161290322581</v>
      </c>
      <c r="K60" s="106">
        <v>1.32E-2</v>
      </c>
      <c r="L60" s="106">
        <v>2.2000000000000001E-3</v>
      </c>
      <c r="M60" s="106">
        <v>7.1999999999999998E-3</v>
      </c>
      <c r="N60" s="106">
        <v>0</v>
      </c>
      <c r="O60" s="107">
        <v>2.1160000000000002E-2</v>
      </c>
      <c r="P60" s="106">
        <f t="shared" si="6"/>
        <v>0.23005161290322582</v>
      </c>
      <c r="Q60" s="108">
        <v>69709</v>
      </c>
      <c r="R60" s="104">
        <v>13</v>
      </c>
      <c r="S60" s="103" t="s">
        <v>209</v>
      </c>
      <c r="T60" s="110">
        <f t="shared" si="2"/>
        <v>83.602999999999994</v>
      </c>
      <c r="U60" s="113" t="s">
        <v>210</v>
      </c>
      <c r="V60" s="103"/>
      <c r="W60" s="111"/>
      <c r="X60" s="111"/>
    </row>
    <row r="61" spans="2:25" s="112" customFormat="1" x14ac:dyDescent="0.25">
      <c r="B61" s="103" t="s">
        <v>110</v>
      </c>
      <c r="C61" s="104" t="s">
        <v>61</v>
      </c>
      <c r="D61" s="104" t="s">
        <v>67</v>
      </c>
      <c r="E61" s="105">
        <v>36831</v>
      </c>
      <c r="F61" s="105">
        <v>37195</v>
      </c>
      <c r="G61" s="103" t="s">
        <v>69</v>
      </c>
      <c r="H61" s="103" t="s">
        <v>198</v>
      </c>
      <c r="I61" s="104" t="s">
        <v>70</v>
      </c>
      <c r="J61" s="102">
        <f t="shared" si="7"/>
        <v>0.20745161290322581</v>
      </c>
      <c r="K61" s="106">
        <v>1.32E-2</v>
      </c>
      <c r="L61" s="106">
        <v>2.2000000000000001E-3</v>
      </c>
      <c r="M61" s="106">
        <v>7.1999999999999998E-3</v>
      </c>
      <c r="N61" s="106">
        <v>0</v>
      </c>
      <c r="O61" s="107">
        <v>2.1160000000000002E-2</v>
      </c>
      <c r="P61" s="106">
        <f t="shared" si="6"/>
        <v>0.23005161290322582</v>
      </c>
      <c r="Q61" s="108">
        <v>69709</v>
      </c>
      <c r="R61" s="104">
        <v>14</v>
      </c>
      <c r="S61" s="103" t="s">
        <v>209</v>
      </c>
      <c r="T61" s="110">
        <f t="shared" si="2"/>
        <v>90.034000000000006</v>
      </c>
      <c r="U61" s="113" t="s">
        <v>210</v>
      </c>
      <c r="V61" s="103"/>
      <c r="W61" s="111"/>
      <c r="X61" s="111"/>
    </row>
    <row r="62" spans="2:25" s="112" customFormat="1" x14ac:dyDescent="0.25">
      <c r="B62" s="103" t="s">
        <v>110</v>
      </c>
      <c r="C62" s="104" t="s">
        <v>61</v>
      </c>
      <c r="D62" s="104" t="s">
        <v>67</v>
      </c>
      <c r="E62" s="105">
        <v>36831</v>
      </c>
      <c r="F62" s="105">
        <v>37195</v>
      </c>
      <c r="G62" s="103" t="s">
        <v>69</v>
      </c>
      <c r="H62" s="103" t="s">
        <v>195</v>
      </c>
      <c r="I62" s="104" t="s">
        <v>70</v>
      </c>
      <c r="J62" s="102">
        <f t="shared" si="7"/>
        <v>0.20745161290322581</v>
      </c>
      <c r="K62" s="106">
        <v>1.32E-2</v>
      </c>
      <c r="L62" s="106">
        <v>2.2000000000000001E-3</v>
      </c>
      <c r="M62" s="106">
        <v>7.1999999999999998E-3</v>
      </c>
      <c r="N62" s="106">
        <v>0</v>
      </c>
      <c r="O62" s="107">
        <v>2.1160000000000002E-2</v>
      </c>
      <c r="P62" s="106">
        <f>SUM(J62:N62)</f>
        <v>0.23005161290322582</v>
      </c>
      <c r="Q62" s="108">
        <v>69709</v>
      </c>
      <c r="R62" s="104">
        <v>36</v>
      </c>
      <c r="S62" s="103" t="s">
        <v>209</v>
      </c>
      <c r="T62" s="110">
        <f t="shared" si="2"/>
        <v>231.51599999999999</v>
      </c>
      <c r="U62" s="113" t="s">
        <v>210</v>
      </c>
      <c r="V62" s="103"/>
      <c r="W62" s="111"/>
      <c r="X62" s="111"/>
    </row>
    <row r="63" spans="2:25" s="112" customFormat="1" x14ac:dyDescent="0.25">
      <c r="B63" s="103" t="s">
        <v>110</v>
      </c>
      <c r="C63" s="104" t="s">
        <v>61</v>
      </c>
      <c r="D63" s="104" t="s">
        <v>67</v>
      </c>
      <c r="E63" s="105">
        <v>36831</v>
      </c>
      <c r="F63" s="105">
        <v>37195</v>
      </c>
      <c r="G63" s="103" t="s">
        <v>69</v>
      </c>
      <c r="H63" s="103" t="s">
        <v>193</v>
      </c>
      <c r="I63" s="104" t="s">
        <v>70</v>
      </c>
      <c r="J63" s="102">
        <f t="shared" si="7"/>
        <v>0.20745161290322581</v>
      </c>
      <c r="K63" s="106">
        <v>1.32E-2</v>
      </c>
      <c r="L63" s="106">
        <v>2.2000000000000001E-3</v>
      </c>
      <c r="M63" s="106">
        <v>7.1999999999999998E-3</v>
      </c>
      <c r="N63" s="106">
        <v>0</v>
      </c>
      <c r="O63" s="107">
        <v>2.1160000000000002E-2</v>
      </c>
      <c r="P63" s="106">
        <f t="shared" si="6"/>
        <v>0.23005161290322582</v>
      </c>
      <c r="Q63" s="108">
        <v>69709</v>
      </c>
      <c r="R63" s="104">
        <v>63</v>
      </c>
      <c r="S63" s="103" t="s">
        <v>209</v>
      </c>
      <c r="T63" s="110">
        <f t="shared" si="2"/>
        <v>405.15300000000002</v>
      </c>
      <c r="U63" s="113" t="s">
        <v>210</v>
      </c>
      <c r="V63" s="103"/>
      <c r="W63" s="111"/>
      <c r="X63" s="111"/>
    </row>
    <row r="64" spans="2:25" s="112" customFormat="1" x14ac:dyDescent="0.25">
      <c r="B64" s="103" t="s">
        <v>110</v>
      </c>
      <c r="C64" s="104" t="s">
        <v>61</v>
      </c>
      <c r="D64" s="104" t="s">
        <v>71</v>
      </c>
      <c r="E64" s="105">
        <v>36831</v>
      </c>
      <c r="F64" s="105">
        <v>37195</v>
      </c>
      <c r="G64" s="103" t="s">
        <v>69</v>
      </c>
      <c r="H64" s="103" t="s">
        <v>229</v>
      </c>
      <c r="I64" s="104" t="s">
        <v>70</v>
      </c>
      <c r="J64" s="102">
        <f>6.354/J$1</f>
        <v>0.20496774193548387</v>
      </c>
      <c r="K64" s="106">
        <v>1.32E-2</v>
      </c>
      <c r="L64" s="106">
        <v>2.2000000000000001E-3</v>
      </c>
      <c r="M64" s="106">
        <v>7.1999999999999998E-3</v>
      </c>
      <c r="N64" s="106">
        <v>0</v>
      </c>
      <c r="O64" s="107">
        <v>2.1160000000000002E-2</v>
      </c>
      <c r="P64" s="106">
        <f t="shared" si="6"/>
        <v>0.22756774193548387</v>
      </c>
      <c r="Q64" s="108">
        <v>69823</v>
      </c>
      <c r="R64" s="104">
        <v>1000</v>
      </c>
      <c r="S64" s="103" t="s">
        <v>230</v>
      </c>
      <c r="T64" s="110">
        <f t="shared" si="2"/>
        <v>6354</v>
      </c>
      <c r="U64" s="113" t="s">
        <v>231</v>
      </c>
      <c r="V64" s="103"/>
      <c r="W64" s="111"/>
      <c r="X64" s="111"/>
    </row>
    <row r="65" spans="2:24" s="112" customFormat="1" x14ac:dyDescent="0.25">
      <c r="B65" s="103" t="s">
        <v>110</v>
      </c>
      <c r="C65" s="104" t="s">
        <v>61</v>
      </c>
      <c r="D65" s="104" t="s">
        <v>265</v>
      </c>
      <c r="E65" s="105">
        <v>36861</v>
      </c>
      <c r="F65" s="105">
        <v>37225</v>
      </c>
      <c r="G65" s="103" t="s">
        <v>69</v>
      </c>
      <c r="H65" s="103" t="s">
        <v>194</v>
      </c>
      <c r="I65" s="104" t="s">
        <v>70</v>
      </c>
      <c r="J65" s="102">
        <f t="shared" si="7"/>
        <v>0.20745161290322581</v>
      </c>
      <c r="K65" s="106"/>
      <c r="L65" s="106"/>
      <c r="M65" s="106"/>
      <c r="N65" s="106"/>
      <c r="O65" s="107"/>
      <c r="P65" s="106"/>
      <c r="Q65" s="108">
        <v>69948</v>
      </c>
      <c r="R65" s="104">
        <v>1</v>
      </c>
      <c r="S65" s="103" t="s">
        <v>266</v>
      </c>
      <c r="T65" s="110">
        <f>J65*J$1*R65</f>
        <v>6.431</v>
      </c>
      <c r="U65" s="113">
        <v>490966</v>
      </c>
      <c r="V65" s="103"/>
      <c r="W65" s="111"/>
      <c r="X65" s="111"/>
    </row>
    <row r="66" spans="2:24" s="112" customFormat="1" x14ac:dyDescent="0.25">
      <c r="B66" s="103" t="s">
        <v>110</v>
      </c>
      <c r="C66" s="104" t="s">
        <v>61</v>
      </c>
      <c r="D66" s="104" t="s">
        <v>265</v>
      </c>
      <c r="E66" s="105">
        <v>36861</v>
      </c>
      <c r="F66" s="105">
        <v>37225</v>
      </c>
      <c r="G66" s="103" t="s">
        <v>69</v>
      </c>
      <c r="H66" s="103" t="s">
        <v>198</v>
      </c>
      <c r="I66" s="104" t="s">
        <v>70</v>
      </c>
      <c r="J66" s="102">
        <f t="shared" si="7"/>
        <v>0.20745161290322581</v>
      </c>
      <c r="K66" s="106"/>
      <c r="L66" s="106"/>
      <c r="M66" s="106"/>
      <c r="N66" s="106"/>
      <c r="O66" s="107"/>
      <c r="P66" s="106"/>
      <c r="Q66" s="108">
        <v>69948</v>
      </c>
      <c r="R66" s="104">
        <v>1</v>
      </c>
      <c r="S66" s="103" t="s">
        <v>266</v>
      </c>
      <c r="T66" s="110">
        <f>J66*J$1*R66</f>
        <v>6.431</v>
      </c>
      <c r="U66" s="113">
        <v>490966</v>
      </c>
      <c r="V66" s="103"/>
      <c r="W66" s="111"/>
      <c r="X66" s="111"/>
    </row>
    <row r="67" spans="2:24" s="112" customFormat="1" x14ac:dyDescent="0.25">
      <c r="B67" s="103" t="s">
        <v>110</v>
      </c>
      <c r="C67" s="104" t="s">
        <v>61</v>
      </c>
      <c r="D67" s="104" t="s">
        <v>265</v>
      </c>
      <c r="E67" s="105">
        <v>36861</v>
      </c>
      <c r="F67" s="105">
        <v>37225</v>
      </c>
      <c r="G67" s="103" t="s">
        <v>69</v>
      </c>
      <c r="H67" s="103" t="s">
        <v>195</v>
      </c>
      <c r="I67" s="104" t="s">
        <v>70</v>
      </c>
      <c r="J67" s="102">
        <f t="shared" si="7"/>
        <v>0.20745161290322581</v>
      </c>
      <c r="K67" s="106"/>
      <c r="L67" s="106"/>
      <c r="M67" s="106"/>
      <c r="N67" s="106"/>
      <c r="O67" s="107"/>
      <c r="P67" s="106"/>
      <c r="Q67" s="108">
        <v>69948</v>
      </c>
      <c r="R67" s="104">
        <v>1</v>
      </c>
      <c r="S67" s="103" t="s">
        <v>266</v>
      </c>
      <c r="T67" s="110">
        <f t="shared" si="2"/>
        <v>6.431</v>
      </c>
      <c r="U67" s="113">
        <v>490966</v>
      </c>
      <c r="V67" s="103"/>
      <c r="W67" s="111"/>
      <c r="X67" s="111"/>
    </row>
    <row r="68" spans="2:24" x14ac:dyDescent="0.25">
      <c r="T68" s="9"/>
    </row>
    <row r="69" spans="2:24" x14ac:dyDescent="0.25">
      <c r="B69" s="10" t="s">
        <v>33</v>
      </c>
      <c r="C69" s="11" t="s">
        <v>33</v>
      </c>
      <c r="D69" s="11" t="s">
        <v>33</v>
      </c>
      <c r="E69" s="13" t="s">
        <v>33</v>
      </c>
      <c r="F69" s="13" t="s">
        <v>33</v>
      </c>
      <c r="G69" s="10" t="s">
        <v>33</v>
      </c>
      <c r="H69" s="30" t="s">
        <v>33</v>
      </c>
      <c r="I69" s="11" t="s">
        <v>33</v>
      </c>
      <c r="J69" s="14"/>
      <c r="K69" s="15"/>
      <c r="L69" s="15"/>
      <c r="M69" s="15"/>
      <c r="N69" s="15"/>
      <c r="O69" s="43"/>
      <c r="P69" s="15"/>
      <c r="Q69" s="26" t="s">
        <v>33</v>
      </c>
      <c r="R69" s="11"/>
      <c r="S69" s="10" t="s">
        <v>33</v>
      </c>
      <c r="T69" s="22">
        <f>SUM(T8:T67)</f>
        <v>1183725.4095999999</v>
      </c>
      <c r="U69" s="53"/>
      <c r="V69" s="30"/>
      <c r="W69" s="36"/>
      <c r="X69" s="36"/>
    </row>
    <row r="70" spans="2:24" x14ac:dyDescent="0.25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28"/>
      <c r="U70" s="50"/>
      <c r="V70" s="55"/>
      <c r="W70" s="35"/>
      <c r="X70" s="35"/>
    </row>
    <row r="71" spans="2:24" x14ac:dyDescent="0.25">
      <c r="B71" s="27"/>
      <c r="C71" s="3"/>
      <c r="D71" s="3"/>
      <c r="E71" s="4"/>
      <c r="F71" s="4"/>
      <c r="G71" s="1"/>
      <c r="H71" s="1"/>
      <c r="I71" s="3"/>
      <c r="J71" s="8"/>
      <c r="K71" s="5"/>
      <c r="L71" s="5"/>
      <c r="M71" s="5"/>
      <c r="N71" s="5"/>
      <c r="O71" s="41"/>
      <c r="P71" s="5"/>
      <c r="Q71" s="47"/>
      <c r="R71" s="48"/>
      <c r="S71" s="28"/>
      <c r="T71" s="28"/>
      <c r="U71" s="50"/>
      <c r="V71" s="55"/>
      <c r="W71" s="35"/>
      <c r="X71" s="35"/>
    </row>
    <row r="72" spans="2:24" ht="13.8" thickBot="1" x14ac:dyDescent="0.3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75">
        <f>SUM(T69)</f>
        <v>1183725.4095999999</v>
      </c>
      <c r="U72" s="50" t="s">
        <v>300</v>
      </c>
      <c r="V72" s="55"/>
      <c r="W72" s="35"/>
      <c r="X72" s="35"/>
    </row>
    <row r="73" spans="2:24" ht="13.8" thickTop="1" x14ac:dyDescent="0.25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>
        <v>10000</v>
      </c>
      <c r="U73" s="50" t="s">
        <v>299</v>
      </c>
      <c r="V73" s="55"/>
      <c r="W73" s="39"/>
      <c r="X73" s="35"/>
    </row>
    <row r="74" spans="2:24" x14ac:dyDescent="0.25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1"/>
      <c r="P74" s="5"/>
      <c r="Q74" s="47"/>
      <c r="R74" s="48"/>
      <c r="S74" s="28"/>
      <c r="T74" s="28"/>
      <c r="U74" s="50"/>
      <c r="V74" s="55"/>
      <c r="W74" s="35"/>
      <c r="X74" s="35"/>
    </row>
    <row r="75" spans="2:24" x14ac:dyDescent="0.25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1"/>
      <c r="P75" s="5"/>
      <c r="Q75" s="47"/>
      <c r="R75" s="48"/>
      <c r="S75" s="28"/>
      <c r="T75" s="28"/>
      <c r="U75" s="50"/>
      <c r="V75" s="55"/>
      <c r="W75" s="35"/>
      <c r="X75" s="35"/>
    </row>
    <row r="76" spans="2:24" x14ac:dyDescent="0.25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1"/>
      <c r="P76" s="5"/>
      <c r="Q76" s="47"/>
      <c r="R76" s="48"/>
      <c r="S76" s="39"/>
      <c r="T76" s="28"/>
      <c r="U76" s="50"/>
      <c r="V76" s="55"/>
      <c r="W76" s="35"/>
      <c r="X76" s="35"/>
    </row>
    <row r="77" spans="2:24" x14ac:dyDescent="0.25">
      <c r="B77" s="27"/>
      <c r="C77" s="3"/>
      <c r="D77" s="3"/>
      <c r="E77" s="4"/>
      <c r="F77" s="4"/>
      <c r="G77" s="1"/>
      <c r="H77" s="1"/>
      <c r="I77" s="3"/>
      <c r="J77" s="8"/>
      <c r="K77" s="5"/>
      <c r="L77" s="5"/>
      <c r="M77" s="5"/>
      <c r="N77" s="5"/>
      <c r="O77" s="41"/>
      <c r="P77" s="5"/>
      <c r="Q77" s="47"/>
      <c r="R77" s="48"/>
      <c r="S77" s="39"/>
      <c r="T77" s="28"/>
      <c r="U77" s="50"/>
      <c r="V77" s="55"/>
      <c r="W77" s="35"/>
      <c r="X77" s="35"/>
    </row>
    <row r="78" spans="2:24" x14ac:dyDescent="0.25">
      <c r="Q78" s="34"/>
      <c r="R78" s="34"/>
      <c r="S78" s="34"/>
      <c r="T78" s="34"/>
      <c r="U78" s="49"/>
      <c r="V78" s="57"/>
      <c r="W78" s="49"/>
    </row>
    <row r="79" spans="2:24" x14ac:dyDescent="0.25">
      <c r="Q79" s="34"/>
      <c r="R79" s="34"/>
      <c r="S79" s="34"/>
      <c r="T79" s="34"/>
      <c r="U79" s="49"/>
      <c r="V79" s="57"/>
      <c r="W79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I12" sqref="I12"/>
    </sheetView>
  </sheetViews>
  <sheetFormatPr defaultRowHeight="13.2" x14ac:dyDescent="0.25"/>
  <cols>
    <col min="9" max="9" width="11.33203125" customWidth="1"/>
    <col min="11" max="11" width="11.33203125" customWidth="1"/>
    <col min="13" max="13" width="12.5546875" customWidth="1"/>
  </cols>
  <sheetData>
    <row r="1" spans="2:17" x14ac:dyDescent="0.25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5">
      <c r="B2" s="85"/>
      <c r="C2" s="85" t="s">
        <v>4</v>
      </c>
      <c r="D2" s="85">
        <v>37147</v>
      </c>
      <c r="E2" s="85" t="s">
        <v>5</v>
      </c>
      <c r="F2" s="85" t="s">
        <v>6</v>
      </c>
      <c r="G2" s="85" t="s">
        <v>6</v>
      </c>
      <c r="H2" s="86">
        <v>35582</v>
      </c>
      <c r="I2" s="85" t="s">
        <v>6</v>
      </c>
      <c r="J2" s="85" t="s">
        <v>6</v>
      </c>
      <c r="K2" s="85">
        <v>0</v>
      </c>
      <c r="L2" s="85">
        <v>0</v>
      </c>
      <c r="M2" s="85">
        <v>0</v>
      </c>
      <c r="N2" s="85">
        <v>0</v>
      </c>
      <c r="O2" s="85">
        <v>0</v>
      </c>
      <c r="P2" s="85">
        <v>0</v>
      </c>
      <c r="Q2" s="85" t="s">
        <v>6</v>
      </c>
    </row>
    <row r="3" spans="2:17" x14ac:dyDescent="0.25">
      <c r="B3" s="87"/>
      <c r="C3" s="87" t="s">
        <v>4</v>
      </c>
      <c r="D3" s="87">
        <v>39149</v>
      </c>
      <c r="E3" s="87" t="s">
        <v>143</v>
      </c>
      <c r="F3" s="87" t="s">
        <v>6</v>
      </c>
      <c r="G3" s="87" t="s">
        <v>6</v>
      </c>
      <c r="H3" s="88">
        <v>35582</v>
      </c>
      <c r="I3" s="87" t="s">
        <v>6</v>
      </c>
      <c r="J3" s="87" t="s">
        <v>6</v>
      </c>
      <c r="K3" s="89">
        <v>500000</v>
      </c>
      <c r="L3" s="87">
        <v>0</v>
      </c>
      <c r="M3" s="89">
        <v>500000</v>
      </c>
      <c r="N3" s="87">
        <v>0</v>
      </c>
      <c r="O3" s="87">
        <v>0</v>
      </c>
      <c r="P3" s="87">
        <v>0</v>
      </c>
      <c r="Q3" s="87" t="s">
        <v>6</v>
      </c>
    </row>
    <row r="4" spans="2:17" x14ac:dyDescent="0.25">
      <c r="B4" s="85"/>
      <c r="C4" s="85" t="s">
        <v>4</v>
      </c>
      <c r="D4" s="85">
        <v>39607</v>
      </c>
      <c r="E4" s="85" t="s">
        <v>7</v>
      </c>
      <c r="F4" s="85" t="s">
        <v>6</v>
      </c>
      <c r="G4" s="85" t="s">
        <v>6</v>
      </c>
      <c r="H4" s="86">
        <v>35582</v>
      </c>
      <c r="I4" s="85" t="s">
        <v>6</v>
      </c>
      <c r="J4" s="85" t="s">
        <v>6</v>
      </c>
      <c r="K4" s="90">
        <v>10000000</v>
      </c>
      <c r="L4" s="85">
        <v>0</v>
      </c>
      <c r="M4" s="90">
        <v>10000000</v>
      </c>
      <c r="N4" s="85">
        <v>0</v>
      </c>
      <c r="O4" s="85">
        <v>0</v>
      </c>
      <c r="P4" s="85">
        <v>0</v>
      </c>
      <c r="Q4" s="85" t="s">
        <v>6</v>
      </c>
    </row>
    <row r="5" spans="2:17" x14ac:dyDescent="0.25">
      <c r="B5" s="87"/>
      <c r="C5" s="87" t="s">
        <v>4</v>
      </c>
      <c r="D5" s="87">
        <v>39764</v>
      </c>
      <c r="E5" s="87" t="s">
        <v>8</v>
      </c>
      <c r="F5" s="87" t="s">
        <v>6</v>
      </c>
      <c r="G5" s="87" t="s">
        <v>6</v>
      </c>
      <c r="H5" s="88">
        <v>35582</v>
      </c>
      <c r="I5" s="87" t="s">
        <v>6</v>
      </c>
      <c r="J5" s="87" t="s">
        <v>6</v>
      </c>
      <c r="K5" s="89">
        <v>60000</v>
      </c>
      <c r="L5" s="87">
        <v>0</v>
      </c>
      <c r="M5" s="89">
        <v>60000</v>
      </c>
      <c r="N5" s="87">
        <v>0</v>
      </c>
      <c r="O5" s="87">
        <v>0</v>
      </c>
      <c r="P5" s="87">
        <v>0</v>
      </c>
      <c r="Q5" s="87" t="s">
        <v>6</v>
      </c>
    </row>
    <row r="6" spans="2:17" x14ac:dyDescent="0.25">
      <c r="B6" s="85"/>
      <c r="C6" s="85" t="s">
        <v>4</v>
      </c>
      <c r="D6" s="85">
        <v>40998</v>
      </c>
      <c r="E6" s="85" t="s">
        <v>9</v>
      </c>
      <c r="F6" s="85" t="s">
        <v>6</v>
      </c>
      <c r="G6" s="85" t="s">
        <v>6</v>
      </c>
      <c r="H6" s="86">
        <v>34393</v>
      </c>
      <c r="I6" s="85" t="s">
        <v>6</v>
      </c>
      <c r="J6" s="85" t="s">
        <v>6</v>
      </c>
      <c r="K6" s="90">
        <v>250000</v>
      </c>
      <c r="L6" s="85">
        <v>0</v>
      </c>
      <c r="M6" s="90">
        <v>250000</v>
      </c>
      <c r="N6" s="85">
        <v>0</v>
      </c>
      <c r="O6" s="85">
        <v>0</v>
      </c>
      <c r="P6" s="85">
        <v>0</v>
      </c>
      <c r="Q6" s="85" t="s">
        <v>6</v>
      </c>
    </row>
    <row r="7" spans="2:17" x14ac:dyDescent="0.25">
      <c r="B7" s="87"/>
      <c r="C7" s="87" t="s">
        <v>4</v>
      </c>
      <c r="D7" s="87">
        <v>60094</v>
      </c>
      <c r="E7" s="87" t="s">
        <v>10</v>
      </c>
      <c r="F7" s="87" t="s">
        <v>6</v>
      </c>
      <c r="G7" s="87" t="s">
        <v>6</v>
      </c>
      <c r="H7" s="88">
        <v>35916</v>
      </c>
      <c r="I7" s="87" t="s">
        <v>6</v>
      </c>
      <c r="J7" s="87" t="s">
        <v>6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  <c r="P7" s="87">
        <v>0</v>
      </c>
      <c r="Q7" s="87" t="s">
        <v>6</v>
      </c>
    </row>
    <row r="8" spans="2:17" x14ac:dyDescent="0.25">
      <c r="B8" s="85"/>
      <c r="C8" s="85" t="s">
        <v>4</v>
      </c>
      <c r="D8" s="85">
        <v>61822</v>
      </c>
      <c r="E8" s="85" t="s">
        <v>70</v>
      </c>
      <c r="F8" s="85" t="s">
        <v>6</v>
      </c>
      <c r="G8" s="85" t="s">
        <v>6</v>
      </c>
      <c r="H8" s="86">
        <v>36557</v>
      </c>
      <c r="I8" s="85" t="s">
        <v>6</v>
      </c>
      <c r="J8" s="85">
        <v>22429</v>
      </c>
      <c r="K8" s="90">
        <v>4000</v>
      </c>
      <c r="L8" s="85">
        <v>0</v>
      </c>
      <c r="M8" s="90">
        <v>4000</v>
      </c>
      <c r="N8" s="85">
        <v>0</v>
      </c>
      <c r="O8" s="85">
        <v>0</v>
      </c>
      <c r="P8" s="85">
        <v>0</v>
      </c>
      <c r="Q8" s="85" t="s">
        <v>6</v>
      </c>
    </row>
    <row r="9" spans="2:17" x14ac:dyDescent="0.25">
      <c r="B9" s="87"/>
      <c r="C9" s="87" t="s">
        <v>4</v>
      </c>
      <c r="D9" s="87">
        <v>61825</v>
      </c>
      <c r="E9" s="87" t="s">
        <v>70</v>
      </c>
      <c r="F9" s="87" t="s">
        <v>6</v>
      </c>
      <c r="G9" s="87" t="s">
        <v>6</v>
      </c>
      <c r="H9" s="88">
        <v>36557</v>
      </c>
      <c r="I9" s="88">
        <v>36830</v>
      </c>
      <c r="J9" s="87">
        <v>22428</v>
      </c>
      <c r="K9" s="89">
        <v>8000</v>
      </c>
      <c r="L9" s="87">
        <v>0</v>
      </c>
      <c r="M9" s="89">
        <v>8000</v>
      </c>
      <c r="N9" s="87">
        <v>0</v>
      </c>
      <c r="O9" s="87">
        <v>0</v>
      </c>
      <c r="P9" s="87">
        <v>0</v>
      </c>
      <c r="Q9" s="87" t="s">
        <v>6</v>
      </c>
    </row>
    <row r="10" spans="2:17" x14ac:dyDescent="0.25">
      <c r="B10" s="85"/>
      <c r="C10" s="85" t="s">
        <v>4</v>
      </c>
      <c r="D10" s="85">
        <v>61838</v>
      </c>
      <c r="E10" s="85" t="s">
        <v>70</v>
      </c>
      <c r="F10" s="85" t="s">
        <v>6</v>
      </c>
      <c r="G10" s="85" t="s">
        <v>6</v>
      </c>
      <c r="H10" s="86">
        <v>36557</v>
      </c>
      <c r="I10" s="85" t="s">
        <v>6</v>
      </c>
      <c r="J10" s="85">
        <v>22422</v>
      </c>
      <c r="K10" s="90">
        <v>1000</v>
      </c>
      <c r="L10" s="85">
        <v>0</v>
      </c>
      <c r="M10" s="90">
        <v>1000</v>
      </c>
      <c r="N10" s="85">
        <v>0</v>
      </c>
      <c r="O10" s="85">
        <v>0</v>
      </c>
      <c r="P10" s="85">
        <v>0</v>
      </c>
      <c r="Q10" s="85" t="s">
        <v>6</v>
      </c>
    </row>
    <row r="11" spans="2:17" x14ac:dyDescent="0.25">
      <c r="B11" s="87"/>
      <c r="C11" s="87" t="s">
        <v>4</v>
      </c>
      <c r="D11" s="87">
        <v>61990</v>
      </c>
      <c r="E11" s="87" t="s">
        <v>70</v>
      </c>
      <c r="F11" s="87" t="s">
        <v>6</v>
      </c>
      <c r="G11" s="87" t="s">
        <v>6</v>
      </c>
      <c r="H11" s="88">
        <v>36557</v>
      </c>
      <c r="I11" s="87" t="s">
        <v>6</v>
      </c>
      <c r="J11" s="87">
        <v>22747</v>
      </c>
      <c r="K11" s="89">
        <v>2000</v>
      </c>
      <c r="L11" s="87">
        <v>0</v>
      </c>
      <c r="M11" s="89">
        <v>2000</v>
      </c>
      <c r="N11" s="87">
        <v>0</v>
      </c>
      <c r="O11" s="87">
        <v>0</v>
      </c>
      <c r="P11" s="87">
        <v>0</v>
      </c>
      <c r="Q11" s="87" t="s">
        <v>6</v>
      </c>
    </row>
    <row r="12" spans="2:17" x14ac:dyDescent="0.25">
      <c r="B12" s="85"/>
      <c r="C12" s="85" t="s">
        <v>4</v>
      </c>
      <c r="D12" s="85">
        <v>62164</v>
      </c>
      <c r="E12" s="85" t="s">
        <v>70</v>
      </c>
      <c r="F12" s="85" t="s">
        <v>6</v>
      </c>
      <c r="G12" s="85" t="s">
        <v>6</v>
      </c>
      <c r="H12" s="86">
        <v>36557</v>
      </c>
      <c r="I12" s="86">
        <v>36891</v>
      </c>
      <c r="J12" s="85">
        <v>23652</v>
      </c>
      <c r="K12" s="90">
        <v>2000</v>
      </c>
      <c r="L12" s="85">
        <v>0</v>
      </c>
      <c r="M12" s="90">
        <v>2000</v>
      </c>
      <c r="N12" s="85">
        <v>0</v>
      </c>
      <c r="O12" s="85">
        <v>0</v>
      </c>
      <c r="P12" s="85">
        <v>0</v>
      </c>
      <c r="Q12" s="85" t="s">
        <v>6</v>
      </c>
    </row>
    <row r="13" spans="2:17" x14ac:dyDescent="0.25">
      <c r="B13" s="87"/>
      <c r="C13" s="87" t="s">
        <v>4</v>
      </c>
      <c r="D13" s="87">
        <v>64034</v>
      </c>
      <c r="E13" s="87" t="s">
        <v>70</v>
      </c>
      <c r="F13" s="87" t="s">
        <v>6</v>
      </c>
      <c r="G13" s="87" t="s">
        <v>6</v>
      </c>
      <c r="H13" s="88">
        <v>36557</v>
      </c>
      <c r="I13" s="88">
        <v>36707</v>
      </c>
      <c r="J13" s="87">
        <v>25699</v>
      </c>
      <c r="K13" s="87">
        <v>911</v>
      </c>
      <c r="L13" s="87">
        <v>0</v>
      </c>
      <c r="M13" s="87">
        <v>911</v>
      </c>
      <c r="N13" s="87">
        <v>0</v>
      </c>
      <c r="O13" s="87">
        <v>0</v>
      </c>
      <c r="P13" s="87">
        <v>0</v>
      </c>
      <c r="Q13" s="87" t="s">
        <v>6</v>
      </c>
    </row>
    <row r="14" spans="2:17" x14ac:dyDescent="0.25">
      <c r="B14" s="85"/>
      <c r="C14" s="85" t="s">
        <v>4</v>
      </c>
      <c r="D14" s="85">
        <v>64036</v>
      </c>
      <c r="E14" s="85" t="s">
        <v>70</v>
      </c>
      <c r="F14" s="85" t="s">
        <v>6</v>
      </c>
      <c r="G14" s="85" t="s">
        <v>6</v>
      </c>
      <c r="H14" s="86">
        <v>36557</v>
      </c>
      <c r="I14" s="86">
        <v>36707</v>
      </c>
      <c r="J14" s="85">
        <v>25712</v>
      </c>
      <c r="K14" s="85">
        <v>1</v>
      </c>
      <c r="L14" s="85">
        <v>0</v>
      </c>
      <c r="M14" s="85">
        <v>1</v>
      </c>
      <c r="N14" s="85">
        <v>0</v>
      </c>
      <c r="O14" s="85">
        <v>0</v>
      </c>
      <c r="P14" s="85">
        <v>0</v>
      </c>
      <c r="Q14" s="85" t="s">
        <v>6</v>
      </c>
    </row>
    <row r="15" spans="2:17" x14ac:dyDescent="0.25">
      <c r="B15" s="87"/>
      <c r="C15" s="87" t="s">
        <v>4</v>
      </c>
      <c r="D15" s="87">
        <v>64328</v>
      </c>
      <c r="E15" s="87" t="s">
        <v>70</v>
      </c>
      <c r="F15" s="87" t="s">
        <v>6</v>
      </c>
      <c r="G15" s="87" t="s">
        <v>6</v>
      </c>
      <c r="H15" s="88">
        <v>36557</v>
      </c>
      <c r="I15" s="88">
        <v>36738</v>
      </c>
      <c r="J15" s="87">
        <v>25955</v>
      </c>
      <c r="K15" s="87">
        <v>51</v>
      </c>
      <c r="L15" s="87">
        <v>0</v>
      </c>
      <c r="M15" s="87">
        <v>51</v>
      </c>
      <c r="N15" s="87">
        <v>0</v>
      </c>
      <c r="O15" s="87">
        <v>0</v>
      </c>
      <c r="P15" s="87">
        <v>0</v>
      </c>
      <c r="Q15" s="87" t="s">
        <v>6</v>
      </c>
    </row>
    <row r="16" spans="2:17" x14ac:dyDescent="0.25">
      <c r="B16" s="85"/>
      <c r="C16" s="85" t="s">
        <v>4</v>
      </c>
      <c r="D16" s="85">
        <v>64329</v>
      </c>
      <c r="E16" s="85" t="s">
        <v>70</v>
      </c>
      <c r="F16" s="85" t="s">
        <v>6</v>
      </c>
      <c r="G16" s="85" t="s">
        <v>6</v>
      </c>
      <c r="H16" s="86">
        <v>36557</v>
      </c>
      <c r="I16" s="86">
        <v>36738</v>
      </c>
      <c r="J16" s="85">
        <v>25965</v>
      </c>
      <c r="K16" s="85">
        <v>12</v>
      </c>
      <c r="L16" s="85">
        <v>0</v>
      </c>
      <c r="M16" s="85">
        <v>12</v>
      </c>
      <c r="N16" s="85">
        <v>0</v>
      </c>
      <c r="O16" s="85">
        <v>0</v>
      </c>
      <c r="P16" s="85">
        <v>0</v>
      </c>
      <c r="Q16" s="85" t="s">
        <v>6</v>
      </c>
    </row>
    <row r="17" spans="2:17" x14ac:dyDescent="0.25">
      <c r="B17" s="87"/>
      <c r="C17" s="87" t="s">
        <v>4</v>
      </c>
      <c r="D17" s="87">
        <v>64356</v>
      </c>
      <c r="E17" s="87" t="s">
        <v>11</v>
      </c>
      <c r="F17" s="87" t="s">
        <v>12</v>
      </c>
      <c r="G17" s="87" t="s">
        <v>6</v>
      </c>
      <c r="H17" s="88">
        <v>36526</v>
      </c>
      <c r="I17" s="88">
        <v>36707</v>
      </c>
      <c r="J17" s="87" t="s">
        <v>6</v>
      </c>
      <c r="K17" s="89">
        <v>310000</v>
      </c>
      <c r="L17" s="87">
        <v>0</v>
      </c>
      <c r="M17" s="89">
        <v>310000</v>
      </c>
      <c r="N17" s="87">
        <v>0</v>
      </c>
      <c r="O17" s="87">
        <v>0</v>
      </c>
      <c r="P17" s="87">
        <v>0</v>
      </c>
      <c r="Q17" s="87"/>
    </row>
    <row r="18" spans="2:17" x14ac:dyDescent="0.25">
      <c r="B18" s="85"/>
      <c r="C18" s="85" t="s">
        <v>4</v>
      </c>
      <c r="D18" s="85">
        <v>64651</v>
      </c>
      <c r="E18" s="85" t="s">
        <v>70</v>
      </c>
      <c r="F18" s="85" t="s">
        <v>6</v>
      </c>
      <c r="G18" s="85" t="s">
        <v>6</v>
      </c>
      <c r="H18" s="86">
        <v>36557</v>
      </c>
      <c r="I18" s="86">
        <v>36769</v>
      </c>
      <c r="J18" s="85">
        <v>26150</v>
      </c>
      <c r="K18" s="85">
        <v>64</v>
      </c>
      <c r="L18" s="85">
        <v>0</v>
      </c>
      <c r="M18" s="85">
        <v>64</v>
      </c>
      <c r="N18" s="85">
        <v>0</v>
      </c>
      <c r="O18" s="85">
        <v>0</v>
      </c>
      <c r="P18" s="85">
        <v>0</v>
      </c>
      <c r="Q18" s="85" t="s">
        <v>6</v>
      </c>
    </row>
    <row r="19" spans="2:17" x14ac:dyDescent="0.25">
      <c r="B19" s="87"/>
      <c r="C19" s="87" t="s">
        <v>4</v>
      </c>
      <c r="D19" s="87">
        <v>64862</v>
      </c>
      <c r="E19" s="87" t="s">
        <v>70</v>
      </c>
      <c r="F19" s="87" t="s">
        <v>6</v>
      </c>
      <c r="G19" s="87" t="s">
        <v>6</v>
      </c>
      <c r="H19" s="88">
        <v>36557</v>
      </c>
      <c r="I19" s="88">
        <v>36799</v>
      </c>
      <c r="J19" s="87">
        <v>26503</v>
      </c>
      <c r="K19" s="87">
        <v>13</v>
      </c>
      <c r="L19" s="87">
        <v>0</v>
      </c>
      <c r="M19" s="87">
        <v>13</v>
      </c>
      <c r="N19" s="87">
        <v>0</v>
      </c>
      <c r="O19" s="87">
        <v>0</v>
      </c>
      <c r="P19" s="87">
        <v>0</v>
      </c>
      <c r="Q19" s="87" t="s">
        <v>6</v>
      </c>
    </row>
    <row r="20" spans="2:17" x14ac:dyDescent="0.25">
      <c r="B20" s="85"/>
      <c r="C20" s="85" t="s">
        <v>4</v>
      </c>
      <c r="D20" s="85">
        <v>64939</v>
      </c>
      <c r="E20" s="85" t="s">
        <v>70</v>
      </c>
      <c r="F20" s="85" t="s">
        <v>6</v>
      </c>
      <c r="G20" s="85" t="s">
        <v>6</v>
      </c>
      <c r="H20" s="86">
        <v>36557</v>
      </c>
      <c r="I20" s="86">
        <v>36799</v>
      </c>
      <c r="J20" s="85">
        <v>26577</v>
      </c>
      <c r="K20" s="90">
        <v>2300</v>
      </c>
      <c r="L20" s="85">
        <v>0</v>
      </c>
      <c r="M20" s="90">
        <v>2300</v>
      </c>
      <c r="N20" s="85">
        <v>0</v>
      </c>
      <c r="O20" s="85">
        <v>0</v>
      </c>
      <c r="P20" s="85">
        <v>0</v>
      </c>
      <c r="Q20" s="85" t="s">
        <v>6</v>
      </c>
    </row>
    <row r="21" spans="2:17" x14ac:dyDescent="0.25">
      <c r="B21" s="87"/>
      <c r="C21" s="87" t="s">
        <v>4</v>
      </c>
      <c r="D21" s="87">
        <v>65026</v>
      </c>
      <c r="E21" s="87" t="s">
        <v>70</v>
      </c>
      <c r="F21" s="87" t="s">
        <v>6</v>
      </c>
      <c r="G21" s="87" t="s">
        <v>6</v>
      </c>
      <c r="H21" s="88">
        <v>36557</v>
      </c>
      <c r="I21" s="88">
        <v>36830</v>
      </c>
      <c r="J21" s="87">
        <v>26726</v>
      </c>
      <c r="K21" s="87">
        <v>128</v>
      </c>
      <c r="L21" s="87">
        <v>0</v>
      </c>
      <c r="M21" s="87">
        <v>128</v>
      </c>
      <c r="N21" s="87">
        <v>0</v>
      </c>
      <c r="O21" s="87">
        <v>0</v>
      </c>
      <c r="P21" s="87">
        <v>0</v>
      </c>
      <c r="Q21" s="87" t="s">
        <v>6</v>
      </c>
    </row>
    <row r="22" spans="2:17" x14ac:dyDescent="0.25">
      <c r="B22" s="85"/>
      <c r="C22" s="85" t="s">
        <v>4</v>
      </c>
      <c r="D22" s="85">
        <v>65041</v>
      </c>
      <c r="E22" s="85" t="s">
        <v>70</v>
      </c>
      <c r="F22" s="85" t="s">
        <v>6</v>
      </c>
      <c r="G22" s="85" t="s">
        <v>6</v>
      </c>
      <c r="H22" s="86">
        <v>36557</v>
      </c>
      <c r="I22" s="86">
        <v>36830</v>
      </c>
      <c r="J22" s="85">
        <v>26754</v>
      </c>
      <c r="K22" s="90">
        <v>9619</v>
      </c>
      <c r="L22" s="85">
        <v>0</v>
      </c>
      <c r="M22" s="90">
        <v>9619</v>
      </c>
      <c r="N22" s="85">
        <v>0</v>
      </c>
      <c r="O22" s="85">
        <v>0</v>
      </c>
      <c r="P22" s="85">
        <v>0</v>
      </c>
      <c r="Q22" s="85" t="s">
        <v>6</v>
      </c>
    </row>
    <row r="23" spans="2:17" x14ac:dyDescent="0.25">
      <c r="B23" s="87"/>
      <c r="C23" s="87" t="s">
        <v>4</v>
      </c>
      <c r="D23" s="87">
        <v>65042</v>
      </c>
      <c r="E23" s="87" t="s">
        <v>70</v>
      </c>
      <c r="F23" s="87" t="s">
        <v>6</v>
      </c>
      <c r="G23" s="87" t="s">
        <v>6</v>
      </c>
      <c r="H23" s="88">
        <v>36557</v>
      </c>
      <c r="I23" s="88">
        <v>36830</v>
      </c>
      <c r="J23" s="87">
        <v>26753</v>
      </c>
      <c r="K23" s="89">
        <v>4427</v>
      </c>
      <c r="L23" s="87">
        <v>0</v>
      </c>
      <c r="M23" s="89">
        <v>4427</v>
      </c>
      <c r="N23" s="87">
        <v>0</v>
      </c>
      <c r="O23" s="87">
        <v>0</v>
      </c>
      <c r="P23" s="87">
        <v>0</v>
      </c>
      <c r="Q23" s="87" t="s">
        <v>6</v>
      </c>
    </row>
    <row r="24" spans="2:17" x14ac:dyDescent="0.25">
      <c r="B24" s="85"/>
      <c r="C24" s="85" t="s">
        <v>4</v>
      </c>
      <c r="D24" s="85">
        <v>65071</v>
      </c>
      <c r="E24" s="85" t="s">
        <v>70</v>
      </c>
      <c r="F24" s="85" t="s">
        <v>6</v>
      </c>
      <c r="G24" s="85" t="s">
        <v>6</v>
      </c>
      <c r="H24" s="86">
        <v>36557</v>
      </c>
      <c r="I24" s="86">
        <v>36830</v>
      </c>
      <c r="J24" s="85">
        <v>26782</v>
      </c>
      <c r="K24" s="90">
        <v>7429</v>
      </c>
      <c r="L24" s="85">
        <v>0</v>
      </c>
      <c r="M24" s="90">
        <v>7035</v>
      </c>
      <c r="N24" s="85">
        <v>394</v>
      </c>
      <c r="O24" s="85">
        <v>0</v>
      </c>
      <c r="P24" s="85">
        <v>0</v>
      </c>
      <c r="Q24" s="85" t="s">
        <v>6</v>
      </c>
    </row>
    <row r="25" spans="2:17" x14ac:dyDescent="0.25">
      <c r="B25" s="87"/>
      <c r="C25" s="87" t="s">
        <v>4</v>
      </c>
      <c r="D25" s="87">
        <v>65108</v>
      </c>
      <c r="E25" s="87" t="s">
        <v>70</v>
      </c>
      <c r="F25" s="87" t="s">
        <v>6</v>
      </c>
      <c r="G25" s="87" t="s">
        <v>6</v>
      </c>
      <c r="H25" s="88">
        <v>36557</v>
      </c>
      <c r="I25" s="88">
        <v>37011</v>
      </c>
      <c r="J25" s="87" t="s">
        <v>6</v>
      </c>
      <c r="K25" s="89">
        <v>5000</v>
      </c>
      <c r="L25" s="87">
        <v>0</v>
      </c>
      <c r="M25" s="89">
        <v>5000</v>
      </c>
      <c r="N25" s="87">
        <v>0</v>
      </c>
      <c r="O25" s="87">
        <v>0</v>
      </c>
      <c r="P25" s="87">
        <v>0</v>
      </c>
      <c r="Q25" s="87" t="s">
        <v>6</v>
      </c>
    </row>
    <row r="26" spans="2:17" x14ac:dyDescent="0.25">
      <c r="B26" s="85"/>
      <c r="C26" s="85" t="s">
        <v>4</v>
      </c>
      <c r="D26" s="85">
        <v>65402</v>
      </c>
      <c r="E26" s="85" t="s">
        <v>70</v>
      </c>
      <c r="F26" s="85" t="s">
        <v>6</v>
      </c>
      <c r="G26" s="85" t="s">
        <v>6</v>
      </c>
      <c r="H26" s="86">
        <v>36557</v>
      </c>
      <c r="I26" s="86">
        <v>36830</v>
      </c>
      <c r="J26" s="85">
        <v>26694</v>
      </c>
      <c r="K26" s="90">
        <v>20000</v>
      </c>
      <c r="L26" s="85">
        <v>0</v>
      </c>
      <c r="M26" s="85">
        <v>0</v>
      </c>
      <c r="N26" s="90">
        <v>20000</v>
      </c>
      <c r="O26" s="85">
        <v>0</v>
      </c>
      <c r="P26" s="85">
        <v>0</v>
      </c>
      <c r="Q26" s="85" t="s">
        <v>6</v>
      </c>
    </row>
    <row r="27" spans="2:17" x14ac:dyDescent="0.25">
      <c r="B27" s="87"/>
      <c r="C27" s="87" t="s">
        <v>4</v>
      </c>
      <c r="D27" s="87">
        <v>65403</v>
      </c>
      <c r="E27" s="87" t="s">
        <v>70</v>
      </c>
      <c r="F27" s="87" t="s">
        <v>6</v>
      </c>
      <c r="G27" s="87" t="s">
        <v>6</v>
      </c>
      <c r="H27" s="88">
        <v>36557</v>
      </c>
      <c r="I27" s="88">
        <v>37011</v>
      </c>
      <c r="J27" s="87">
        <v>26714</v>
      </c>
      <c r="K27" s="89">
        <v>19293</v>
      </c>
      <c r="L27" s="87">
        <v>0</v>
      </c>
      <c r="M27" s="89">
        <v>19293</v>
      </c>
      <c r="N27" s="87">
        <v>0</v>
      </c>
      <c r="O27" s="87">
        <v>0</v>
      </c>
      <c r="P27" s="87">
        <v>0</v>
      </c>
      <c r="Q27" s="87" t="s">
        <v>6</v>
      </c>
    </row>
    <row r="28" spans="2:17" x14ac:dyDescent="0.25">
      <c r="B28" s="85"/>
      <c r="C28" s="85" t="s">
        <v>4</v>
      </c>
      <c r="D28" s="85">
        <v>65418</v>
      </c>
      <c r="E28" s="85" t="s">
        <v>70</v>
      </c>
      <c r="F28" s="85" t="s">
        <v>6</v>
      </c>
      <c r="G28" s="85" t="s">
        <v>6</v>
      </c>
      <c r="H28" s="86">
        <v>36557</v>
      </c>
      <c r="I28" s="85" t="s">
        <v>6</v>
      </c>
      <c r="J28" s="85">
        <v>26722</v>
      </c>
      <c r="K28" s="85">
        <v>500</v>
      </c>
      <c r="L28" s="85">
        <v>0</v>
      </c>
      <c r="M28" s="85">
        <v>500</v>
      </c>
      <c r="N28" s="85">
        <v>0</v>
      </c>
      <c r="O28" s="85">
        <v>0</v>
      </c>
      <c r="P28" s="85">
        <v>0</v>
      </c>
      <c r="Q28" s="85" t="s">
        <v>6</v>
      </c>
    </row>
    <row r="29" spans="2:17" x14ac:dyDescent="0.25">
      <c r="B29" s="87"/>
      <c r="C29" s="87" t="s">
        <v>4</v>
      </c>
      <c r="D29" s="87">
        <v>65556</v>
      </c>
      <c r="E29" s="87" t="s">
        <v>70</v>
      </c>
      <c r="F29" s="87" t="s">
        <v>6</v>
      </c>
      <c r="G29" s="87" t="s">
        <v>6</v>
      </c>
      <c r="H29" s="88">
        <v>36557</v>
      </c>
      <c r="I29" s="88">
        <v>36860</v>
      </c>
      <c r="J29" s="87">
        <v>27127</v>
      </c>
      <c r="K29" s="87">
        <v>3</v>
      </c>
      <c r="L29" s="87">
        <v>0</v>
      </c>
      <c r="M29" s="87">
        <v>3</v>
      </c>
      <c r="N29" s="87">
        <v>0</v>
      </c>
      <c r="O29" s="87">
        <v>0</v>
      </c>
      <c r="P29" s="87">
        <v>0</v>
      </c>
      <c r="Q29" s="87" t="s">
        <v>6</v>
      </c>
    </row>
    <row r="30" spans="2:17" x14ac:dyDescent="0.25">
      <c r="B30" s="85"/>
      <c r="C30" s="85" t="s">
        <v>4</v>
      </c>
      <c r="D30" s="85">
        <v>66280</v>
      </c>
      <c r="E30" s="85" t="s">
        <v>70</v>
      </c>
      <c r="F30" s="85" t="s">
        <v>6</v>
      </c>
      <c r="G30" s="85" t="s">
        <v>6</v>
      </c>
      <c r="H30" s="86">
        <v>36557</v>
      </c>
      <c r="I30" s="86">
        <v>36922</v>
      </c>
      <c r="J30" s="85">
        <v>27772</v>
      </c>
      <c r="K30" s="85">
        <v>5</v>
      </c>
      <c r="L30" s="85">
        <v>0</v>
      </c>
      <c r="M30" s="85">
        <v>5</v>
      </c>
      <c r="N30" s="85">
        <v>0</v>
      </c>
      <c r="O30" s="85">
        <v>0</v>
      </c>
      <c r="P30" s="85">
        <v>0</v>
      </c>
      <c r="Q30" s="85" t="s">
        <v>6</v>
      </c>
    </row>
    <row r="31" spans="2:17" x14ac:dyDescent="0.25">
      <c r="B31" s="87"/>
      <c r="C31" s="87" t="s">
        <v>4</v>
      </c>
      <c r="D31" s="87">
        <v>66917</v>
      </c>
      <c r="E31" s="87" t="s">
        <v>143</v>
      </c>
      <c r="F31" s="87" t="s">
        <v>6</v>
      </c>
      <c r="G31" s="87" t="s">
        <v>6</v>
      </c>
      <c r="H31" s="88">
        <v>36617</v>
      </c>
      <c r="I31" s="87" t="s">
        <v>6</v>
      </c>
      <c r="J31" s="87" t="s">
        <v>6</v>
      </c>
      <c r="K31" s="89">
        <v>50000</v>
      </c>
      <c r="L31" s="87">
        <v>0</v>
      </c>
      <c r="M31" s="89">
        <v>50000</v>
      </c>
      <c r="N31" s="87">
        <v>0</v>
      </c>
      <c r="O31" s="87">
        <v>0</v>
      </c>
      <c r="P31" s="87">
        <v>0</v>
      </c>
      <c r="Q31" s="87" t="s">
        <v>6</v>
      </c>
    </row>
    <row r="32" spans="2:17" x14ac:dyDescent="0.25">
      <c r="B32" s="85"/>
      <c r="C32" s="85" t="s">
        <v>4</v>
      </c>
      <c r="D32" s="85">
        <v>66930</v>
      </c>
      <c r="E32" s="85" t="s">
        <v>70</v>
      </c>
      <c r="F32" s="85" t="s">
        <v>6</v>
      </c>
      <c r="G32" s="85" t="s">
        <v>6</v>
      </c>
      <c r="H32" s="86">
        <v>36617</v>
      </c>
      <c r="I32" s="86">
        <v>36981</v>
      </c>
      <c r="J32" s="85">
        <v>28188</v>
      </c>
      <c r="K32" s="90">
        <v>4000</v>
      </c>
      <c r="L32" s="85">
        <v>0</v>
      </c>
      <c r="M32" s="90">
        <v>4000</v>
      </c>
      <c r="N32" s="85">
        <v>0</v>
      </c>
      <c r="O32" s="85">
        <v>0</v>
      </c>
      <c r="P32" s="85">
        <v>0</v>
      </c>
      <c r="Q32" s="85" t="s">
        <v>6</v>
      </c>
    </row>
    <row r="33" spans="2:17" x14ac:dyDescent="0.25">
      <c r="B33" s="87"/>
      <c r="C33" s="87" t="s">
        <v>4</v>
      </c>
      <c r="D33" s="87">
        <v>66931</v>
      </c>
      <c r="E33" s="87" t="s">
        <v>70</v>
      </c>
      <c r="F33" s="87" t="s">
        <v>6</v>
      </c>
      <c r="G33" s="87" t="s">
        <v>6</v>
      </c>
      <c r="H33" s="88">
        <v>36617</v>
      </c>
      <c r="I33" s="88">
        <v>36981</v>
      </c>
      <c r="J33" s="87">
        <v>28189</v>
      </c>
      <c r="K33" s="89">
        <v>4000</v>
      </c>
      <c r="L33" s="87">
        <v>0</v>
      </c>
      <c r="M33" s="89">
        <v>4000</v>
      </c>
      <c r="N33" s="87">
        <v>0</v>
      </c>
      <c r="O33" s="87">
        <v>0</v>
      </c>
      <c r="P33" s="87">
        <v>0</v>
      </c>
      <c r="Q33" s="87" t="s">
        <v>6</v>
      </c>
    </row>
    <row r="34" spans="2:17" x14ac:dyDescent="0.25">
      <c r="B34" s="85"/>
      <c r="C34" s="85" t="s">
        <v>4</v>
      </c>
      <c r="D34" s="85">
        <v>66932</v>
      </c>
      <c r="E34" s="85" t="s">
        <v>70</v>
      </c>
      <c r="F34" s="85" t="s">
        <v>6</v>
      </c>
      <c r="G34" s="85" t="s">
        <v>6</v>
      </c>
      <c r="H34" s="86">
        <v>36617</v>
      </c>
      <c r="I34" s="86">
        <v>36981</v>
      </c>
      <c r="J34" s="85">
        <v>28176</v>
      </c>
      <c r="K34" s="90">
        <v>4000</v>
      </c>
      <c r="L34" s="85">
        <v>0</v>
      </c>
      <c r="M34" s="90">
        <v>4000</v>
      </c>
      <c r="N34" s="85">
        <v>0</v>
      </c>
      <c r="O34" s="85">
        <v>0</v>
      </c>
      <c r="P34" s="85">
        <v>0</v>
      </c>
      <c r="Q34" s="85" t="s">
        <v>6</v>
      </c>
    </row>
    <row r="35" spans="2:17" x14ac:dyDescent="0.25">
      <c r="B35" s="87"/>
      <c r="C35" s="87" t="s">
        <v>4</v>
      </c>
      <c r="D35" s="87">
        <v>66939</v>
      </c>
      <c r="E35" s="87" t="s">
        <v>70</v>
      </c>
      <c r="F35" s="87" t="s">
        <v>6</v>
      </c>
      <c r="G35" s="87" t="s">
        <v>6</v>
      </c>
      <c r="H35" s="88">
        <v>36617</v>
      </c>
      <c r="I35" s="88">
        <v>36981</v>
      </c>
      <c r="J35" s="87">
        <v>28332</v>
      </c>
      <c r="K35" s="87">
        <v>52</v>
      </c>
      <c r="L35" s="87">
        <v>0</v>
      </c>
      <c r="M35" s="87">
        <v>52</v>
      </c>
      <c r="N35" s="87">
        <v>0</v>
      </c>
      <c r="O35" s="87">
        <v>0</v>
      </c>
      <c r="P35" s="87">
        <v>0</v>
      </c>
      <c r="Q35" s="87" t="s">
        <v>6</v>
      </c>
    </row>
    <row r="36" spans="2:17" x14ac:dyDescent="0.25">
      <c r="B36" s="85"/>
      <c r="C36" s="85" t="s">
        <v>4</v>
      </c>
      <c r="D36" s="85">
        <v>66940</v>
      </c>
      <c r="E36" s="85" t="s">
        <v>70</v>
      </c>
      <c r="F36" s="85" t="s">
        <v>6</v>
      </c>
      <c r="G36" s="85" t="s">
        <v>6</v>
      </c>
      <c r="H36" s="86">
        <v>36617</v>
      </c>
      <c r="I36" s="86">
        <v>36981</v>
      </c>
      <c r="J36" s="85">
        <v>28331</v>
      </c>
      <c r="K36" s="85">
        <v>2</v>
      </c>
      <c r="L36" s="85">
        <v>0</v>
      </c>
      <c r="M36" s="85">
        <v>2</v>
      </c>
      <c r="N36" s="85">
        <v>0</v>
      </c>
      <c r="O36" s="85">
        <v>0</v>
      </c>
      <c r="P36" s="85">
        <v>0</v>
      </c>
      <c r="Q36" s="85" t="s">
        <v>6</v>
      </c>
    </row>
    <row r="37" spans="2:17" x14ac:dyDescent="0.25">
      <c r="B37" s="87"/>
      <c r="C37" s="87" t="s">
        <v>4</v>
      </c>
      <c r="D37" s="87">
        <v>66965</v>
      </c>
      <c r="E37" s="87" t="s">
        <v>77</v>
      </c>
      <c r="F37" s="87" t="s">
        <v>6</v>
      </c>
      <c r="G37" s="87" t="s">
        <v>6</v>
      </c>
      <c r="H37" s="88">
        <v>36617</v>
      </c>
      <c r="I37" s="88">
        <v>36830</v>
      </c>
      <c r="J37" s="87">
        <v>28226</v>
      </c>
      <c r="K37" s="89">
        <v>20000</v>
      </c>
      <c r="L37" s="87">
        <v>0</v>
      </c>
      <c r="M37" s="89">
        <v>20000</v>
      </c>
      <c r="N37" s="87">
        <v>0</v>
      </c>
      <c r="O37" s="87">
        <v>0</v>
      </c>
      <c r="P37" s="87">
        <v>0</v>
      </c>
      <c r="Q37" s="87" t="s">
        <v>6</v>
      </c>
    </row>
    <row r="38" spans="2:17" x14ac:dyDescent="0.25">
      <c r="B38" s="85"/>
      <c r="C38" s="85" t="s">
        <v>4</v>
      </c>
      <c r="D38" s="85">
        <v>67693</v>
      </c>
      <c r="E38" s="85" t="s">
        <v>77</v>
      </c>
      <c r="F38" s="85" t="s">
        <v>6</v>
      </c>
      <c r="G38" s="85" t="s">
        <v>6</v>
      </c>
      <c r="H38" s="86">
        <v>36617</v>
      </c>
      <c r="I38" s="86">
        <v>36799</v>
      </c>
      <c r="J38" s="85">
        <v>28390</v>
      </c>
      <c r="K38" s="90">
        <v>54327</v>
      </c>
      <c r="L38" s="85">
        <v>0</v>
      </c>
      <c r="M38" s="90">
        <v>29827</v>
      </c>
      <c r="N38" s="90">
        <v>24500</v>
      </c>
      <c r="O38" s="85">
        <v>0</v>
      </c>
      <c r="P38" s="85">
        <v>0</v>
      </c>
      <c r="Q38" s="85" t="s">
        <v>6</v>
      </c>
    </row>
    <row r="39" spans="2:17" x14ac:dyDescent="0.25">
      <c r="B39" s="87"/>
      <c r="C39" s="87" t="s">
        <v>4</v>
      </c>
      <c r="D39" s="87">
        <v>67712</v>
      </c>
      <c r="E39" s="87" t="s">
        <v>73</v>
      </c>
      <c r="F39" s="87" t="s">
        <v>6</v>
      </c>
      <c r="G39" s="87" t="s">
        <v>6</v>
      </c>
      <c r="H39" s="88">
        <v>36617</v>
      </c>
      <c r="I39" s="88">
        <v>36981</v>
      </c>
      <c r="J39" s="87">
        <v>28389</v>
      </c>
      <c r="K39" s="89">
        <v>108648</v>
      </c>
      <c r="L39" s="89">
        <v>6050607</v>
      </c>
      <c r="M39" s="89">
        <v>108648</v>
      </c>
      <c r="N39" s="87">
        <v>0</v>
      </c>
      <c r="O39" s="87">
        <v>0</v>
      </c>
      <c r="P39" s="87">
        <v>0</v>
      </c>
      <c r="Q39" s="87">
        <v>67713</v>
      </c>
    </row>
    <row r="40" spans="2:17" x14ac:dyDescent="0.25">
      <c r="B40" s="85"/>
      <c r="C40" s="85" t="s">
        <v>4</v>
      </c>
      <c r="D40" s="85">
        <v>67713</v>
      </c>
      <c r="E40" s="85" t="s">
        <v>73</v>
      </c>
      <c r="F40" s="85" t="s">
        <v>6</v>
      </c>
      <c r="G40" s="85" t="s">
        <v>6</v>
      </c>
      <c r="H40" s="86">
        <v>36617</v>
      </c>
      <c r="I40" s="86">
        <v>36981</v>
      </c>
      <c r="J40" s="85">
        <v>28389</v>
      </c>
      <c r="K40" s="90">
        <v>108648</v>
      </c>
      <c r="L40" s="90">
        <v>6050607</v>
      </c>
      <c r="M40" s="90">
        <v>108648</v>
      </c>
      <c r="N40" s="85">
        <v>0</v>
      </c>
      <c r="O40" s="85">
        <v>0</v>
      </c>
      <c r="P40" s="85">
        <v>0</v>
      </c>
      <c r="Q40" s="85">
        <v>67713</v>
      </c>
    </row>
    <row r="41" spans="2:17" x14ac:dyDescent="0.25">
      <c r="B41" s="87"/>
      <c r="C41" s="87" t="s">
        <v>4</v>
      </c>
      <c r="D41" s="87">
        <v>68188</v>
      </c>
      <c r="E41" s="87" t="s">
        <v>70</v>
      </c>
      <c r="F41" s="87" t="s">
        <v>6</v>
      </c>
      <c r="G41" s="87" t="s">
        <v>6</v>
      </c>
      <c r="H41" s="88">
        <v>36647</v>
      </c>
      <c r="I41" s="88">
        <v>37011</v>
      </c>
      <c r="J41" s="87">
        <v>28742</v>
      </c>
      <c r="K41" s="87">
        <v>1</v>
      </c>
      <c r="L41" s="87">
        <v>0</v>
      </c>
      <c r="M41" s="87">
        <v>1</v>
      </c>
      <c r="N41" s="87">
        <v>0</v>
      </c>
      <c r="O41" s="87">
        <v>0</v>
      </c>
      <c r="P41" s="87">
        <v>0</v>
      </c>
      <c r="Q41" s="87" t="s">
        <v>6</v>
      </c>
    </row>
    <row r="42" spans="2:17" x14ac:dyDescent="0.25">
      <c r="B42" s="85"/>
      <c r="C42" s="85" t="s">
        <v>4</v>
      </c>
      <c r="D42" s="85">
        <v>68257</v>
      </c>
      <c r="E42" s="85" t="s">
        <v>70</v>
      </c>
      <c r="F42" s="85" t="s">
        <v>6</v>
      </c>
      <c r="G42" s="85" t="s">
        <v>6</v>
      </c>
      <c r="H42" s="86">
        <v>36647</v>
      </c>
      <c r="I42" s="86">
        <v>37011</v>
      </c>
      <c r="J42" s="85">
        <v>28631</v>
      </c>
      <c r="K42" s="85">
        <v>21</v>
      </c>
      <c r="L42" s="85">
        <v>0</v>
      </c>
      <c r="M42" s="85">
        <v>21</v>
      </c>
      <c r="N42" s="85">
        <v>0</v>
      </c>
      <c r="O42" s="85">
        <v>0</v>
      </c>
      <c r="P42" s="85">
        <v>0</v>
      </c>
      <c r="Q42" s="85"/>
    </row>
    <row r="43" spans="2:17" x14ac:dyDescent="0.25">
      <c r="B43" s="87"/>
      <c r="C43" s="87" t="s">
        <v>4</v>
      </c>
      <c r="D43" s="87">
        <v>68308</v>
      </c>
      <c r="E43" s="87" t="s">
        <v>70</v>
      </c>
      <c r="F43" s="87" t="s">
        <v>6</v>
      </c>
      <c r="G43" s="87" t="s">
        <v>6</v>
      </c>
      <c r="H43" s="88">
        <v>36656</v>
      </c>
      <c r="I43" s="88">
        <v>36950</v>
      </c>
      <c r="J43" s="87">
        <v>28864</v>
      </c>
      <c r="K43" s="87">
        <v>9</v>
      </c>
      <c r="L43" s="87">
        <v>0</v>
      </c>
      <c r="M43" s="87">
        <v>9</v>
      </c>
      <c r="N43" s="87">
        <v>0</v>
      </c>
      <c r="O43" s="87">
        <v>0</v>
      </c>
      <c r="P43" s="87">
        <v>0</v>
      </c>
      <c r="Q43" s="87" t="s">
        <v>6</v>
      </c>
    </row>
    <row r="44" spans="2:17" x14ac:dyDescent="0.25">
      <c r="B44" s="85"/>
      <c r="C44" s="85" t="s">
        <v>4</v>
      </c>
      <c r="D44" s="85">
        <v>68359</v>
      </c>
      <c r="E44" s="85" t="s">
        <v>70</v>
      </c>
      <c r="F44" s="85" t="s">
        <v>6</v>
      </c>
      <c r="G44" s="85" t="s">
        <v>6</v>
      </c>
      <c r="H44" s="86">
        <v>36678</v>
      </c>
      <c r="I44" s="86">
        <v>37042</v>
      </c>
      <c r="J44" s="85">
        <v>28933</v>
      </c>
      <c r="K44" s="85">
        <v>285</v>
      </c>
      <c r="L44" s="85">
        <v>0</v>
      </c>
      <c r="M44" s="85">
        <v>285</v>
      </c>
      <c r="N44" s="85">
        <v>0</v>
      </c>
      <c r="O44" s="85">
        <v>0</v>
      </c>
      <c r="P44" s="85">
        <v>0</v>
      </c>
      <c r="Q44" s="85" t="s">
        <v>6</v>
      </c>
    </row>
    <row r="45" spans="2:17" x14ac:dyDescent="0.25">
      <c r="B45" s="87"/>
      <c r="C45" s="87" t="s">
        <v>4</v>
      </c>
      <c r="D45" s="87">
        <v>68384</v>
      </c>
      <c r="E45" s="87" t="s">
        <v>70</v>
      </c>
      <c r="F45" s="87" t="s">
        <v>6</v>
      </c>
      <c r="G45" s="87" t="s">
        <v>6</v>
      </c>
      <c r="H45" s="88">
        <v>36678</v>
      </c>
      <c r="I45" s="88">
        <v>37042</v>
      </c>
      <c r="J45" s="87">
        <v>28962</v>
      </c>
      <c r="K45" s="87">
        <v>218</v>
      </c>
      <c r="L45" s="87">
        <v>0</v>
      </c>
      <c r="M45" s="87">
        <v>218</v>
      </c>
      <c r="N45" s="87">
        <v>0</v>
      </c>
      <c r="O45" s="87">
        <v>0</v>
      </c>
      <c r="P45" s="87">
        <v>0</v>
      </c>
      <c r="Q45" s="87" t="s">
        <v>6</v>
      </c>
    </row>
    <row r="46" spans="2:17" x14ac:dyDescent="0.25">
      <c r="B46" s="85"/>
      <c r="C46" s="85" t="s">
        <v>4</v>
      </c>
      <c r="D46" s="85">
        <v>68443</v>
      </c>
      <c r="E46" s="85" t="s">
        <v>77</v>
      </c>
      <c r="F46" s="85" t="s">
        <v>6</v>
      </c>
      <c r="G46" s="85" t="s">
        <v>6</v>
      </c>
      <c r="H46" s="86">
        <v>36678</v>
      </c>
      <c r="I46" s="86">
        <v>36707</v>
      </c>
      <c r="J46" s="85">
        <v>29005</v>
      </c>
      <c r="K46" s="90">
        <v>10000</v>
      </c>
      <c r="L46" s="85">
        <v>0</v>
      </c>
      <c r="M46" s="90">
        <v>10000</v>
      </c>
      <c r="N46" s="85">
        <v>0</v>
      </c>
      <c r="O46" s="85">
        <v>0</v>
      </c>
      <c r="P46" s="85">
        <v>0</v>
      </c>
      <c r="Q46" s="85" t="s">
        <v>6</v>
      </c>
    </row>
    <row r="47" spans="2:17" x14ac:dyDescent="0.25">
      <c r="B47" s="87"/>
      <c r="C47" s="87" t="s">
        <v>4</v>
      </c>
      <c r="D47" s="87">
        <v>68447</v>
      </c>
      <c r="E47" s="87" t="s">
        <v>70</v>
      </c>
      <c r="F47" s="87" t="s">
        <v>6</v>
      </c>
      <c r="G47" s="87" t="s">
        <v>6</v>
      </c>
      <c r="H47" s="88">
        <v>36678</v>
      </c>
      <c r="I47" s="88">
        <v>36707</v>
      </c>
      <c r="J47" s="87">
        <v>29095</v>
      </c>
      <c r="K47" s="89">
        <v>7500</v>
      </c>
      <c r="L47" s="87">
        <v>0</v>
      </c>
      <c r="M47" s="89">
        <v>7500</v>
      </c>
      <c r="N47" s="87">
        <v>0</v>
      </c>
      <c r="O47" s="87">
        <v>0</v>
      </c>
      <c r="P47" s="87">
        <v>0</v>
      </c>
      <c r="Q47" s="87" t="s">
        <v>6</v>
      </c>
    </row>
    <row r="48" spans="2:17" ht="39.6" x14ac:dyDescent="0.25">
      <c r="B48" s="85"/>
      <c r="C48" s="85" t="s">
        <v>13</v>
      </c>
      <c r="D48" s="85">
        <v>37393</v>
      </c>
      <c r="E48" s="85" t="s">
        <v>14</v>
      </c>
      <c r="F48" s="85" t="s">
        <v>6</v>
      </c>
      <c r="G48" s="85" t="s">
        <v>6</v>
      </c>
      <c r="H48" s="86">
        <v>34274</v>
      </c>
      <c r="I48" s="85" t="s">
        <v>6</v>
      </c>
      <c r="J48" s="85" t="s">
        <v>6</v>
      </c>
      <c r="K48" s="90">
        <v>20000</v>
      </c>
      <c r="L48" s="85">
        <v>0</v>
      </c>
      <c r="M48" s="90">
        <v>20000</v>
      </c>
      <c r="N48" s="85">
        <v>0</v>
      </c>
      <c r="O48" s="85">
        <v>0</v>
      </c>
      <c r="P48" s="85">
        <v>0</v>
      </c>
      <c r="Q48" s="85" t="s">
        <v>6</v>
      </c>
    </row>
    <row r="49" spans="2:17" ht="39.6" x14ac:dyDescent="0.25">
      <c r="B49" s="87"/>
      <c r="C49" s="87" t="s">
        <v>13</v>
      </c>
      <c r="D49" s="87">
        <v>37556</v>
      </c>
      <c r="E49" s="87" t="s">
        <v>15</v>
      </c>
      <c r="F49" s="87" t="s">
        <v>6</v>
      </c>
      <c r="G49" s="87" t="s">
        <v>6</v>
      </c>
      <c r="H49" s="88">
        <v>34274</v>
      </c>
      <c r="I49" s="87" t="s">
        <v>6</v>
      </c>
      <c r="J49" s="87" t="s">
        <v>6</v>
      </c>
      <c r="K49" s="89">
        <v>300000</v>
      </c>
      <c r="L49" s="87">
        <v>0</v>
      </c>
      <c r="M49" s="89">
        <v>300000</v>
      </c>
      <c r="N49" s="87">
        <v>0</v>
      </c>
      <c r="O49" s="87">
        <v>0</v>
      </c>
      <c r="P49" s="87">
        <v>0</v>
      </c>
      <c r="Q49" s="87" t="s">
        <v>6</v>
      </c>
    </row>
    <row r="50" spans="2:17" ht="39.6" x14ac:dyDescent="0.25">
      <c r="B50" s="85"/>
      <c r="C50" s="85" t="s">
        <v>13</v>
      </c>
      <c r="D50" s="85">
        <v>37861</v>
      </c>
      <c r="E50" s="85" t="s">
        <v>16</v>
      </c>
      <c r="F50" s="85" t="s">
        <v>6</v>
      </c>
      <c r="G50" s="85" t="s">
        <v>6</v>
      </c>
      <c r="H50" s="86">
        <v>35582</v>
      </c>
      <c r="I50" s="85" t="s">
        <v>6</v>
      </c>
      <c r="J50" s="85" t="s">
        <v>6</v>
      </c>
      <c r="K50" s="90">
        <v>15000</v>
      </c>
      <c r="L50" s="85">
        <v>0</v>
      </c>
      <c r="M50" s="90">
        <v>15000</v>
      </c>
      <c r="N50" s="85">
        <v>0</v>
      </c>
      <c r="O50" s="85">
        <v>0</v>
      </c>
      <c r="P50" s="85">
        <v>0</v>
      </c>
      <c r="Q50" s="85" t="s">
        <v>6</v>
      </c>
    </row>
    <row r="51" spans="2:17" ht="39.6" x14ac:dyDescent="0.25">
      <c r="B51" s="87"/>
      <c r="C51" s="87" t="s">
        <v>13</v>
      </c>
      <c r="D51" s="87">
        <v>38641</v>
      </c>
      <c r="E51" s="87" t="s">
        <v>17</v>
      </c>
      <c r="F51" s="87" t="s">
        <v>6</v>
      </c>
      <c r="G51" s="87" t="s">
        <v>6</v>
      </c>
      <c r="H51" s="88">
        <v>34274</v>
      </c>
      <c r="I51" s="87" t="s">
        <v>6</v>
      </c>
      <c r="J51" s="87" t="s">
        <v>6</v>
      </c>
      <c r="K51" s="89">
        <v>450000</v>
      </c>
      <c r="L51" s="87">
        <v>0</v>
      </c>
      <c r="M51" s="89">
        <v>450000</v>
      </c>
      <c r="N51" s="87">
        <v>0</v>
      </c>
      <c r="O51" s="87">
        <v>0</v>
      </c>
      <c r="P51" s="87">
        <v>0</v>
      </c>
      <c r="Q51" s="87" t="s">
        <v>6</v>
      </c>
    </row>
    <row r="52" spans="2:17" ht="39.6" x14ac:dyDescent="0.25">
      <c r="B52" s="85"/>
      <c r="C52" s="85" t="s">
        <v>13</v>
      </c>
      <c r="D52" s="85">
        <v>39229</v>
      </c>
      <c r="E52" s="85" t="s">
        <v>5</v>
      </c>
      <c r="F52" s="85" t="s">
        <v>6</v>
      </c>
      <c r="G52" s="85" t="s">
        <v>6</v>
      </c>
      <c r="H52" s="86">
        <v>34274</v>
      </c>
      <c r="I52" s="85" t="s">
        <v>6</v>
      </c>
      <c r="J52" s="85" t="s">
        <v>6</v>
      </c>
      <c r="K52" s="85">
        <v>0</v>
      </c>
      <c r="L52" s="85">
        <v>0</v>
      </c>
      <c r="M52" s="85">
        <v>0</v>
      </c>
      <c r="N52" s="85">
        <v>0</v>
      </c>
      <c r="O52" s="85">
        <v>0</v>
      </c>
      <c r="P52" s="85">
        <v>0</v>
      </c>
      <c r="Q52" s="85" t="s">
        <v>6</v>
      </c>
    </row>
    <row r="53" spans="2:17" ht="39.6" x14ac:dyDescent="0.25">
      <c r="B53" s="87"/>
      <c r="C53" s="87" t="s">
        <v>13</v>
      </c>
      <c r="D53" s="87">
        <v>39266</v>
      </c>
      <c r="E53" s="87" t="s">
        <v>143</v>
      </c>
      <c r="F53" s="87" t="s">
        <v>6</v>
      </c>
      <c r="G53" s="87" t="s">
        <v>6</v>
      </c>
      <c r="H53" s="88">
        <v>34274</v>
      </c>
      <c r="I53" s="87" t="s">
        <v>6</v>
      </c>
      <c r="J53" s="87" t="s">
        <v>6</v>
      </c>
      <c r="K53" s="89">
        <v>300000</v>
      </c>
      <c r="L53" s="87">
        <v>0</v>
      </c>
      <c r="M53" s="89">
        <v>300000</v>
      </c>
      <c r="N53" s="87">
        <v>0</v>
      </c>
      <c r="O53" s="87">
        <v>0</v>
      </c>
      <c r="P53" s="87">
        <v>0</v>
      </c>
      <c r="Q53" s="87" t="s">
        <v>6</v>
      </c>
    </row>
    <row r="54" spans="2:17" ht="39.6" x14ac:dyDescent="0.25">
      <c r="B54" s="85"/>
      <c r="C54" s="85" t="s">
        <v>13</v>
      </c>
      <c r="D54" s="85">
        <v>42789</v>
      </c>
      <c r="E54" s="85" t="s">
        <v>14</v>
      </c>
      <c r="F54" s="85" t="s">
        <v>6</v>
      </c>
      <c r="G54" s="85" t="s">
        <v>6</v>
      </c>
      <c r="H54" s="86">
        <v>36557</v>
      </c>
      <c r="I54" s="85" t="s">
        <v>6</v>
      </c>
      <c r="J54" s="85" t="s">
        <v>6</v>
      </c>
      <c r="K54" s="90">
        <v>30000</v>
      </c>
      <c r="L54" s="85">
        <v>0</v>
      </c>
      <c r="M54" s="90">
        <v>30000</v>
      </c>
      <c r="N54" s="85">
        <v>0</v>
      </c>
      <c r="O54" s="85">
        <v>0</v>
      </c>
      <c r="P54" s="85">
        <v>0</v>
      </c>
      <c r="Q54" s="85" t="s">
        <v>6</v>
      </c>
    </row>
    <row r="55" spans="2:17" ht="39.6" x14ac:dyDescent="0.25">
      <c r="B55" s="87"/>
      <c r="C55" s="87" t="s">
        <v>13</v>
      </c>
      <c r="D55" s="87">
        <v>50250</v>
      </c>
      <c r="E55" s="87" t="s">
        <v>14</v>
      </c>
      <c r="F55" s="87" t="s">
        <v>6</v>
      </c>
      <c r="G55" s="87" t="s">
        <v>6</v>
      </c>
      <c r="H55" s="88">
        <v>36557</v>
      </c>
      <c r="I55" s="87" t="s">
        <v>6</v>
      </c>
      <c r="J55" s="87" t="s">
        <v>6</v>
      </c>
      <c r="K55" s="89">
        <v>20000</v>
      </c>
      <c r="L55" s="87">
        <v>0</v>
      </c>
      <c r="M55" s="89">
        <v>20000</v>
      </c>
      <c r="N55" s="87">
        <v>0</v>
      </c>
      <c r="O55" s="87">
        <v>0</v>
      </c>
      <c r="P55" s="87">
        <v>0</v>
      </c>
      <c r="Q55" s="87" t="s">
        <v>6</v>
      </c>
    </row>
    <row r="56" spans="2:17" ht="39.6" x14ac:dyDescent="0.25">
      <c r="B56" s="85"/>
      <c r="C56" s="85" t="s">
        <v>13</v>
      </c>
      <c r="D56" s="85">
        <v>58654</v>
      </c>
      <c r="E56" s="85" t="s">
        <v>16</v>
      </c>
      <c r="F56" s="85" t="s">
        <v>6</v>
      </c>
      <c r="G56" s="85" t="s">
        <v>6</v>
      </c>
      <c r="H56" s="86">
        <v>36557</v>
      </c>
      <c r="I56" s="85" t="s">
        <v>6</v>
      </c>
      <c r="J56" s="85" t="s">
        <v>6</v>
      </c>
      <c r="K56" s="90">
        <v>15000</v>
      </c>
      <c r="L56" s="85">
        <v>0</v>
      </c>
      <c r="M56" s="90">
        <v>15000</v>
      </c>
      <c r="N56" s="85">
        <v>0</v>
      </c>
      <c r="O56" s="85">
        <v>0</v>
      </c>
      <c r="P56" s="85">
        <v>0</v>
      </c>
      <c r="Q56" s="85" t="s">
        <v>6</v>
      </c>
    </row>
    <row r="57" spans="2:17" ht="39.6" x14ac:dyDescent="0.25">
      <c r="B57" s="87"/>
      <c r="C57" s="87" t="s">
        <v>13</v>
      </c>
      <c r="D57" s="87">
        <v>62408</v>
      </c>
      <c r="E57" s="87" t="s">
        <v>14</v>
      </c>
      <c r="F57" s="87" t="s">
        <v>6</v>
      </c>
      <c r="G57" s="87" t="s">
        <v>6</v>
      </c>
      <c r="H57" s="88">
        <v>36557</v>
      </c>
      <c r="I57" s="87" t="s">
        <v>6</v>
      </c>
      <c r="J57" s="87" t="s">
        <v>6</v>
      </c>
      <c r="K57" s="89">
        <v>40000</v>
      </c>
      <c r="L57" s="87">
        <v>0</v>
      </c>
      <c r="M57" s="89">
        <v>40000</v>
      </c>
      <c r="N57" s="87">
        <v>0</v>
      </c>
      <c r="O57" s="87">
        <v>0</v>
      </c>
      <c r="P57" s="87">
        <v>0</v>
      </c>
      <c r="Q57" s="87" t="s">
        <v>6</v>
      </c>
    </row>
    <row r="58" spans="2:17" ht="39.6" x14ac:dyDescent="0.25">
      <c r="B58" s="85"/>
      <c r="C58" s="85" t="s">
        <v>13</v>
      </c>
      <c r="D58" s="85">
        <v>63115</v>
      </c>
      <c r="E58" s="85" t="s">
        <v>16</v>
      </c>
      <c r="F58" s="85" t="s">
        <v>6</v>
      </c>
      <c r="G58" s="85" t="s">
        <v>6</v>
      </c>
      <c r="H58" s="86">
        <v>36557</v>
      </c>
      <c r="I58" s="86">
        <v>37346</v>
      </c>
      <c r="J58" s="85">
        <v>24770</v>
      </c>
      <c r="K58" s="90">
        <v>30000</v>
      </c>
      <c r="L58" s="85">
        <v>0</v>
      </c>
      <c r="M58" s="90">
        <v>30000</v>
      </c>
      <c r="N58" s="85">
        <v>0</v>
      </c>
      <c r="O58" s="85">
        <v>0</v>
      </c>
      <c r="P58" s="85">
        <v>0</v>
      </c>
      <c r="Q58" s="85" t="s">
        <v>6</v>
      </c>
    </row>
    <row r="59" spans="2:17" ht="39.6" x14ac:dyDescent="0.25">
      <c r="B59" s="87"/>
      <c r="C59" s="87" t="s">
        <v>13</v>
      </c>
      <c r="D59" s="87">
        <v>63922</v>
      </c>
      <c r="E59" s="87" t="s">
        <v>14</v>
      </c>
      <c r="F59" s="87" t="s">
        <v>6</v>
      </c>
      <c r="G59" s="87" t="s">
        <v>6</v>
      </c>
      <c r="H59" s="88">
        <v>36557</v>
      </c>
      <c r="I59" s="88">
        <v>38291</v>
      </c>
      <c r="J59" s="87">
        <v>25471</v>
      </c>
      <c r="K59" s="89">
        <v>25654</v>
      </c>
      <c r="L59" s="87">
        <v>0</v>
      </c>
      <c r="M59" s="89">
        <v>25654</v>
      </c>
      <c r="N59" s="87">
        <v>0</v>
      </c>
      <c r="O59" s="87">
        <v>0</v>
      </c>
      <c r="P59" s="87">
        <v>0</v>
      </c>
      <c r="Q59" s="87" t="s">
        <v>6</v>
      </c>
    </row>
    <row r="60" spans="2:17" ht="39.6" x14ac:dyDescent="0.25">
      <c r="B60" s="85"/>
      <c r="C60" s="85" t="s">
        <v>13</v>
      </c>
      <c r="D60" s="85">
        <v>64033</v>
      </c>
      <c r="E60" s="85" t="s">
        <v>16</v>
      </c>
      <c r="F60" s="85" t="s">
        <v>6</v>
      </c>
      <c r="G60" s="85" t="s">
        <v>6</v>
      </c>
      <c r="H60" s="86">
        <v>36557</v>
      </c>
      <c r="I60" s="86">
        <v>36707</v>
      </c>
      <c r="J60" s="85">
        <v>25713</v>
      </c>
      <c r="K60" s="85">
        <v>1</v>
      </c>
      <c r="L60" s="85">
        <v>0</v>
      </c>
      <c r="M60" s="85">
        <v>1</v>
      </c>
      <c r="N60" s="85">
        <v>0</v>
      </c>
      <c r="O60" s="85">
        <v>0</v>
      </c>
      <c r="P60" s="85">
        <v>0</v>
      </c>
      <c r="Q60" s="85" t="s">
        <v>6</v>
      </c>
    </row>
    <row r="61" spans="2:17" ht="39.6" x14ac:dyDescent="0.25">
      <c r="B61" s="87"/>
      <c r="C61" s="87" t="s">
        <v>13</v>
      </c>
      <c r="D61" s="87">
        <v>64035</v>
      </c>
      <c r="E61" s="87" t="s">
        <v>16</v>
      </c>
      <c r="F61" s="87" t="s">
        <v>6</v>
      </c>
      <c r="G61" s="87" t="s">
        <v>6</v>
      </c>
      <c r="H61" s="88">
        <v>36557</v>
      </c>
      <c r="I61" s="88">
        <v>36707</v>
      </c>
      <c r="J61" s="87">
        <v>25700</v>
      </c>
      <c r="K61" s="87">
        <v>931</v>
      </c>
      <c r="L61" s="87">
        <v>0</v>
      </c>
      <c r="M61" s="87">
        <v>931</v>
      </c>
      <c r="N61" s="87">
        <v>0</v>
      </c>
      <c r="O61" s="87">
        <v>0</v>
      </c>
      <c r="P61" s="87">
        <v>0</v>
      </c>
      <c r="Q61" s="87" t="s">
        <v>6</v>
      </c>
    </row>
    <row r="62" spans="2:17" ht="39.6" x14ac:dyDescent="0.25">
      <c r="B62" s="85"/>
      <c r="C62" s="85" t="s">
        <v>13</v>
      </c>
      <c r="D62" s="85">
        <v>64332</v>
      </c>
      <c r="E62" s="85" t="s">
        <v>16</v>
      </c>
      <c r="F62" s="85" t="s">
        <v>6</v>
      </c>
      <c r="G62" s="85" t="s">
        <v>6</v>
      </c>
      <c r="H62" s="86">
        <v>36557</v>
      </c>
      <c r="I62" s="86">
        <v>36738</v>
      </c>
      <c r="J62" s="85">
        <v>25966</v>
      </c>
      <c r="K62" s="85">
        <v>12</v>
      </c>
      <c r="L62" s="85">
        <v>0</v>
      </c>
      <c r="M62" s="85">
        <v>12</v>
      </c>
      <c r="N62" s="85">
        <v>0</v>
      </c>
      <c r="O62" s="85">
        <v>0</v>
      </c>
      <c r="P62" s="85">
        <v>0</v>
      </c>
      <c r="Q62" s="85" t="s">
        <v>6</v>
      </c>
    </row>
    <row r="63" spans="2:17" ht="39.6" x14ac:dyDescent="0.25">
      <c r="B63" s="87"/>
      <c r="C63" s="87" t="s">
        <v>13</v>
      </c>
      <c r="D63" s="87">
        <v>64334</v>
      </c>
      <c r="E63" s="87" t="s">
        <v>16</v>
      </c>
      <c r="F63" s="87" t="s">
        <v>6</v>
      </c>
      <c r="G63" s="87" t="s">
        <v>6</v>
      </c>
      <c r="H63" s="88">
        <v>36557</v>
      </c>
      <c r="I63" s="88">
        <v>36738</v>
      </c>
      <c r="J63" s="87">
        <v>25956</v>
      </c>
      <c r="K63" s="87">
        <v>52</v>
      </c>
      <c r="L63" s="87">
        <v>0</v>
      </c>
      <c r="M63" s="87">
        <v>52</v>
      </c>
      <c r="N63" s="87">
        <v>0</v>
      </c>
      <c r="O63" s="87">
        <v>0</v>
      </c>
      <c r="P63" s="87">
        <v>0</v>
      </c>
      <c r="Q63" s="87" t="s">
        <v>6</v>
      </c>
    </row>
    <row r="64" spans="2:17" ht="39.6" x14ac:dyDescent="0.25">
      <c r="B64" s="85"/>
      <c r="C64" s="85" t="s">
        <v>13</v>
      </c>
      <c r="D64" s="85">
        <v>64446</v>
      </c>
      <c r="E64" s="85" t="s">
        <v>16</v>
      </c>
      <c r="F64" s="85" t="s">
        <v>6</v>
      </c>
      <c r="G64" s="85" t="s">
        <v>6</v>
      </c>
      <c r="H64" s="86">
        <v>36557</v>
      </c>
      <c r="I64" s="86">
        <v>36738</v>
      </c>
      <c r="J64" s="85">
        <v>26081</v>
      </c>
      <c r="K64" s="85">
        <v>142</v>
      </c>
      <c r="L64" s="85">
        <v>0</v>
      </c>
      <c r="M64" s="85">
        <v>142</v>
      </c>
      <c r="N64" s="85">
        <v>0</v>
      </c>
      <c r="O64" s="85">
        <v>0</v>
      </c>
      <c r="P64" s="85">
        <v>0</v>
      </c>
      <c r="Q64" s="85" t="s">
        <v>6</v>
      </c>
    </row>
    <row r="65" spans="2:17" ht="39.6" x14ac:dyDescent="0.25">
      <c r="B65" s="87"/>
      <c r="C65" s="87" t="s">
        <v>13</v>
      </c>
      <c r="D65" s="87">
        <v>64502</v>
      </c>
      <c r="E65" s="87" t="s">
        <v>14</v>
      </c>
      <c r="F65" s="87" t="s">
        <v>6</v>
      </c>
      <c r="G65" s="87" t="s">
        <v>6</v>
      </c>
      <c r="H65" s="88">
        <v>36557</v>
      </c>
      <c r="I65" s="87" t="s">
        <v>6</v>
      </c>
      <c r="J65" s="87" t="s">
        <v>6</v>
      </c>
      <c r="K65" s="89">
        <v>29000</v>
      </c>
      <c r="L65" s="87">
        <v>0</v>
      </c>
      <c r="M65" s="89">
        <v>29000</v>
      </c>
      <c r="N65" s="87">
        <v>0</v>
      </c>
      <c r="O65" s="87">
        <v>0</v>
      </c>
      <c r="P65" s="87">
        <v>0</v>
      </c>
      <c r="Q65" s="87"/>
    </row>
    <row r="66" spans="2:17" ht="39.6" x14ac:dyDescent="0.25">
      <c r="B66" s="85"/>
      <c r="C66" s="85" t="s">
        <v>13</v>
      </c>
      <c r="D66" s="85">
        <v>64652</v>
      </c>
      <c r="E66" s="85" t="s">
        <v>16</v>
      </c>
      <c r="F66" s="85" t="s">
        <v>6</v>
      </c>
      <c r="G66" s="85" t="s">
        <v>6</v>
      </c>
      <c r="H66" s="86">
        <v>36557</v>
      </c>
      <c r="I66" s="86">
        <v>36769</v>
      </c>
      <c r="J66" s="85">
        <v>26151</v>
      </c>
      <c r="K66" s="85">
        <v>65</v>
      </c>
      <c r="L66" s="85">
        <v>0</v>
      </c>
      <c r="M66" s="85">
        <v>65</v>
      </c>
      <c r="N66" s="85">
        <v>0</v>
      </c>
      <c r="O66" s="85">
        <v>0</v>
      </c>
      <c r="P66" s="85">
        <v>0</v>
      </c>
      <c r="Q66" s="85" t="s">
        <v>6</v>
      </c>
    </row>
    <row r="67" spans="2:17" ht="39.6" x14ac:dyDescent="0.25">
      <c r="B67" s="87"/>
      <c r="C67" s="87" t="s">
        <v>13</v>
      </c>
      <c r="D67" s="87">
        <v>64863</v>
      </c>
      <c r="E67" s="87" t="s">
        <v>16</v>
      </c>
      <c r="F67" s="87" t="s">
        <v>6</v>
      </c>
      <c r="G67" s="87" t="s">
        <v>6</v>
      </c>
      <c r="H67" s="88">
        <v>36557</v>
      </c>
      <c r="I67" s="88">
        <v>36799</v>
      </c>
      <c r="J67" s="87">
        <v>26504</v>
      </c>
      <c r="K67" s="87">
        <v>13</v>
      </c>
      <c r="L67" s="87">
        <v>0</v>
      </c>
      <c r="M67" s="87">
        <v>13</v>
      </c>
      <c r="N67" s="87">
        <v>0</v>
      </c>
      <c r="O67" s="87">
        <v>0</v>
      </c>
      <c r="P67" s="87">
        <v>0</v>
      </c>
      <c r="Q67" s="87" t="s">
        <v>6</v>
      </c>
    </row>
    <row r="68" spans="2:17" ht="39.6" x14ac:dyDescent="0.25">
      <c r="B68" s="85"/>
      <c r="C68" s="85" t="s">
        <v>13</v>
      </c>
      <c r="D68" s="85">
        <v>64937</v>
      </c>
      <c r="E68" s="85" t="s">
        <v>14</v>
      </c>
      <c r="F68" s="85" t="s">
        <v>6</v>
      </c>
      <c r="G68" s="85" t="s">
        <v>6</v>
      </c>
      <c r="H68" s="86">
        <v>36434</v>
      </c>
      <c r="I68" s="85" t="s">
        <v>6</v>
      </c>
      <c r="J68" s="85" t="s">
        <v>6</v>
      </c>
      <c r="K68" s="90">
        <v>10000</v>
      </c>
      <c r="L68" s="85">
        <v>0</v>
      </c>
      <c r="M68" s="90">
        <v>10000</v>
      </c>
      <c r="N68" s="85">
        <v>0</v>
      </c>
      <c r="O68" s="85">
        <v>0</v>
      </c>
      <c r="P68" s="85">
        <v>0</v>
      </c>
      <c r="Q68" s="85" t="s">
        <v>6</v>
      </c>
    </row>
    <row r="69" spans="2:17" ht="39.6" x14ac:dyDescent="0.25">
      <c r="B69" s="87"/>
      <c r="C69" s="87" t="s">
        <v>13</v>
      </c>
      <c r="D69" s="87">
        <v>65027</v>
      </c>
      <c r="E69" s="87" t="s">
        <v>16</v>
      </c>
      <c r="F69" s="87" t="s">
        <v>6</v>
      </c>
      <c r="G69" s="87" t="s">
        <v>6</v>
      </c>
      <c r="H69" s="88">
        <v>36557</v>
      </c>
      <c r="I69" s="88">
        <v>36830</v>
      </c>
      <c r="J69" s="87">
        <v>26727</v>
      </c>
      <c r="K69" s="87">
        <v>131</v>
      </c>
      <c r="L69" s="87">
        <v>0</v>
      </c>
      <c r="M69" s="87">
        <v>131</v>
      </c>
      <c r="N69" s="87">
        <v>0</v>
      </c>
      <c r="O69" s="87">
        <v>0</v>
      </c>
      <c r="P69" s="87">
        <v>0</v>
      </c>
      <c r="Q69" s="87" t="s">
        <v>6</v>
      </c>
    </row>
    <row r="70" spans="2:17" ht="39.6" x14ac:dyDescent="0.25">
      <c r="B70" s="85"/>
      <c r="C70" s="85" t="s">
        <v>13</v>
      </c>
      <c r="D70" s="85">
        <v>65072</v>
      </c>
      <c r="E70" s="85" t="s">
        <v>16</v>
      </c>
      <c r="F70" s="85" t="s">
        <v>6</v>
      </c>
      <c r="G70" s="85" t="s">
        <v>6</v>
      </c>
      <c r="H70" s="86">
        <v>36617</v>
      </c>
      <c r="I70" s="86">
        <v>36830</v>
      </c>
      <c r="J70" s="85">
        <v>26785</v>
      </c>
      <c r="K70" s="90">
        <v>7391</v>
      </c>
      <c r="L70" s="85">
        <v>0</v>
      </c>
      <c r="M70" s="90">
        <v>6987</v>
      </c>
      <c r="N70" s="85">
        <v>404</v>
      </c>
      <c r="O70" s="85">
        <v>0</v>
      </c>
      <c r="P70" s="85">
        <v>0</v>
      </c>
      <c r="Q70" s="85" t="s">
        <v>6</v>
      </c>
    </row>
    <row r="71" spans="2:17" ht="39.6" x14ac:dyDescent="0.25">
      <c r="B71" s="87"/>
      <c r="C71" s="87" t="s">
        <v>13</v>
      </c>
      <c r="D71" s="87">
        <v>65557</v>
      </c>
      <c r="E71" s="87" t="s">
        <v>16</v>
      </c>
      <c r="F71" s="87" t="s">
        <v>6</v>
      </c>
      <c r="G71" s="87" t="s">
        <v>6</v>
      </c>
      <c r="H71" s="88">
        <v>36557</v>
      </c>
      <c r="I71" s="88">
        <v>36860</v>
      </c>
      <c r="J71" s="87">
        <v>27128</v>
      </c>
      <c r="K71" s="87">
        <v>3</v>
      </c>
      <c r="L71" s="87">
        <v>0</v>
      </c>
      <c r="M71" s="87">
        <v>3</v>
      </c>
      <c r="N71" s="87">
        <v>0</v>
      </c>
      <c r="O71" s="87">
        <v>0</v>
      </c>
      <c r="P71" s="87">
        <v>0</v>
      </c>
      <c r="Q71" s="87" t="s">
        <v>6</v>
      </c>
    </row>
    <row r="72" spans="2:17" ht="39.6" x14ac:dyDescent="0.25">
      <c r="B72" s="85"/>
      <c r="C72" s="85" t="s">
        <v>13</v>
      </c>
      <c r="D72" s="85">
        <v>66283</v>
      </c>
      <c r="E72" s="85" t="s">
        <v>16</v>
      </c>
      <c r="F72" s="85" t="s">
        <v>6</v>
      </c>
      <c r="G72" s="85" t="s">
        <v>6</v>
      </c>
      <c r="H72" s="86">
        <v>36557</v>
      </c>
      <c r="I72" s="86">
        <v>36922</v>
      </c>
      <c r="J72" s="85">
        <v>27775</v>
      </c>
      <c r="K72" s="85">
        <v>5</v>
      </c>
      <c r="L72" s="85">
        <v>0</v>
      </c>
      <c r="M72" s="85">
        <v>5</v>
      </c>
      <c r="N72" s="85">
        <v>0</v>
      </c>
      <c r="O72" s="85">
        <v>0</v>
      </c>
      <c r="P72" s="85">
        <v>0</v>
      </c>
      <c r="Q72" s="85" t="s">
        <v>6</v>
      </c>
    </row>
    <row r="73" spans="2:17" ht="39.6" x14ac:dyDescent="0.25">
      <c r="B73" s="87"/>
      <c r="C73" s="87" t="s">
        <v>13</v>
      </c>
      <c r="D73" s="87">
        <v>66941</v>
      </c>
      <c r="E73" s="87" t="s">
        <v>16</v>
      </c>
      <c r="F73" s="87" t="s">
        <v>6</v>
      </c>
      <c r="G73" s="87" t="s">
        <v>6</v>
      </c>
      <c r="H73" s="88">
        <v>36617</v>
      </c>
      <c r="I73" s="88">
        <v>36981</v>
      </c>
      <c r="J73" s="87">
        <v>28330</v>
      </c>
      <c r="K73" s="87">
        <v>53</v>
      </c>
      <c r="L73" s="87">
        <v>0</v>
      </c>
      <c r="M73" s="87">
        <v>53</v>
      </c>
      <c r="N73" s="87">
        <v>0</v>
      </c>
      <c r="O73" s="87">
        <v>0</v>
      </c>
      <c r="P73" s="87">
        <v>0</v>
      </c>
      <c r="Q73" s="87" t="s">
        <v>6</v>
      </c>
    </row>
    <row r="74" spans="2:17" ht="39.6" x14ac:dyDescent="0.25">
      <c r="B74" s="85"/>
      <c r="C74" s="85" t="s">
        <v>13</v>
      </c>
      <c r="D74" s="85">
        <v>66973</v>
      </c>
      <c r="E74" s="85" t="s">
        <v>14</v>
      </c>
      <c r="F74" s="85" t="s">
        <v>6</v>
      </c>
      <c r="G74" s="85" t="s">
        <v>6</v>
      </c>
      <c r="H74" s="86">
        <v>36678</v>
      </c>
      <c r="I74" s="86">
        <v>36981</v>
      </c>
      <c r="J74" s="85" t="s">
        <v>6</v>
      </c>
      <c r="K74" s="90">
        <v>10000</v>
      </c>
      <c r="L74" s="85">
        <v>0</v>
      </c>
      <c r="M74" s="90">
        <v>10000</v>
      </c>
      <c r="N74" s="85">
        <v>0</v>
      </c>
      <c r="O74" s="85">
        <v>0</v>
      </c>
      <c r="P74" s="85">
        <v>0</v>
      </c>
      <c r="Q74" s="85" t="s">
        <v>6</v>
      </c>
    </row>
    <row r="75" spans="2:17" ht="39.6" x14ac:dyDescent="0.25">
      <c r="B75" s="87"/>
      <c r="C75" s="87" t="s">
        <v>13</v>
      </c>
      <c r="D75" s="87">
        <v>68281</v>
      </c>
      <c r="E75" s="87" t="s">
        <v>16</v>
      </c>
      <c r="F75" s="87" t="s">
        <v>6</v>
      </c>
      <c r="G75" s="87" t="s">
        <v>6</v>
      </c>
      <c r="H75" s="88">
        <v>36647</v>
      </c>
      <c r="I75" s="88">
        <v>37011</v>
      </c>
      <c r="J75" s="87">
        <v>28632</v>
      </c>
      <c r="K75" s="87">
        <v>21</v>
      </c>
      <c r="L75" s="87">
        <v>0</v>
      </c>
      <c r="M75" s="87">
        <v>21</v>
      </c>
      <c r="N75" s="87">
        <v>0</v>
      </c>
      <c r="O75" s="87">
        <v>0</v>
      </c>
      <c r="P75" s="87">
        <v>0</v>
      </c>
      <c r="Q75" s="87"/>
    </row>
    <row r="76" spans="2:17" ht="39.6" x14ac:dyDescent="0.25">
      <c r="B76" s="85"/>
      <c r="C76" s="85" t="s">
        <v>13</v>
      </c>
      <c r="D76" s="85">
        <v>68309</v>
      </c>
      <c r="E76" s="85" t="s">
        <v>16</v>
      </c>
      <c r="F76" s="85" t="s">
        <v>6</v>
      </c>
      <c r="G76" s="85" t="s">
        <v>6</v>
      </c>
      <c r="H76" s="86">
        <v>36656</v>
      </c>
      <c r="I76" s="86">
        <v>36950</v>
      </c>
      <c r="J76" s="85">
        <v>28865</v>
      </c>
      <c r="K76" s="85">
        <v>9</v>
      </c>
      <c r="L76" s="85">
        <v>0</v>
      </c>
      <c r="M76" s="85">
        <v>9</v>
      </c>
      <c r="N76" s="85">
        <v>0</v>
      </c>
      <c r="O76" s="85">
        <v>0</v>
      </c>
      <c r="P76" s="85">
        <v>0</v>
      </c>
      <c r="Q76" s="85" t="s">
        <v>6</v>
      </c>
    </row>
    <row r="77" spans="2:17" ht="39.6" x14ac:dyDescent="0.25">
      <c r="B77" s="87"/>
      <c r="C77" s="87" t="s">
        <v>13</v>
      </c>
      <c r="D77" s="87">
        <v>68360</v>
      </c>
      <c r="E77" s="87" t="s">
        <v>16</v>
      </c>
      <c r="F77" s="87" t="s">
        <v>6</v>
      </c>
      <c r="G77" s="87" t="s">
        <v>6</v>
      </c>
      <c r="H77" s="88">
        <v>36678</v>
      </c>
      <c r="I77" s="88">
        <v>37042</v>
      </c>
      <c r="J77" s="87">
        <v>28934</v>
      </c>
      <c r="K77" s="87">
        <v>291</v>
      </c>
      <c r="L77" s="87">
        <v>0</v>
      </c>
      <c r="M77" s="87">
        <v>291</v>
      </c>
      <c r="N77" s="87">
        <v>0</v>
      </c>
      <c r="O77" s="87">
        <v>0</v>
      </c>
      <c r="P77" s="87">
        <v>0</v>
      </c>
      <c r="Q77" s="87" t="s">
        <v>6</v>
      </c>
    </row>
    <row r="78" spans="2:17" ht="39.6" x14ac:dyDescent="0.25">
      <c r="B78" s="85"/>
      <c r="C78" s="85" t="s">
        <v>13</v>
      </c>
      <c r="D78" s="85">
        <v>68385</v>
      </c>
      <c r="E78" s="85" t="s">
        <v>16</v>
      </c>
      <c r="F78" s="85" t="s">
        <v>6</v>
      </c>
      <c r="G78" s="85" t="s">
        <v>6</v>
      </c>
      <c r="H78" s="86">
        <v>36678</v>
      </c>
      <c r="I78" s="86">
        <v>37042</v>
      </c>
      <c r="J78" s="85">
        <v>28963</v>
      </c>
      <c r="K78" s="85">
        <v>223</v>
      </c>
      <c r="L78" s="85">
        <v>0</v>
      </c>
      <c r="M78" s="85">
        <v>223</v>
      </c>
      <c r="N78" s="85">
        <v>0</v>
      </c>
      <c r="O78" s="85">
        <v>0</v>
      </c>
      <c r="P78" s="85">
        <v>0</v>
      </c>
      <c r="Q78" s="85" t="s">
        <v>6</v>
      </c>
    </row>
  </sheetData>
  <pageMargins left="0.75" right="0.75" top="1" bottom="1" header="0.5" footer="0.5"/>
  <pageSetup scale="72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3rd Party Deals</vt:lpstr>
      <vt:lpstr>Spot wENA</vt:lpstr>
      <vt:lpstr>CGAS</vt:lpstr>
      <vt:lpstr>Pricing</vt:lpstr>
      <vt:lpstr>NEW Retail East</vt:lpstr>
      <vt:lpstr>New Retail Mrkt</vt:lpstr>
      <vt:lpstr>Sheet1</vt:lpstr>
      <vt:lpstr>'NEW Retail East'!Print_Area</vt:lpstr>
      <vt:lpstr>'New Retail Mrkt'!Print_Area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Havlíček Jan</cp:lastModifiedBy>
  <cp:lastPrinted>2000-12-07T17:26:11Z</cp:lastPrinted>
  <dcterms:created xsi:type="dcterms:W3CDTF">1998-07-21T12:15:25Z</dcterms:created>
  <dcterms:modified xsi:type="dcterms:W3CDTF">2023-09-10T12:07:53Z</dcterms:modified>
</cp:coreProperties>
</file>