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908" yWindow="0" windowWidth="14796" windowHeight="8856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F6" i="22"/>
  <c r="I6" i="22"/>
  <c r="K6" i="22"/>
  <c r="N6" i="22"/>
  <c r="O6" i="22"/>
  <c r="P6" i="22"/>
  <c r="R6" i="22"/>
  <c r="T6" i="22"/>
  <c r="V6" i="22"/>
  <c r="Y6" i="22"/>
  <c r="AG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G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G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G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G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G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G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G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G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G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G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G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G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G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G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G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G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G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G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G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G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G27" i="22"/>
  <c r="A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G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G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G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34" i="22"/>
  <c r="B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35" i="22"/>
  <c r="B35" i="22"/>
  <c r="C35" i="22"/>
  <c r="E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36" i="22"/>
  <c r="B36" i="22"/>
  <c r="C36" i="22"/>
  <c r="E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S61" i="19"/>
  <c r="T61" i="19"/>
  <c r="J62" i="19"/>
  <c r="P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Desk.  I created a purchase deal (#547910) at IF + .0125, and the volumes will be included in the citygate deal.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<sst xmlns="http://schemas.openxmlformats.org/spreadsheetml/2006/main" count="1621" uniqueCount="309">
  <si>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</si>
  <si>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</si>
  <si>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</si>
  <si>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</si>
  <si>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</si>
  <si>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</si>
  <si>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</si>
  <si>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</si>
  <si>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</si>
  <si>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</si>
  <si>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</si>
  <si>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</si>
  <si>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</si>
  <si>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</si>
  <si>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</si>
  <si>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</si>
  <si>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</si>
  <si>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</si>
  <si>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</si>
  <si>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</si>
  <si>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</si>
  <si>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</si>
  <si>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</si>
  <si>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</si>
  <si>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</si>
  <si>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</si>
  <si>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</si>
  <si>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</si>
  <si>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</si>
  <si>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</si>
  <si>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</si>
  <si>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</si>
  <si>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</si>
  <si>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</si>
  <si>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</si>
  <si>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</si>
  <si>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</si>
  <si>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</si>
  <si>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</si>
  <si>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</si>
  <si>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</si>
  <si>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</si>
  <si>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</si>
  <si>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</si>
  <si>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</si>
  <si>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</si>
  <si>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</si>
  <si>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</si>
  <si>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</si>
  <si>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</si>
  <si>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</si>
  <si>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</si>
  <si>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</si>
  <si>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</si>
  <si>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</si>
  <si>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</si>
  <si>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</si>
  <si>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</si>
  <si>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</si>
  <si>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</si>
  <si>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</si>
  <si>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</si>
  <si>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</si>
  <si>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</si>
  <si>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</si>
  <si>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</si>
  <si>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</si>
  <si>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</si>
  <si>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</si>
  <si>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</si>
  <si>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</si>
  <si>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</si>
  <si>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</si>
  <si>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</si>
  <si>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</si>
  <si>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</si>
  <si>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</si>
  <si>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</si>
  <si>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</si>
  <si>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</si>
  <si>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</si>
  <si>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</si>
  <si>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</si>
  <si>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</si>
  <si>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</si>
  <si>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</si>
  <si>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</si>
  <si>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</si>
  <si>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</si>
  <si>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</si>
  <si>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</si>
  <si>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</si>
  <si>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</si>
  <si>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</si>
  <si>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</si>
  <si>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</si>
  <si>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</si>
  <si>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</si>
  <si>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</si>
  <si>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</si>
  <si>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</si>
  <si>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</si>
  <si>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</si>
  <si>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</si>
  <si>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</si>
  <si>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</si>
  <si>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</si>
  <si>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</si>
  <si>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</si>
  <si>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</si>
  <si>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</si>
  <si>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</si>
  <si>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</si>
  <si>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</si>
  <si>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</si>
  <si>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</si>
  <si>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</si>
  <si>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</si>
  <si>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</si>
  <si>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</si>
  <si>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</si>
  <si>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</si>
  <si>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</si>
  <si>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</si>
  <si>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</si>
  <si>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</si>
  <si>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</si>
  <si>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</si>
  <si>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</si>
  <si>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</si>
  <si>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</si>
  <si>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</si>
  <si>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</si>
  <si>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</si>
  <si>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</si>
  <si>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</si>
  <si>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</si>
  <si>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</si>
  <si>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</si>
  <si>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</si>
  <si>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</si>
  <si>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</si>
  <si>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</si>
  <si>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</si>
  <si>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</si>
  <si>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</si>
  <si>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</si>
  <si>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</si>
  <si>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</si>
  <si>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</si>
  <si>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</si>
  <si>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</si>
  <si>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</si>
  <si>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</si>
  <si>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</si>
  <si>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</si>
  <si>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</si>
  <si>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</si>
  <si>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</si>
  <si>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</si>
  <si>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</si>
  <si>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</si>
  <si>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</si>
  <si>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</si>
  <si>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</si>
  <si>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</si>
  <si>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</si>
  <si>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</si>
  <si>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</si>
  <si>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</si>
  <si>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</si>
  <si>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</si>
  <si>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</si>
  <si>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</si>
  <si>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</si>
  <si>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</si>
  <si>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</si>
  <si>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</si>
  <si>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</si>
  <si>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</si>
  <si>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</si>
  <si>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</si>
  <si>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</si>
  <si>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</si>
  <si>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</si>
  <si>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</si>
  <si>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</si>
  <si>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</si>
  <si>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</si>
  <si>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</si>
  <si>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</si>
  <si>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</si>
  <si>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</si>
  <si>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</si>
  <si>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</si>
  <si>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</si>
  <si>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</si>
  <si>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</si>
  <si>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</si>
  <si>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</si>
  <si>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</si>
  <si>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</si>
  <si>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</si>
  <si>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</si>
  <si>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</si>
  <si>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</si>
  <si>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</si>
  <si>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</si>
  <si>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</si>
  <si>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</si>
  <si>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</si>
  <si>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</si>
  <si>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</si>
  <si>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</si>
  <si>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</si>
  <si>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</si>
  <si>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</si>
  <si>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</si>
  <si>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</si>
  <si>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</si>
  <si>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</si>
  <si>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</si>
  <si>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</si>
  <si>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</si>
  <si>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</si>
  <si>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</si>
  <si>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</si>
  <si>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</si>
  <si>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</si>
  <si>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</si>
  <si>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</si>
  <si>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</si>
  <si>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</si>
  <si>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</si>
  <si>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</si>
  <si>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</si>
  <si>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</si>
  <si>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</si>
  <si>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</si>
  <si>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</si>
  <si>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</si>
  <si>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</si>
  <si>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</si>
  <si>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</si>
  <si>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</si>
  <si>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</si>
  <si>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</si>
  <si>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</si>
  <si>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</si>
  <si>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</si>
  <si>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</si>
  <si>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</si>
  <si>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</si>
  <si>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</si>
  <si>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</si>
  <si>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</si>
  <si>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</si>
  <si>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</si>
  <si>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</si>
  <si>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</si>
  <si>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</si>
  <si>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</si>
  <si>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</si>
  <si>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</si>
  <si>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</si>
  <si>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</si>
  <si>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</si>
  <si>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</si>
  <si>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</si>
  <si>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</si>
  <si>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</si>
  <si>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</si>
  <si>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</si>
  <si>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</si>
  <si>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</si>
  <si>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</si>
  <si>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</si>
  <si>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</si>
  <si>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</si>
  <si>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</si>
  <si>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</si>
  <si>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</si>
  <si>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</si>
  <si>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</si>
  <si>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</si>
  <si>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</si>
  <si>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</si>
  <si>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</si>
  <si>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</si>
  <si>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</si>
  <si>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</si>
  <si>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</si>
  <si>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</si>
  <si>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</si>
  <si>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</si>
  <si>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</si>
  <si>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</si>
  <si>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</si>
  <si>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</si>
  <si>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</si>
  <si>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</si>
  <si>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</si>
  <si>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</si>
  <si>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</si>
  <si>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</si>
  <si>
    <t>Pool</t>
  </si>
  <si>
    <t>Per Jeff's Sheet</t>
  </si>
  <si>
    <t>Overtake / (undertakes)</t>
  </si>
  <si>
    <t>-15956????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</si>
</sst>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77" fontId="0" fillId="4" borderId="0" xfId="1" applyNumberFormat="1" applyFont="1" applyFill="1" applyAlignment="1">
      <alignment horizontal="center"/>
    </xf>
    <xf numFmtId="177" fontId="0" fillId="5" borderId="0" xfId="1" quotePrefix="1" applyNumberFormat="1" applyFont="1" applyFill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77" fontId="0" fillId="7" borderId="0" xfId="1" applyNumberFormat="1" applyFont="1" applyFill="1"/>
    <xf numFmtId="165" fontId="0" fillId="7" borderId="0" xfId="2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topLeftCell="G1" workbookViewId="0">
      <selection activeCell="G6" sqref="G6"/>
    </sheetView>
  </sheetViews>
  <sheetFormatPr defaultRowHeight="13.2" x14ac:dyDescent="0.25"/>
  <cols>
    <col min="1" max="1" width="5.6640625" style="69" customWidth="1"/>
    <col min="2" max="2" width="13" style="116" customWidth="1"/>
    <col min="3" max="4" width="13" style="137" customWidth="1"/>
    <col min="5" max="5" width="4.33203125" style="116" customWidth="1"/>
    <col min="6" max="6" width="13" style="116" customWidth="1"/>
    <col min="7" max="8" width="13" style="137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4.109375" customWidth="1"/>
    <col min="24" max="24" width="9.109375" style="148" customWidth="1"/>
  </cols>
  <sheetData>
    <row r="2" spans="1:24" x14ac:dyDescent="0.25">
      <c r="A2" s="68"/>
    </row>
    <row r="3" spans="1:24" x14ac:dyDescent="0.25">
      <c r="A3" s="68"/>
    </row>
    <row r="4" spans="1:24" x14ac:dyDescent="0.25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5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5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5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5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5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5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5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5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5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5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5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5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5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5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5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5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5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5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5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5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5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5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5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5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5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5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5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5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5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5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5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5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5">
      <c r="A37" s="68"/>
    </row>
    <row r="38" spans="1:24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3.2" x14ac:dyDescent="0.25"/>
  <cols>
    <col min="1" max="1" width="5.6640625" style="69" customWidth="1"/>
    <col min="2" max="2" width="13" style="145" customWidth="1"/>
    <col min="3" max="4" width="13" style="146" customWidth="1"/>
    <col min="5" max="5" width="4.33203125" style="116" customWidth="1"/>
    <col min="6" max="6" width="13" style="145" customWidth="1"/>
    <col min="7" max="8" width="13" style="146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13" style="116" customWidth="1"/>
    <col min="23" max="24" width="13" style="137" customWidth="1"/>
    <col min="25" max="25" width="4.109375" customWidth="1"/>
  </cols>
  <sheetData>
    <row r="2" spans="1:26" x14ac:dyDescent="0.25">
      <c r="A2" s="68"/>
    </row>
    <row r="3" spans="1:26" x14ac:dyDescent="0.25">
      <c r="A3" s="68"/>
    </row>
    <row r="4" spans="1:26" x14ac:dyDescent="0.25">
      <c r="A4" s="68"/>
      <c r="Z4" t="s">
        <v>276</v>
      </c>
    </row>
    <row r="5" spans="1:26" x14ac:dyDescent="0.25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5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5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5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5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5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5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5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5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5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5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5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5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5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5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5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5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5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5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5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5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5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5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5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v>420</v>
      </c>
      <c r="W28" s="137">
        <f>6.27+0.0125</f>
        <v>6.2824999999999998</v>
      </c>
      <c r="X28" s="138">
        <f t="shared" si="5"/>
        <v>2638.65</v>
      </c>
      <c r="Z28" s="116">
        <f t="shared" si="6"/>
        <v>9104</v>
      </c>
    </row>
    <row r="29" spans="1:26" x14ac:dyDescent="0.25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420</v>
      </c>
      <c r="W29" s="137">
        <f t="shared" si="19"/>
        <v>6.2824999999999998</v>
      </c>
      <c r="X29" s="138">
        <f t="shared" si="5"/>
        <v>2638.65</v>
      </c>
      <c r="Z29" s="116">
        <f t="shared" si="6"/>
        <v>9104</v>
      </c>
    </row>
    <row r="30" spans="1:26" x14ac:dyDescent="0.25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420</v>
      </c>
      <c r="W30" s="137">
        <f t="shared" si="19"/>
        <v>6.2824999999999998</v>
      </c>
      <c r="X30" s="138">
        <f t="shared" si="5"/>
        <v>2638.65</v>
      </c>
      <c r="Z30" s="116">
        <f t="shared" si="6"/>
        <v>9104</v>
      </c>
    </row>
    <row r="31" spans="1:26" x14ac:dyDescent="0.25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420</v>
      </c>
      <c r="W31" s="137">
        <f t="shared" si="19"/>
        <v>6.2824999999999998</v>
      </c>
      <c r="X31" s="138">
        <f t="shared" si="5"/>
        <v>2638.65</v>
      </c>
      <c r="Z31" s="116">
        <f t="shared" si="6"/>
        <v>9104</v>
      </c>
    </row>
    <row r="32" spans="1:26" x14ac:dyDescent="0.25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420</v>
      </c>
      <c r="W32" s="137">
        <f t="shared" si="19"/>
        <v>6.2824999999999998</v>
      </c>
      <c r="X32" s="138">
        <f t="shared" si="5"/>
        <v>2638.65</v>
      </c>
      <c r="Z32" s="116">
        <f t="shared" si="6"/>
        <v>9104</v>
      </c>
    </row>
    <row r="33" spans="1:26" x14ac:dyDescent="0.25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420</v>
      </c>
      <c r="W33" s="137">
        <f t="shared" si="19"/>
        <v>6.2824999999999998</v>
      </c>
      <c r="X33" s="138">
        <f t="shared" si="5"/>
        <v>2638.65</v>
      </c>
      <c r="Z33" s="116">
        <f t="shared" si="6"/>
        <v>9104</v>
      </c>
    </row>
    <row r="34" spans="1:26" x14ac:dyDescent="0.25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420</v>
      </c>
      <c r="W34" s="137">
        <f t="shared" si="19"/>
        <v>6.2824999999999998</v>
      </c>
      <c r="X34" s="138">
        <f t="shared" si="5"/>
        <v>2638.65</v>
      </c>
      <c r="Z34" s="116">
        <f t="shared" si="6"/>
        <v>9104</v>
      </c>
    </row>
    <row r="35" spans="1:26" x14ac:dyDescent="0.25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420</v>
      </c>
      <c r="W35" s="137">
        <f t="shared" si="19"/>
        <v>6.2824999999999998</v>
      </c>
      <c r="X35" s="138">
        <f t="shared" si="5"/>
        <v>2638.65</v>
      </c>
      <c r="Z35" s="116">
        <f t="shared" si="6"/>
        <v>9104</v>
      </c>
    </row>
    <row r="36" spans="1:26" x14ac:dyDescent="0.25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420</v>
      </c>
      <c r="W36" s="137">
        <f t="shared" si="19"/>
        <v>6.2824999999999998</v>
      </c>
      <c r="X36" s="138">
        <f>+V36*W36</f>
        <v>2638.65</v>
      </c>
      <c r="Z36" s="116">
        <f t="shared" si="6"/>
        <v>9104</v>
      </c>
    </row>
    <row r="37" spans="1:26" x14ac:dyDescent="0.25">
      <c r="A37" s="68"/>
    </row>
    <row r="38" spans="1:26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48"/>
  <sheetViews>
    <sheetView tabSelected="1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AB28" sqref="AB28"/>
    </sheetView>
  </sheetViews>
  <sheetFormatPr defaultColWidth="9.109375" defaultRowHeight="13.2" x14ac:dyDescent="0.25"/>
  <cols>
    <col min="1" max="1" width="5.6640625" style="69" customWidth="1"/>
    <col min="2" max="3" width="11" style="69" customWidth="1"/>
    <col min="4" max="4" width="4.6640625" style="69" customWidth="1"/>
    <col min="5" max="5" width="12.88671875" style="69" customWidth="1"/>
    <col min="6" max="9" width="10.44140625" style="69" customWidth="1"/>
    <col min="10" max="10" width="3.33203125" style="69" customWidth="1"/>
    <col min="11" max="11" width="12.88671875" style="69" customWidth="1"/>
    <col min="12" max="12" width="9.109375" style="69"/>
    <col min="13" max="13" width="11" style="69" customWidth="1"/>
    <col min="14" max="15" width="12.88671875" style="69" customWidth="1"/>
    <col min="16" max="16" width="10.33203125" style="69" customWidth="1"/>
    <col min="17" max="17" width="3.5546875" style="69" customWidth="1"/>
    <col min="18" max="18" width="10.33203125" style="69" customWidth="1"/>
    <col min="19" max="19" width="3.5546875" style="69" customWidth="1"/>
    <col min="20" max="20" width="13" style="69" customWidth="1"/>
    <col min="21" max="21" width="3.5546875" style="69" customWidth="1"/>
    <col min="22" max="22" width="14.44140625" style="69" customWidth="1"/>
    <col min="23" max="23" width="3.5546875" style="69" customWidth="1"/>
    <col min="24" max="24" width="13.88671875" style="142" customWidth="1"/>
    <col min="25" max="16384" width="9.109375" style="69"/>
  </cols>
  <sheetData>
    <row r="2" spans="1:33" s="68" customFormat="1" x14ac:dyDescent="0.25">
      <c r="X2" s="139"/>
    </row>
    <row r="3" spans="1:33" x14ac:dyDescent="0.25">
      <c r="A3" s="68"/>
      <c r="B3" s="68" t="s">
        <v>281</v>
      </c>
      <c r="C3" s="68" t="s">
        <v>305</v>
      </c>
      <c r="D3" s="68"/>
      <c r="E3" s="164">
        <v>456379</v>
      </c>
      <c r="F3" s="68"/>
      <c r="G3" s="68"/>
      <c r="H3" s="68"/>
      <c r="I3" s="68"/>
      <c r="J3" s="68"/>
      <c r="K3" s="68" t="s">
        <v>298</v>
      </c>
      <c r="L3" s="68"/>
      <c r="M3" s="68"/>
      <c r="N3" s="68"/>
      <c r="O3" s="68"/>
      <c r="P3" s="68"/>
      <c r="Q3" s="68"/>
      <c r="R3" s="68" t="s">
        <v>286</v>
      </c>
      <c r="S3" s="68"/>
      <c r="T3" s="68"/>
      <c r="V3" s="118" t="s">
        <v>283</v>
      </c>
      <c r="X3" s="139"/>
      <c r="Y3" s="69" t="s">
        <v>284</v>
      </c>
    </row>
    <row r="4" spans="1:33" x14ac:dyDescent="0.25">
      <c r="A4" s="68"/>
      <c r="B4" s="68" t="s">
        <v>239</v>
      </c>
      <c r="C4" s="68" t="s">
        <v>239</v>
      </c>
      <c r="D4" s="68"/>
      <c r="E4" s="70" t="s">
        <v>121</v>
      </c>
      <c r="F4" s="71" t="s">
        <v>121</v>
      </c>
      <c r="G4" s="72"/>
      <c r="H4" s="72" t="s">
        <v>55</v>
      </c>
      <c r="I4" s="72" t="s">
        <v>110</v>
      </c>
      <c r="J4" s="72"/>
      <c r="K4" s="68" t="s">
        <v>240</v>
      </c>
      <c r="L4" s="68"/>
      <c r="M4" s="68"/>
      <c r="N4" s="68"/>
      <c r="O4" s="68"/>
      <c r="P4" s="68" t="s">
        <v>282</v>
      </c>
      <c r="Q4" s="68"/>
      <c r="R4" s="68" t="s">
        <v>285</v>
      </c>
      <c r="S4" s="68"/>
      <c r="T4" s="68" t="s">
        <v>147</v>
      </c>
      <c r="V4" s="68" t="s">
        <v>146</v>
      </c>
      <c r="X4" s="139"/>
      <c r="Y4" s="69" t="s">
        <v>281</v>
      </c>
      <c r="AB4" s="69" t="s">
        <v>306</v>
      </c>
      <c r="AE4" s="69" t="s">
        <v>306</v>
      </c>
    </row>
    <row r="5" spans="1:33" x14ac:dyDescent="0.25">
      <c r="A5" s="68"/>
      <c r="B5" s="118" t="s">
        <v>272</v>
      </c>
      <c r="C5" s="118">
        <v>546310</v>
      </c>
      <c r="D5" s="68"/>
      <c r="E5" s="74" t="s">
        <v>124</v>
      </c>
      <c r="F5" s="73" t="s">
        <v>125</v>
      </c>
      <c r="G5" s="72"/>
      <c r="H5" s="72" t="s">
        <v>104</v>
      </c>
      <c r="I5" s="72" t="s">
        <v>104</v>
      </c>
      <c r="J5" s="72"/>
      <c r="K5" s="68" t="s">
        <v>241</v>
      </c>
      <c r="L5" s="68"/>
      <c r="M5" s="68" t="s">
        <v>238</v>
      </c>
      <c r="N5" s="68" t="s">
        <v>279</v>
      </c>
      <c r="O5" s="68" t="s">
        <v>236</v>
      </c>
      <c r="P5" s="119" t="s">
        <v>238</v>
      </c>
      <c r="Q5" s="68"/>
      <c r="R5" s="119">
        <v>502957</v>
      </c>
      <c r="S5" s="68"/>
      <c r="T5" s="68" t="s">
        <v>270</v>
      </c>
      <c r="V5" s="68" t="s">
        <v>271</v>
      </c>
      <c r="X5" s="139" t="s">
        <v>123</v>
      </c>
      <c r="Y5" s="69" t="s">
        <v>149</v>
      </c>
      <c r="AB5" s="69" t="s">
        <v>307</v>
      </c>
      <c r="AE5" s="69" t="s">
        <v>121</v>
      </c>
    </row>
    <row r="6" spans="1:33" s="151" customFormat="1" x14ac:dyDescent="0.25">
      <c r="A6" s="149">
        <v>1</v>
      </c>
      <c r="B6" s="149">
        <v>68020</v>
      </c>
      <c r="C6" s="149">
        <v>0</v>
      </c>
      <c r="D6" s="149"/>
      <c r="E6" s="149">
        <v>28121</v>
      </c>
      <c r="F6" s="149">
        <f t="shared" ref="F6:F12" si="0">ROUND(+E6*(1-0.02184),0)</f>
        <v>27507</v>
      </c>
      <c r="G6" s="149"/>
      <c r="H6" s="149">
        <v>140099</v>
      </c>
      <c r="I6" s="149">
        <f>IF(B6-H6&gt;0,+B6-H6,0)</f>
        <v>0</v>
      </c>
      <c r="J6" s="149"/>
      <c r="K6" s="149">
        <f>+B6+C6-F6</f>
        <v>40513</v>
      </c>
      <c r="L6" s="149"/>
      <c r="M6" s="149">
        <v>41858</v>
      </c>
      <c r="N6" s="149">
        <f>SUM('3rd Party Deals'!X6)</f>
        <v>11316</v>
      </c>
      <c r="O6" s="149">
        <f>SUM('Spot wENA'!Z6)</f>
        <v>-11316</v>
      </c>
      <c r="P6" s="150">
        <f>SUM(M6:O6)</f>
        <v>41858</v>
      </c>
      <c r="Q6" s="149"/>
      <c r="R6" s="150">
        <f>IF(T6&gt;0,+B6-T6,0)</f>
        <v>0</v>
      </c>
      <c r="S6" s="149"/>
      <c r="T6" s="149">
        <f>IF(K6-P6&gt;0,K6-P6,0)</f>
        <v>0</v>
      </c>
      <c r="V6" s="165">
        <f>IF(P6-K6&gt;0,P6-K6,0)</f>
        <v>1345</v>
      </c>
      <c r="X6" s="152">
        <v>6.58</v>
      </c>
      <c r="Y6" s="152">
        <f>ROUND((+X6+0.01)/(1-0.02184)+0.0227,2)</f>
        <v>6.76</v>
      </c>
      <c r="AB6" s="151">
        <v>-1371</v>
      </c>
      <c r="AE6" s="151">
        <v>27503</v>
      </c>
      <c r="AG6" s="151">
        <f>+F6-AE6</f>
        <v>4</v>
      </c>
    </row>
    <row r="7" spans="1:33" s="151" customFormat="1" x14ac:dyDescent="0.25">
      <c r="A7" s="149">
        <f>+A6+1</f>
        <v>2</v>
      </c>
      <c r="B7" s="149">
        <v>82996</v>
      </c>
      <c r="C7" s="149">
        <f>+C6</f>
        <v>0</v>
      </c>
      <c r="D7" s="149"/>
      <c r="E7" s="149">
        <v>29355</v>
      </c>
      <c r="F7" s="149">
        <f t="shared" si="0"/>
        <v>28714</v>
      </c>
      <c r="G7" s="149"/>
      <c r="H7" s="149">
        <f>+H6</f>
        <v>140099</v>
      </c>
      <c r="I7" s="149">
        <f t="shared" ref="I7:I35" si="1">IF(B7-H7&gt;0,+B7-H7,0)</f>
        <v>0</v>
      </c>
      <c r="J7" s="149"/>
      <c r="K7" s="149">
        <f t="shared" ref="K7:K36" si="2">+B7+C7-F7</f>
        <v>54282</v>
      </c>
      <c r="L7" s="149"/>
      <c r="M7" s="149">
        <f>+M6</f>
        <v>41858</v>
      </c>
      <c r="N7" s="149">
        <f>SUM('3rd Party Deals'!X7)</f>
        <v>11316</v>
      </c>
      <c r="O7" s="149">
        <f>SUM('Spot wENA'!Z7)</f>
        <v>3684</v>
      </c>
      <c r="P7" s="150">
        <f>SUM(M7:O7)</f>
        <v>56858</v>
      </c>
      <c r="Q7" s="149"/>
      <c r="R7" s="150">
        <f t="shared" ref="R7:R36" si="3">IF(T7&gt;0,+B7-T7,0)</f>
        <v>0</v>
      </c>
      <c r="S7" s="149"/>
      <c r="T7" s="149">
        <f t="shared" ref="T7:T35" si="4">IF(K7-P7&gt;0,K7-P7,0)</f>
        <v>0</v>
      </c>
      <c r="V7" s="149">
        <f t="shared" ref="V7:V35" si="5">IF(P7-K7&gt;0,P7-K7,0)</f>
        <v>2576</v>
      </c>
      <c r="X7" s="152">
        <v>6.8650000000000002</v>
      </c>
      <c r="Y7" s="152">
        <f t="shared" ref="Y7:Y36" si="6">ROUND((+X7+0.01)/(1-0.02184)+0.0227,2)</f>
        <v>7.05</v>
      </c>
      <c r="AB7" s="151">
        <v>-3128</v>
      </c>
      <c r="AE7" s="151">
        <v>29198</v>
      </c>
      <c r="AG7" s="151">
        <f t="shared" ref="AG7:AG30" si="7">+F7-AE7</f>
        <v>-484</v>
      </c>
    </row>
    <row r="8" spans="1:33" s="151" customFormat="1" x14ac:dyDescent="0.25">
      <c r="A8" s="149">
        <f t="shared" ref="A8:A34" si="8">+A7+1</f>
        <v>3</v>
      </c>
      <c r="B8" s="149">
        <v>84480</v>
      </c>
      <c r="C8" s="149">
        <f t="shared" ref="C8:C24" si="9">+C7</f>
        <v>0</v>
      </c>
      <c r="D8" s="149"/>
      <c r="E8" s="149">
        <v>30872</v>
      </c>
      <c r="F8" s="149">
        <f t="shared" si="0"/>
        <v>30198</v>
      </c>
      <c r="G8" s="149"/>
      <c r="H8" s="149">
        <f t="shared" ref="H8:H35" si="10">+H7</f>
        <v>140099</v>
      </c>
      <c r="I8" s="149">
        <f t="shared" si="1"/>
        <v>0</v>
      </c>
      <c r="J8" s="149"/>
      <c r="K8" s="149">
        <f t="shared" si="2"/>
        <v>54282</v>
      </c>
      <c r="L8" s="149"/>
      <c r="M8" s="149">
        <f t="shared" ref="M8:M35" si="11">+M7</f>
        <v>41858</v>
      </c>
      <c r="N8" s="149">
        <f>SUM('3rd Party Deals'!X8)</f>
        <v>11316</v>
      </c>
      <c r="O8" s="149">
        <f>SUM('Spot wENA'!Z8)</f>
        <v>3684</v>
      </c>
      <c r="P8" s="150">
        <f t="shared" ref="P8:P36" si="12">SUM(M8:O8)</f>
        <v>56858</v>
      </c>
      <c r="Q8" s="149"/>
      <c r="R8" s="150">
        <f t="shared" si="3"/>
        <v>0</v>
      </c>
      <c r="S8" s="149"/>
      <c r="T8" s="149">
        <f t="shared" si="4"/>
        <v>0</v>
      </c>
      <c r="V8" s="149">
        <f t="shared" si="5"/>
        <v>2576</v>
      </c>
      <c r="X8" s="152">
        <v>6.8650000000000002</v>
      </c>
      <c r="Y8" s="152">
        <f t="shared" si="6"/>
        <v>7.05</v>
      </c>
      <c r="AB8" s="151">
        <v>-3128</v>
      </c>
      <c r="AE8" s="151">
        <v>30682</v>
      </c>
      <c r="AG8" s="151">
        <f t="shared" si="7"/>
        <v>-484</v>
      </c>
    </row>
    <row r="9" spans="1:33" s="151" customFormat="1" x14ac:dyDescent="0.25">
      <c r="A9" s="149">
        <f t="shared" si="8"/>
        <v>4</v>
      </c>
      <c r="B9" s="149">
        <v>67441</v>
      </c>
      <c r="C9" s="149">
        <f t="shared" si="9"/>
        <v>0</v>
      </c>
      <c r="D9" s="149"/>
      <c r="E9" s="149">
        <v>22191</v>
      </c>
      <c r="F9" s="149">
        <f t="shared" si="0"/>
        <v>21706</v>
      </c>
      <c r="G9" s="149"/>
      <c r="H9" s="149">
        <f t="shared" si="10"/>
        <v>140099</v>
      </c>
      <c r="I9" s="149">
        <f t="shared" si="1"/>
        <v>0</v>
      </c>
      <c r="J9" s="149"/>
      <c r="K9" s="149">
        <f t="shared" si="2"/>
        <v>45735</v>
      </c>
      <c r="L9" s="149"/>
      <c r="M9" s="149">
        <f t="shared" si="11"/>
        <v>41858</v>
      </c>
      <c r="N9" s="149">
        <f>SUM('3rd Party Deals'!X9)</f>
        <v>11316</v>
      </c>
      <c r="O9" s="149">
        <f>SUM('Spot wENA'!Z9)</f>
        <v>3684</v>
      </c>
      <c r="P9" s="150">
        <f t="shared" si="12"/>
        <v>56858</v>
      </c>
      <c r="Q9" s="149"/>
      <c r="R9" s="150">
        <f t="shared" si="3"/>
        <v>0</v>
      </c>
      <c r="S9" s="149"/>
      <c r="T9" s="149">
        <f t="shared" si="4"/>
        <v>0</v>
      </c>
      <c r="V9" s="165">
        <f t="shared" si="5"/>
        <v>11123</v>
      </c>
      <c r="X9" s="152">
        <v>6.8650000000000002</v>
      </c>
      <c r="Y9" s="152">
        <f t="shared" si="6"/>
        <v>7.05</v>
      </c>
      <c r="AB9" s="151">
        <v>-11366</v>
      </c>
      <c r="AE9" s="151">
        <v>21701</v>
      </c>
      <c r="AG9" s="151">
        <f t="shared" si="7"/>
        <v>5</v>
      </c>
    </row>
    <row r="10" spans="1:33" s="151" customFormat="1" x14ac:dyDescent="0.25">
      <c r="A10" s="149">
        <f t="shared" si="8"/>
        <v>5</v>
      </c>
      <c r="B10" s="149">
        <v>93346</v>
      </c>
      <c r="C10" s="149">
        <f t="shared" si="9"/>
        <v>0</v>
      </c>
      <c r="D10" s="149"/>
      <c r="E10" s="149">
        <v>38706</v>
      </c>
      <c r="F10" s="149">
        <f t="shared" si="0"/>
        <v>37861</v>
      </c>
      <c r="G10" s="149"/>
      <c r="H10" s="149">
        <f t="shared" si="10"/>
        <v>140099</v>
      </c>
      <c r="I10" s="149">
        <f t="shared" si="1"/>
        <v>0</v>
      </c>
      <c r="J10" s="149"/>
      <c r="K10" s="149">
        <f t="shared" si="2"/>
        <v>55485</v>
      </c>
      <c r="L10" s="149"/>
      <c r="M10" s="149">
        <f t="shared" si="11"/>
        <v>41858</v>
      </c>
      <c r="N10" s="149">
        <f>SUM('3rd Party Deals'!X10)</f>
        <v>11316</v>
      </c>
      <c r="O10" s="149">
        <f>SUM('Spot wENA'!Z10)</f>
        <v>-1316</v>
      </c>
      <c r="P10" s="150">
        <f t="shared" si="12"/>
        <v>51858</v>
      </c>
      <c r="Q10" s="149"/>
      <c r="R10" s="150">
        <f t="shared" si="3"/>
        <v>89719</v>
      </c>
      <c r="S10" s="149"/>
      <c r="T10" s="165">
        <f t="shared" si="4"/>
        <v>3627</v>
      </c>
      <c r="V10" s="149">
        <f t="shared" si="5"/>
        <v>0</v>
      </c>
      <c r="X10" s="152">
        <v>7.8150000000000004</v>
      </c>
      <c r="Y10" s="152">
        <f t="shared" si="6"/>
        <v>8.02</v>
      </c>
      <c r="AB10" s="151">
        <v>3710</v>
      </c>
      <c r="AE10" s="151">
        <v>37859</v>
      </c>
      <c r="AG10" s="151">
        <f t="shared" si="7"/>
        <v>2</v>
      </c>
    </row>
    <row r="11" spans="1:33" s="151" customFormat="1" x14ac:dyDescent="0.25">
      <c r="A11" s="149">
        <f t="shared" si="8"/>
        <v>6</v>
      </c>
      <c r="B11" s="149">
        <v>88509</v>
      </c>
      <c r="C11" s="149">
        <f t="shared" si="9"/>
        <v>0</v>
      </c>
      <c r="D11" s="149"/>
      <c r="E11" s="149">
        <v>39619</v>
      </c>
      <c r="F11" s="149">
        <f t="shared" si="0"/>
        <v>38754</v>
      </c>
      <c r="G11" s="149"/>
      <c r="H11" s="149">
        <f t="shared" si="10"/>
        <v>140099</v>
      </c>
      <c r="I11" s="149">
        <f t="shared" si="1"/>
        <v>0</v>
      </c>
      <c r="J11" s="149"/>
      <c r="K11" s="149">
        <f t="shared" si="2"/>
        <v>49755</v>
      </c>
      <c r="L11" s="149"/>
      <c r="M11" s="149">
        <f t="shared" si="11"/>
        <v>41858</v>
      </c>
      <c r="N11" s="149">
        <f>SUM('3rd Party Deals'!X11)</f>
        <v>11316</v>
      </c>
      <c r="O11" s="149">
        <f>SUM('Spot wENA'!Z11)</f>
        <v>-1316</v>
      </c>
      <c r="P11" s="150">
        <f t="shared" si="12"/>
        <v>51858</v>
      </c>
      <c r="Q11" s="149"/>
      <c r="R11" s="150">
        <f t="shared" si="3"/>
        <v>0</v>
      </c>
      <c r="S11" s="149"/>
      <c r="T11" s="149">
        <f t="shared" si="4"/>
        <v>0</v>
      </c>
      <c r="V11" s="165">
        <f t="shared" si="5"/>
        <v>2103</v>
      </c>
      <c r="X11" s="152">
        <v>8.43</v>
      </c>
      <c r="Y11" s="152">
        <f t="shared" si="6"/>
        <v>8.65</v>
      </c>
      <c r="AB11" s="151">
        <v>-2149</v>
      </c>
      <c r="AE11" s="151">
        <v>38753</v>
      </c>
      <c r="AG11" s="151">
        <f t="shared" si="7"/>
        <v>1</v>
      </c>
    </row>
    <row r="12" spans="1:33" s="151" customFormat="1" x14ac:dyDescent="0.25">
      <c r="A12" s="149">
        <f t="shared" si="8"/>
        <v>7</v>
      </c>
      <c r="B12" s="149">
        <v>75157</v>
      </c>
      <c r="C12" s="149">
        <f t="shared" si="9"/>
        <v>0</v>
      </c>
      <c r="D12" s="149"/>
      <c r="E12" s="149">
        <v>22574</v>
      </c>
      <c r="F12" s="149">
        <f t="shared" si="0"/>
        <v>22081</v>
      </c>
      <c r="G12" s="149"/>
      <c r="H12" s="149">
        <f t="shared" si="10"/>
        <v>140099</v>
      </c>
      <c r="I12" s="149">
        <f t="shared" si="1"/>
        <v>0</v>
      </c>
      <c r="J12" s="149"/>
      <c r="K12" s="149">
        <f t="shared" si="2"/>
        <v>53076</v>
      </c>
      <c r="L12" s="149"/>
      <c r="M12" s="149">
        <f t="shared" si="11"/>
        <v>41858</v>
      </c>
      <c r="N12" s="149">
        <f>SUM('3rd Party Deals'!X12)</f>
        <v>11316</v>
      </c>
      <c r="O12" s="149">
        <f>SUM('Spot wENA'!Z12)</f>
        <v>-1316</v>
      </c>
      <c r="P12" s="150">
        <f t="shared" si="12"/>
        <v>51858</v>
      </c>
      <c r="Q12" s="149"/>
      <c r="R12" s="150">
        <f t="shared" si="3"/>
        <v>73939</v>
      </c>
      <c r="S12" s="149"/>
      <c r="T12" s="165">
        <f t="shared" si="4"/>
        <v>1218</v>
      </c>
      <c r="V12" s="149">
        <f t="shared" si="5"/>
        <v>0</v>
      </c>
      <c r="X12" s="152">
        <v>9.1549999999999994</v>
      </c>
      <c r="Y12" s="152">
        <f t="shared" si="6"/>
        <v>9.39</v>
      </c>
      <c r="AB12" s="151">
        <v>1249</v>
      </c>
      <c r="AE12" s="151">
        <v>22077</v>
      </c>
      <c r="AG12" s="151">
        <f t="shared" si="7"/>
        <v>4</v>
      </c>
    </row>
    <row r="13" spans="1:33" s="151" customFormat="1" x14ac:dyDescent="0.25">
      <c r="A13" s="149">
        <f t="shared" si="8"/>
        <v>8</v>
      </c>
      <c r="B13" s="149">
        <v>83388</v>
      </c>
      <c r="C13" s="149">
        <f t="shared" si="9"/>
        <v>0</v>
      </c>
      <c r="D13" s="149"/>
      <c r="E13" s="149">
        <v>30403</v>
      </c>
      <c r="F13" s="149">
        <f t="shared" ref="F13:F36" si="13">ROUND(+E13*(1-0.02184),0)</f>
        <v>29739</v>
      </c>
      <c r="G13" s="149"/>
      <c r="H13" s="149">
        <f t="shared" si="10"/>
        <v>140099</v>
      </c>
      <c r="I13" s="149">
        <f t="shared" si="1"/>
        <v>0</v>
      </c>
      <c r="J13" s="149"/>
      <c r="K13" s="149">
        <f t="shared" si="2"/>
        <v>53649</v>
      </c>
      <c r="L13" s="149"/>
      <c r="M13" s="149">
        <f t="shared" si="11"/>
        <v>41858</v>
      </c>
      <c r="N13" s="149">
        <f>SUM('3rd Party Deals'!X13)</f>
        <v>11316</v>
      </c>
      <c r="O13" s="149">
        <f>SUM('Spot wENA'!Z13)</f>
        <v>-1316</v>
      </c>
      <c r="P13" s="150">
        <f t="shared" si="12"/>
        <v>51858</v>
      </c>
      <c r="Q13" s="149"/>
      <c r="R13" s="150">
        <f t="shared" si="3"/>
        <v>81597</v>
      </c>
      <c r="S13" s="149"/>
      <c r="T13" s="165">
        <f t="shared" si="4"/>
        <v>1791</v>
      </c>
      <c r="V13" s="149">
        <f t="shared" si="5"/>
        <v>0</v>
      </c>
      <c r="X13" s="152">
        <v>8.91</v>
      </c>
      <c r="Y13" s="152">
        <f t="shared" si="6"/>
        <v>9.14</v>
      </c>
      <c r="AB13" s="151">
        <v>1835</v>
      </c>
      <c r="AE13" s="151">
        <v>29736</v>
      </c>
      <c r="AG13" s="151">
        <f t="shared" si="7"/>
        <v>3</v>
      </c>
    </row>
    <row r="14" spans="1:33" s="151" customFormat="1" x14ac:dyDescent="0.25">
      <c r="A14" s="149">
        <f t="shared" si="8"/>
        <v>9</v>
      </c>
      <c r="B14" s="149">
        <v>75648</v>
      </c>
      <c r="C14" s="149">
        <f t="shared" si="9"/>
        <v>0</v>
      </c>
      <c r="D14" s="149"/>
      <c r="E14" s="149">
        <v>50215</v>
      </c>
      <c r="F14" s="149">
        <f t="shared" si="13"/>
        <v>49118</v>
      </c>
      <c r="G14" s="149"/>
      <c r="H14" s="149">
        <f t="shared" si="10"/>
        <v>140099</v>
      </c>
      <c r="I14" s="149">
        <f t="shared" si="1"/>
        <v>0</v>
      </c>
      <c r="J14" s="149"/>
      <c r="K14" s="149">
        <f t="shared" si="2"/>
        <v>26530</v>
      </c>
      <c r="L14" s="149"/>
      <c r="M14" s="149">
        <f t="shared" si="11"/>
        <v>41858</v>
      </c>
      <c r="N14" s="149">
        <f>SUM('3rd Party Deals'!X14)</f>
        <v>11316</v>
      </c>
      <c r="O14" s="149">
        <f>SUM('Spot wENA'!Z14)</f>
        <v>-36316</v>
      </c>
      <c r="P14" s="150">
        <f t="shared" si="12"/>
        <v>16858</v>
      </c>
      <c r="Q14" s="149"/>
      <c r="R14" s="150">
        <f t="shared" si="3"/>
        <v>65976</v>
      </c>
      <c r="S14" s="149"/>
      <c r="T14" s="165">
        <f t="shared" si="4"/>
        <v>9672</v>
      </c>
      <c r="V14" s="149">
        <f t="shared" si="5"/>
        <v>0</v>
      </c>
      <c r="X14" s="152">
        <v>8.41</v>
      </c>
      <c r="Y14" s="152">
        <f t="shared" si="6"/>
        <v>8.6300000000000008</v>
      </c>
      <c r="AB14" s="151">
        <v>9888</v>
      </c>
      <c r="AE14" s="151">
        <v>49118</v>
      </c>
      <c r="AG14" s="151">
        <f t="shared" si="7"/>
        <v>0</v>
      </c>
    </row>
    <row r="15" spans="1:33" s="151" customFormat="1" x14ac:dyDescent="0.25">
      <c r="A15" s="149">
        <f t="shared" si="8"/>
        <v>10</v>
      </c>
      <c r="B15" s="149">
        <v>60794</v>
      </c>
      <c r="C15" s="149">
        <f t="shared" si="9"/>
        <v>0</v>
      </c>
      <c r="D15" s="149"/>
      <c r="E15" s="149">
        <v>35030</v>
      </c>
      <c r="F15" s="149">
        <f t="shared" si="13"/>
        <v>34265</v>
      </c>
      <c r="G15" s="149"/>
      <c r="H15" s="149">
        <f t="shared" si="10"/>
        <v>140099</v>
      </c>
      <c r="I15" s="149">
        <f t="shared" si="1"/>
        <v>0</v>
      </c>
      <c r="J15" s="149"/>
      <c r="K15" s="149">
        <f t="shared" si="2"/>
        <v>26529</v>
      </c>
      <c r="L15" s="149"/>
      <c r="M15" s="149">
        <f t="shared" si="11"/>
        <v>41858</v>
      </c>
      <c r="N15" s="149">
        <f>SUM('3rd Party Deals'!X15)</f>
        <v>11316</v>
      </c>
      <c r="O15" s="149">
        <f>SUM('Spot wENA'!Z15)</f>
        <v>-36316</v>
      </c>
      <c r="P15" s="150">
        <f t="shared" si="12"/>
        <v>16858</v>
      </c>
      <c r="Q15" s="149"/>
      <c r="R15" s="150">
        <f t="shared" si="3"/>
        <v>51123</v>
      </c>
      <c r="S15" s="149"/>
      <c r="T15" s="165">
        <f t="shared" si="4"/>
        <v>9671</v>
      </c>
      <c r="V15" s="149">
        <f t="shared" si="5"/>
        <v>0</v>
      </c>
      <c r="X15" s="152">
        <v>8.41</v>
      </c>
      <c r="Y15" s="152">
        <f t="shared" si="6"/>
        <v>8.6300000000000008</v>
      </c>
      <c r="AB15" s="151">
        <v>9888</v>
      </c>
      <c r="AE15" s="151">
        <v>34264</v>
      </c>
      <c r="AG15" s="151">
        <f t="shared" si="7"/>
        <v>1</v>
      </c>
    </row>
    <row r="16" spans="1:33" s="151" customFormat="1" x14ac:dyDescent="0.25">
      <c r="A16" s="149">
        <f t="shared" si="8"/>
        <v>11</v>
      </c>
      <c r="B16" s="149">
        <v>55330</v>
      </c>
      <c r="C16" s="149">
        <f t="shared" si="9"/>
        <v>0</v>
      </c>
      <c r="D16" s="149"/>
      <c r="E16" s="149">
        <v>29442</v>
      </c>
      <c r="F16" s="149">
        <f t="shared" si="13"/>
        <v>28799</v>
      </c>
      <c r="G16" s="149"/>
      <c r="H16" s="149">
        <f t="shared" si="10"/>
        <v>140099</v>
      </c>
      <c r="I16" s="149">
        <f t="shared" si="1"/>
        <v>0</v>
      </c>
      <c r="J16" s="149"/>
      <c r="K16" s="149">
        <f t="shared" si="2"/>
        <v>26531</v>
      </c>
      <c r="L16" s="149"/>
      <c r="M16" s="149">
        <f t="shared" si="11"/>
        <v>41858</v>
      </c>
      <c r="N16" s="149">
        <f>SUM('3rd Party Deals'!X16)</f>
        <v>11316</v>
      </c>
      <c r="O16" s="149">
        <f>SUM('Spot wENA'!Z16)</f>
        <v>-36316</v>
      </c>
      <c r="P16" s="150">
        <f t="shared" si="12"/>
        <v>16858</v>
      </c>
      <c r="Q16" s="149"/>
      <c r="R16" s="150">
        <f t="shared" si="3"/>
        <v>45657</v>
      </c>
      <c r="S16" s="149"/>
      <c r="T16" s="149">
        <f t="shared" si="4"/>
        <v>9673</v>
      </c>
      <c r="V16" s="149">
        <f t="shared" si="5"/>
        <v>0</v>
      </c>
      <c r="X16" s="152">
        <v>8.41</v>
      </c>
      <c r="Y16" s="152">
        <f t="shared" si="6"/>
        <v>8.6300000000000008</v>
      </c>
      <c r="AB16" s="151">
        <v>9888</v>
      </c>
      <c r="AE16" s="151">
        <v>28800</v>
      </c>
      <c r="AG16" s="151">
        <f t="shared" si="7"/>
        <v>-1</v>
      </c>
    </row>
    <row r="17" spans="1:33" s="151" customFormat="1" x14ac:dyDescent="0.25">
      <c r="A17" s="149">
        <f t="shared" si="8"/>
        <v>12</v>
      </c>
      <c r="B17" s="149">
        <v>92288</v>
      </c>
      <c r="C17" s="149">
        <f t="shared" si="9"/>
        <v>0</v>
      </c>
      <c r="D17" s="149"/>
      <c r="E17" s="149">
        <v>67227</v>
      </c>
      <c r="F17" s="149">
        <f t="shared" si="13"/>
        <v>65759</v>
      </c>
      <c r="G17" s="149"/>
      <c r="H17" s="149">
        <f t="shared" si="10"/>
        <v>140099</v>
      </c>
      <c r="I17" s="149">
        <f t="shared" si="1"/>
        <v>0</v>
      </c>
      <c r="J17" s="149"/>
      <c r="K17" s="149">
        <f t="shared" si="2"/>
        <v>26529</v>
      </c>
      <c r="L17" s="149"/>
      <c r="M17" s="149">
        <f t="shared" si="11"/>
        <v>41858</v>
      </c>
      <c r="N17" s="149">
        <f>SUM('3rd Party Deals'!X17)</f>
        <v>11316</v>
      </c>
      <c r="O17" s="149">
        <f>SUM('Spot wENA'!Z17)</f>
        <v>-1316</v>
      </c>
      <c r="P17" s="150">
        <f t="shared" si="12"/>
        <v>51858</v>
      </c>
      <c r="Q17" s="149"/>
      <c r="R17" s="150">
        <f t="shared" si="3"/>
        <v>0</v>
      </c>
      <c r="S17" s="149"/>
      <c r="T17" s="149">
        <f t="shared" si="4"/>
        <v>0</v>
      </c>
      <c r="V17" s="149">
        <f t="shared" si="5"/>
        <v>25329</v>
      </c>
      <c r="X17" s="152">
        <v>10.53</v>
      </c>
      <c r="Y17" s="152">
        <f t="shared" si="6"/>
        <v>10.8</v>
      </c>
      <c r="AB17" s="151">
        <v>-25894</v>
      </c>
      <c r="AE17" s="151">
        <v>65758</v>
      </c>
      <c r="AG17" s="151">
        <f t="shared" si="7"/>
        <v>1</v>
      </c>
    </row>
    <row r="18" spans="1:33" s="151" customFormat="1" x14ac:dyDescent="0.25">
      <c r="A18" s="149">
        <f t="shared" si="8"/>
        <v>13</v>
      </c>
      <c r="B18" s="149">
        <v>79535</v>
      </c>
      <c r="C18" s="149">
        <f t="shared" si="9"/>
        <v>0</v>
      </c>
      <c r="D18" s="149"/>
      <c r="E18" s="149">
        <v>34359</v>
      </c>
      <c r="F18" s="149">
        <f t="shared" si="13"/>
        <v>33609</v>
      </c>
      <c r="G18" s="149"/>
      <c r="H18" s="149">
        <f t="shared" si="10"/>
        <v>140099</v>
      </c>
      <c r="I18" s="149">
        <f t="shared" si="1"/>
        <v>0</v>
      </c>
      <c r="J18" s="149"/>
      <c r="K18" s="149">
        <f t="shared" si="2"/>
        <v>45926</v>
      </c>
      <c r="L18" s="149"/>
      <c r="M18" s="149">
        <f t="shared" si="11"/>
        <v>41858</v>
      </c>
      <c r="N18" s="149">
        <f>SUM('3rd Party Deals'!X18)</f>
        <v>11316</v>
      </c>
      <c r="O18" s="149">
        <f>SUM('Spot wENA'!Z18)</f>
        <v>-1316</v>
      </c>
      <c r="P18" s="150">
        <f t="shared" si="12"/>
        <v>51858</v>
      </c>
      <c r="Q18" s="149"/>
      <c r="R18" s="150">
        <f t="shared" si="3"/>
        <v>0</v>
      </c>
      <c r="S18" s="149"/>
      <c r="T18" s="149">
        <f t="shared" si="4"/>
        <v>0</v>
      </c>
      <c r="V18" s="149">
        <f t="shared" si="5"/>
        <v>5932</v>
      </c>
      <c r="X18" s="152">
        <v>9.15</v>
      </c>
      <c r="Y18" s="152">
        <f t="shared" si="6"/>
        <v>9.39</v>
      </c>
      <c r="AB18" s="151">
        <v>-6064</v>
      </c>
      <c r="AE18" s="151">
        <v>33608</v>
      </c>
      <c r="AG18" s="151">
        <f t="shared" si="7"/>
        <v>1</v>
      </c>
    </row>
    <row r="19" spans="1:33" s="151" customFormat="1" x14ac:dyDescent="0.25">
      <c r="A19" s="149">
        <f t="shared" si="8"/>
        <v>14</v>
      </c>
      <c r="B19" s="149">
        <v>82624</v>
      </c>
      <c r="C19" s="149">
        <f t="shared" si="9"/>
        <v>0</v>
      </c>
      <c r="D19" s="149"/>
      <c r="E19" s="149">
        <v>30978</v>
      </c>
      <c r="F19" s="149">
        <f t="shared" si="13"/>
        <v>30301</v>
      </c>
      <c r="G19" s="149"/>
      <c r="H19" s="149">
        <f t="shared" si="10"/>
        <v>140099</v>
      </c>
      <c r="I19" s="149">
        <f t="shared" si="1"/>
        <v>0</v>
      </c>
      <c r="J19" s="149"/>
      <c r="K19" s="149">
        <f t="shared" si="2"/>
        <v>52323</v>
      </c>
      <c r="L19" s="149"/>
      <c r="M19" s="149">
        <f t="shared" si="11"/>
        <v>41858</v>
      </c>
      <c r="N19" s="149">
        <f>SUM('3rd Party Deals'!X19)</f>
        <v>11316</v>
      </c>
      <c r="O19" s="149">
        <f>SUM('Spot wENA'!Z19)</f>
        <v>-1316</v>
      </c>
      <c r="P19" s="150">
        <f t="shared" si="12"/>
        <v>51858</v>
      </c>
      <c r="Q19" s="149"/>
      <c r="R19" s="150">
        <f t="shared" si="3"/>
        <v>82159</v>
      </c>
      <c r="S19" s="149"/>
      <c r="T19" s="149">
        <f t="shared" si="4"/>
        <v>465</v>
      </c>
      <c r="V19" s="149">
        <f t="shared" si="5"/>
        <v>0</v>
      </c>
      <c r="X19" s="152">
        <v>8</v>
      </c>
      <c r="Y19" s="152">
        <f t="shared" si="6"/>
        <v>8.2100000000000009</v>
      </c>
      <c r="AB19" s="151">
        <v>496</v>
      </c>
      <c r="AE19" s="151">
        <v>30281</v>
      </c>
      <c r="AG19" s="151">
        <f t="shared" si="7"/>
        <v>20</v>
      </c>
    </row>
    <row r="20" spans="1:33" s="151" customFormat="1" x14ac:dyDescent="0.25">
      <c r="A20" s="149">
        <f t="shared" si="8"/>
        <v>15</v>
      </c>
      <c r="B20" s="149">
        <v>74584</v>
      </c>
      <c r="C20" s="149">
        <f t="shared" si="9"/>
        <v>0</v>
      </c>
      <c r="D20" s="149"/>
      <c r="E20" s="149">
        <v>24887</v>
      </c>
      <c r="F20" s="149">
        <f t="shared" si="13"/>
        <v>24343</v>
      </c>
      <c r="G20" s="149"/>
      <c r="H20" s="149">
        <f t="shared" si="10"/>
        <v>140099</v>
      </c>
      <c r="I20" s="149">
        <f t="shared" si="1"/>
        <v>0</v>
      </c>
      <c r="J20" s="149"/>
      <c r="K20" s="149">
        <f t="shared" si="2"/>
        <v>50241</v>
      </c>
      <c r="L20" s="149"/>
      <c r="M20" s="149">
        <f t="shared" si="11"/>
        <v>41858</v>
      </c>
      <c r="N20" s="149">
        <f>SUM('3rd Party Deals'!X20)</f>
        <v>11316</v>
      </c>
      <c r="O20" s="149">
        <f>SUM('Spot wENA'!Z20)</f>
        <v>-1316</v>
      </c>
      <c r="P20" s="150">
        <f t="shared" si="12"/>
        <v>51858</v>
      </c>
      <c r="Q20" s="149"/>
      <c r="R20" s="150">
        <f t="shared" si="3"/>
        <v>0</v>
      </c>
      <c r="S20" s="149"/>
      <c r="T20" s="149">
        <f t="shared" si="4"/>
        <v>0</v>
      </c>
      <c r="V20" s="149">
        <f t="shared" si="5"/>
        <v>1617</v>
      </c>
      <c r="X20" s="152">
        <v>7.8150000000000004</v>
      </c>
      <c r="Y20" s="152">
        <f t="shared" si="6"/>
        <v>8.02</v>
      </c>
      <c r="AB20" s="151">
        <v>-1648</v>
      </c>
      <c r="AE20" s="151">
        <v>24341</v>
      </c>
      <c r="AG20" s="151">
        <f t="shared" si="7"/>
        <v>2</v>
      </c>
    </row>
    <row r="21" spans="1:33" s="151" customFormat="1" x14ac:dyDescent="0.25">
      <c r="A21" s="149">
        <f t="shared" si="8"/>
        <v>16</v>
      </c>
      <c r="B21" s="149">
        <v>56865</v>
      </c>
      <c r="C21" s="149">
        <f t="shared" si="9"/>
        <v>0</v>
      </c>
      <c r="D21" s="149"/>
      <c r="E21" s="149">
        <v>27</v>
      </c>
      <c r="F21" s="149">
        <f t="shared" si="13"/>
        <v>26</v>
      </c>
      <c r="G21" s="149"/>
      <c r="H21" s="149">
        <f t="shared" si="10"/>
        <v>140099</v>
      </c>
      <c r="I21" s="149">
        <f t="shared" si="1"/>
        <v>0</v>
      </c>
      <c r="J21" s="149"/>
      <c r="K21" s="149">
        <f t="shared" si="2"/>
        <v>56839</v>
      </c>
      <c r="L21" s="149"/>
      <c r="M21" s="149">
        <f t="shared" si="11"/>
        <v>41858</v>
      </c>
      <c r="N21" s="149">
        <f>SUM('3rd Party Deals'!X21)</f>
        <v>11316</v>
      </c>
      <c r="O21" s="149">
        <f>SUM('Spot wENA'!Z21)</f>
        <v>-1316</v>
      </c>
      <c r="P21" s="150">
        <f t="shared" si="12"/>
        <v>51858</v>
      </c>
      <c r="Q21" s="149"/>
      <c r="R21" s="150">
        <f t="shared" si="3"/>
        <v>51884</v>
      </c>
      <c r="S21" s="149"/>
      <c r="T21" s="149">
        <f t="shared" si="4"/>
        <v>4981</v>
      </c>
      <c r="V21" s="149">
        <f t="shared" si="5"/>
        <v>0</v>
      </c>
      <c r="X21" s="152">
        <v>8.2650000000000006</v>
      </c>
      <c r="Y21" s="152">
        <f t="shared" si="6"/>
        <v>8.48</v>
      </c>
      <c r="AB21" s="151">
        <v>5092</v>
      </c>
      <c r="AE21" s="151">
        <v>0</v>
      </c>
      <c r="AF21" s="166" t="s">
        <v>308</v>
      </c>
      <c r="AG21" s="151">
        <f t="shared" si="7"/>
        <v>26</v>
      </c>
    </row>
    <row r="22" spans="1:33" s="151" customFormat="1" x14ac:dyDescent="0.25">
      <c r="A22" s="149">
        <f t="shared" si="8"/>
        <v>17</v>
      </c>
      <c r="B22" s="149">
        <v>114528</v>
      </c>
      <c r="C22" s="149">
        <f t="shared" si="9"/>
        <v>0</v>
      </c>
      <c r="D22" s="149"/>
      <c r="E22" s="149">
        <v>44899</v>
      </c>
      <c r="F22" s="149">
        <f t="shared" si="13"/>
        <v>43918</v>
      </c>
      <c r="G22" s="149"/>
      <c r="H22" s="149">
        <f t="shared" si="10"/>
        <v>140099</v>
      </c>
      <c r="I22" s="149">
        <f t="shared" si="1"/>
        <v>0</v>
      </c>
      <c r="J22" s="149"/>
      <c r="K22" s="149">
        <f t="shared" si="2"/>
        <v>70610</v>
      </c>
      <c r="L22" s="149"/>
      <c r="M22" s="149">
        <f t="shared" si="11"/>
        <v>41858</v>
      </c>
      <c r="N22" s="149">
        <f>SUM('3rd Party Deals'!X22)</f>
        <v>11316</v>
      </c>
      <c r="O22" s="149">
        <f>SUM('Spot wENA'!Z22)</f>
        <v>-1316</v>
      </c>
      <c r="P22" s="150">
        <f t="shared" si="12"/>
        <v>51858</v>
      </c>
      <c r="Q22" s="149"/>
      <c r="R22" s="150">
        <f t="shared" si="3"/>
        <v>95776</v>
      </c>
      <c r="S22" s="149"/>
      <c r="T22" s="149">
        <f t="shared" si="4"/>
        <v>18752</v>
      </c>
      <c r="V22" s="149">
        <f t="shared" si="5"/>
        <v>0</v>
      </c>
      <c r="X22" s="152">
        <v>8.2650000000000006</v>
      </c>
      <c r="Y22" s="152">
        <f t="shared" si="6"/>
        <v>8.48</v>
      </c>
      <c r="AB22" s="151">
        <v>19170</v>
      </c>
      <c r="AE22" s="151">
        <v>43919</v>
      </c>
      <c r="AG22" s="151">
        <f t="shared" si="7"/>
        <v>-1</v>
      </c>
    </row>
    <row r="23" spans="1:33" s="151" customFormat="1" x14ac:dyDescent="0.25">
      <c r="A23" s="149">
        <f t="shared" si="8"/>
        <v>18</v>
      </c>
      <c r="B23" s="149">
        <v>93887</v>
      </c>
      <c r="C23" s="149">
        <f t="shared" si="9"/>
        <v>0</v>
      </c>
      <c r="D23" s="149"/>
      <c r="E23" s="149">
        <v>27936</v>
      </c>
      <c r="F23" s="149">
        <f t="shared" si="13"/>
        <v>27326</v>
      </c>
      <c r="G23" s="149"/>
      <c r="H23" s="149">
        <f t="shared" si="10"/>
        <v>140099</v>
      </c>
      <c r="I23" s="149">
        <f t="shared" si="1"/>
        <v>0</v>
      </c>
      <c r="J23" s="149"/>
      <c r="K23" s="149">
        <f t="shared" si="2"/>
        <v>66561</v>
      </c>
      <c r="L23" s="149"/>
      <c r="M23" s="149">
        <f t="shared" si="11"/>
        <v>41858</v>
      </c>
      <c r="N23" s="149">
        <f>SUM('3rd Party Deals'!X23)</f>
        <v>11316</v>
      </c>
      <c r="O23" s="149">
        <f>SUM('Spot wENA'!Z23)</f>
        <v>-1316</v>
      </c>
      <c r="P23" s="150">
        <f t="shared" si="12"/>
        <v>51858</v>
      </c>
      <c r="Q23" s="149"/>
      <c r="R23" s="150">
        <f t="shared" si="3"/>
        <v>79184</v>
      </c>
      <c r="S23" s="149"/>
      <c r="T23" s="149">
        <f t="shared" si="4"/>
        <v>14703</v>
      </c>
      <c r="V23" s="149">
        <f t="shared" si="5"/>
        <v>0</v>
      </c>
      <c r="X23" s="152">
        <v>8.2650000000000006</v>
      </c>
      <c r="Y23" s="152">
        <f t="shared" si="6"/>
        <v>8.48</v>
      </c>
      <c r="AB23" s="151">
        <v>15031</v>
      </c>
      <c r="AE23" s="151">
        <v>27326</v>
      </c>
      <c r="AG23" s="151">
        <f t="shared" si="7"/>
        <v>0</v>
      </c>
    </row>
    <row r="24" spans="1:33" s="151" customFormat="1" x14ac:dyDescent="0.25">
      <c r="A24" s="149">
        <f t="shared" si="8"/>
        <v>19</v>
      </c>
      <c r="B24" s="149">
        <v>112005</v>
      </c>
      <c r="C24" s="149">
        <f t="shared" si="9"/>
        <v>0</v>
      </c>
      <c r="D24" s="149"/>
      <c r="E24" s="149">
        <v>60723</v>
      </c>
      <c r="F24" s="149">
        <f t="shared" si="13"/>
        <v>59397</v>
      </c>
      <c r="G24" s="149"/>
      <c r="H24" s="149">
        <f t="shared" si="10"/>
        <v>140099</v>
      </c>
      <c r="I24" s="149">
        <f t="shared" si="1"/>
        <v>0</v>
      </c>
      <c r="J24" s="149"/>
      <c r="K24" s="149">
        <f t="shared" si="2"/>
        <v>52608</v>
      </c>
      <c r="L24" s="149"/>
      <c r="M24" s="149">
        <f t="shared" si="11"/>
        <v>41858</v>
      </c>
      <c r="N24" s="149">
        <f>SUM('3rd Party Deals'!X24)</f>
        <v>11316</v>
      </c>
      <c r="O24" s="149">
        <f>SUM('Spot wENA'!Z24)</f>
        <v>-1316</v>
      </c>
      <c r="P24" s="150">
        <f t="shared" si="12"/>
        <v>51858</v>
      </c>
      <c r="Q24" s="149"/>
      <c r="R24" s="150">
        <f t="shared" si="3"/>
        <v>111255</v>
      </c>
      <c r="S24" s="149"/>
      <c r="T24" s="149">
        <f t="shared" si="4"/>
        <v>750</v>
      </c>
      <c r="V24" s="149">
        <f t="shared" si="5"/>
        <v>0</v>
      </c>
      <c r="X24" s="152">
        <v>9.9250000000000007</v>
      </c>
      <c r="Y24" s="152">
        <f t="shared" si="6"/>
        <v>10.18</v>
      </c>
      <c r="AB24" s="151">
        <v>768</v>
      </c>
      <c r="AE24" s="151">
        <v>59396</v>
      </c>
      <c r="AG24" s="151">
        <f t="shared" si="7"/>
        <v>1</v>
      </c>
    </row>
    <row r="25" spans="1:33" s="169" customFormat="1" x14ac:dyDescent="0.25">
      <c r="A25" s="167">
        <f t="shared" si="8"/>
        <v>20</v>
      </c>
      <c r="B25" s="167">
        <v>101839</v>
      </c>
      <c r="C25" s="167">
        <f t="shared" ref="C25:C36" si="14">+C24</f>
        <v>0</v>
      </c>
      <c r="D25" s="167"/>
      <c r="E25" s="167">
        <v>44100</v>
      </c>
      <c r="F25" s="167">
        <f t="shared" si="13"/>
        <v>43137</v>
      </c>
      <c r="G25" s="167"/>
      <c r="H25" s="167">
        <f t="shared" si="10"/>
        <v>140099</v>
      </c>
      <c r="I25" s="167">
        <f t="shared" si="1"/>
        <v>0</v>
      </c>
      <c r="J25" s="167"/>
      <c r="K25" s="167">
        <f t="shared" si="2"/>
        <v>58702</v>
      </c>
      <c r="L25" s="167"/>
      <c r="M25" s="167">
        <f t="shared" si="11"/>
        <v>41858</v>
      </c>
      <c r="N25" s="167">
        <f>SUM('3rd Party Deals'!X25)</f>
        <v>11316</v>
      </c>
      <c r="O25" s="167">
        <f>SUM('Spot wENA'!Z25)</f>
        <v>8684</v>
      </c>
      <c r="P25" s="168">
        <f t="shared" si="12"/>
        <v>61858</v>
      </c>
      <c r="Q25" s="167"/>
      <c r="R25" s="168">
        <f t="shared" si="3"/>
        <v>0</v>
      </c>
      <c r="S25" s="167"/>
      <c r="T25" s="167">
        <f t="shared" si="4"/>
        <v>0</v>
      </c>
      <c r="V25" s="167">
        <f t="shared" si="5"/>
        <v>3156</v>
      </c>
      <c r="X25" s="170">
        <v>9.59</v>
      </c>
      <c r="Y25" s="170">
        <f t="shared" si="6"/>
        <v>9.84</v>
      </c>
      <c r="AB25" s="169">
        <v>-3221</v>
      </c>
      <c r="AE25" s="169">
        <v>43132</v>
      </c>
      <c r="AG25" s="169">
        <f t="shared" si="7"/>
        <v>5</v>
      </c>
    </row>
    <row r="26" spans="1:33" s="169" customFormat="1" x14ac:dyDescent="0.25">
      <c r="A26" s="167">
        <f t="shared" si="8"/>
        <v>21</v>
      </c>
      <c r="B26" s="167">
        <v>107788</v>
      </c>
      <c r="C26" s="167">
        <f t="shared" si="14"/>
        <v>0</v>
      </c>
      <c r="D26" s="167"/>
      <c r="E26" s="167">
        <v>47836</v>
      </c>
      <c r="F26" s="167">
        <f t="shared" si="13"/>
        <v>46791</v>
      </c>
      <c r="G26" s="167"/>
      <c r="H26" s="167">
        <f t="shared" si="10"/>
        <v>140099</v>
      </c>
      <c r="I26" s="167">
        <f t="shared" si="1"/>
        <v>0</v>
      </c>
      <c r="J26" s="167"/>
      <c r="K26" s="167">
        <f t="shared" si="2"/>
        <v>60997</v>
      </c>
      <c r="L26" s="167"/>
      <c r="M26" s="167">
        <f t="shared" si="11"/>
        <v>41858</v>
      </c>
      <c r="N26" s="167">
        <f>SUM('3rd Party Deals'!X26)</f>
        <v>11316</v>
      </c>
      <c r="O26" s="167">
        <f>SUM('Spot wENA'!Z26)</f>
        <v>8684</v>
      </c>
      <c r="P26" s="168">
        <f t="shared" si="12"/>
        <v>61858</v>
      </c>
      <c r="Q26" s="167"/>
      <c r="R26" s="168">
        <f t="shared" si="3"/>
        <v>0</v>
      </c>
      <c r="S26" s="167"/>
      <c r="T26" s="167">
        <f t="shared" si="4"/>
        <v>0</v>
      </c>
      <c r="V26" s="167">
        <f t="shared" si="5"/>
        <v>861</v>
      </c>
      <c r="X26" s="170">
        <v>10.455</v>
      </c>
      <c r="Y26" s="170">
        <f t="shared" si="6"/>
        <v>10.72</v>
      </c>
      <c r="AB26" s="169">
        <v>-881</v>
      </c>
      <c r="AE26" s="169">
        <v>46792</v>
      </c>
      <c r="AG26" s="169">
        <f t="shared" si="7"/>
        <v>-1</v>
      </c>
    </row>
    <row r="27" spans="1:33" s="169" customFormat="1" x14ac:dyDescent="0.25">
      <c r="A27" s="167">
        <f t="shared" si="8"/>
        <v>22</v>
      </c>
      <c r="B27" s="167">
        <v>133399</v>
      </c>
      <c r="C27" s="167">
        <f t="shared" si="14"/>
        <v>0</v>
      </c>
      <c r="D27" s="167"/>
      <c r="E27" s="167">
        <v>71416</v>
      </c>
      <c r="F27" s="167">
        <f t="shared" si="13"/>
        <v>69856</v>
      </c>
      <c r="G27" s="167"/>
      <c r="H27" s="167">
        <f t="shared" si="10"/>
        <v>140099</v>
      </c>
      <c r="I27" s="167">
        <f t="shared" si="1"/>
        <v>0</v>
      </c>
      <c r="J27" s="167"/>
      <c r="K27" s="167">
        <f t="shared" si="2"/>
        <v>63543</v>
      </c>
      <c r="L27" s="167"/>
      <c r="M27" s="167">
        <f t="shared" si="11"/>
        <v>41858</v>
      </c>
      <c r="N27" s="167">
        <f>SUM('3rd Party Deals'!X27)</f>
        <v>11316</v>
      </c>
      <c r="O27" s="167">
        <f>SUM('Spot wENA'!Z27)</f>
        <v>8684</v>
      </c>
      <c r="P27" s="168">
        <f t="shared" si="12"/>
        <v>61858</v>
      </c>
      <c r="Q27" s="167"/>
      <c r="R27" s="168">
        <f t="shared" si="3"/>
        <v>131714</v>
      </c>
      <c r="S27" s="167"/>
      <c r="T27" s="167">
        <f t="shared" si="4"/>
        <v>1685</v>
      </c>
      <c r="V27" s="167">
        <f t="shared" si="5"/>
        <v>0</v>
      </c>
      <c r="X27" s="170">
        <v>11.045</v>
      </c>
      <c r="Y27" s="170">
        <f t="shared" si="6"/>
        <v>11.32</v>
      </c>
      <c r="AB27" s="169">
        <v>2135</v>
      </c>
      <c r="AE27" s="169">
        <v>70126</v>
      </c>
      <c r="AG27" s="169">
        <f t="shared" si="7"/>
        <v>-270</v>
      </c>
    </row>
    <row r="28" spans="1:33" s="162" customFormat="1" x14ac:dyDescent="0.25">
      <c r="A28" s="160">
        <f t="shared" si="8"/>
        <v>23</v>
      </c>
      <c r="B28" s="160">
        <v>92698</v>
      </c>
      <c r="C28" s="160">
        <v>4250</v>
      </c>
      <c r="D28" s="160"/>
      <c r="E28" s="160">
        <v>37455</v>
      </c>
      <c r="F28" s="160">
        <f t="shared" si="13"/>
        <v>36637</v>
      </c>
      <c r="G28" s="160"/>
      <c r="H28" s="160">
        <f t="shared" si="10"/>
        <v>140099</v>
      </c>
      <c r="I28" s="160">
        <f t="shared" si="1"/>
        <v>0</v>
      </c>
      <c r="J28" s="160"/>
      <c r="K28" s="149">
        <f t="shared" si="2"/>
        <v>60311</v>
      </c>
      <c r="L28" s="160"/>
      <c r="M28" s="160">
        <f t="shared" si="11"/>
        <v>41858</v>
      </c>
      <c r="N28" s="160">
        <f>SUM('3rd Party Deals'!X28)</f>
        <v>11316</v>
      </c>
      <c r="O28" s="160">
        <f>SUM('Spot wENA'!Z28)</f>
        <v>9104</v>
      </c>
      <c r="P28" s="161">
        <f t="shared" si="12"/>
        <v>62278</v>
      </c>
      <c r="Q28" s="160"/>
      <c r="R28" s="161">
        <f t="shared" si="3"/>
        <v>0</v>
      </c>
      <c r="S28" s="160"/>
      <c r="T28" s="160">
        <f t="shared" si="4"/>
        <v>0</v>
      </c>
      <c r="V28" s="160">
        <f t="shared" si="5"/>
        <v>1967</v>
      </c>
      <c r="X28" s="163">
        <v>10.87</v>
      </c>
      <c r="Y28" s="163">
        <f t="shared" si="6"/>
        <v>11.15</v>
      </c>
      <c r="AB28" s="162">
        <v>-10170</v>
      </c>
      <c r="AE28" s="162">
        <v>36131</v>
      </c>
      <c r="AG28" s="151">
        <f t="shared" si="7"/>
        <v>506</v>
      </c>
    </row>
    <row r="29" spans="1:33" s="162" customFormat="1" x14ac:dyDescent="0.25">
      <c r="A29" s="160">
        <f t="shared" si="8"/>
        <v>24</v>
      </c>
      <c r="B29" s="160">
        <v>122733</v>
      </c>
      <c r="C29" s="160">
        <f t="shared" si="14"/>
        <v>4250</v>
      </c>
      <c r="D29" s="160"/>
      <c r="E29" s="160">
        <v>55456</v>
      </c>
      <c r="F29" s="160">
        <f t="shared" si="13"/>
        <v>54245</v>
      </c>
      <c r="G29" s="160"/>
      <c r="H29" s="160">
        <f t="shared" si="10"/>
        <v>140099</v>
      </c>
      <c r="I29" s="160">
        <f t="shared" si="1"/>
        <v>0</v>
      </c>
      <c r="J29" s="160"/>
      <c r="K29" s="149">
        <f t="shared" si="2"/>
        <v>72738</v>
      </c>
      <c r="L29" s="160"/>
      <c r="M29" s="160">
        <f t="shared" si="11"/>
        <v>41858</v>
      </c>
      <c r="N29" s="160">
        <f>SUM('3rd Party Deals'!X29)</f>
        <v>11316</v>
      </c>
      <c r="O29" s="160">
        <f>SUM('Spot wENA'!Z29)</f>
        <v>9104</v>
      </c>
      <c r="P29" s="161">
        <f t="shared" si="12"/>
        <v>62278</v>
      </c>
      <c r="Q29" s="160"/>
      <c r="R29" s="161">
        <f t="shared" si="3"/>
        <v>112273</v>
      </c>
      <c r="S29" s="160"/>
      <c r="T29" s="160">
        <f t="shared" si="4"/>
        <v>10460</v>
      </c>
      <c r="V29" s="160">
        <f t="shared" si="5"/>
        <v>0</v>
      </c>
      <c r="X29" s="163">
        <v>10.87</v>
      </c>
      <c r="Y29" s="163">
        <f t="shared" si="6"/>
        <v>11.15</v>
      </c>
      <c r="AB29" s="162">
        <v>-7682</v>
      </c>
      <c r="AE29" s="162">
        <v>55720</v>
      </c>
      <c r="AG29" s="151">
        <f t="shared" si="7"/>
        <v>-1475</v>
      </c>
    </row>
    <row r="30" spans="1:33" s="162" customFormat="1" x14ac:dyDescent="0.25">
      <c r="A30" s="160">
        <f t="shared" si="8"/>
        <v>25</v>
      </c>
      <c r="B30" s="160">
        <v>127991</v>
      </c>
      <c r="C30" s="160">
        <f t="shared" si="14"/>
        <v>4250</v>
      </c>
      <c r="D30" s="160"/>
      <c r="E30" s="160">
        <v>60796</v>
      </c>
      <c r="F30" s="160">
        <f t="shared" si="13"/>
        <v>59468</v>
      </c>
      <c r="G30" s="160"/>
      <c r="H30" s="160">
        <f t="shared" si="10"/>
        <v>140099</v>
      </c>
      <c r="I30" s="160">
        <f t="shared" si="1"/>
        <v>0</v>
      </c>
      <c r="J30" s="160"/>
      <c r="K30" s="149">
        <f t="shared" si="2"/>
        <v>72773</v>
      </c>
      <c r="L30" s="160"/>
      <c r="M30" s="160">
        <f t="shared" si="11"/>
        <v>41858</v>
      </c>
      <c r="N30" s="160">
        <f>SUM('3rd Party Deals'!X30)</f>
        <v>11316</v>
      </c>
      <c r="O30" s="160">
        <f>SUM('Spot wENA'!Z30)</f>
        <v>9104</v>
      </c>
      <c r="P30" s="161">
        <f t="shared" si="12"/>
        <v>62278</v>
      </c>
      <c r="Q30" s="160"/>
      <c r="R30" s="161">
        <f t="shared" si="3"/>
        <v>117496</v>
      </c>
      <c r="S30" s="160"/>
      <c r="T30" s="160">
        <f t="shared" si="4"/>
        <v>10495</v>
      </c>
      <c r="V30" s="160">
        <f t="shared" si="5"/>
        <v>0</v>
      </c>
      <c r="X30" s="163">
        <v>10.87</v>
      </c>
      <c r="Y30" s="163">
        <f t="shared" si="6"/>
        <v>11.15</v>
      </c>
      <c r="AB30" s="162">
        <v>-7648</v>
      </c>
      <c r="AE30" s="162">
        <v>59468</v>
      </c>
      <c r="AG30" s="151">
        <f t="shared" si="7"/>
        <v>0</v>
      </c>
    </row>
    <row r="31" spans="1:33" s="162" customFormat="1" x14ac:dyDescent="0.25">
      <c r="A31" s="160">
        <f t="shared" si="8"/>
        <v>26</v>
      </c>
      <c r="B31" s="160">
        <v>97532</v>
      </c>
      <c r="C31" s="160">
        <f t="shared" si="14"/>
        <v>4250</v>
      </c>
      <c r="D31" s="160"/>
      <c r="E31" s="160">
        <v>25617</v>
      </c>
      <c r="F31" s="160">
        <f t="shared" si="13"/>
        <v>25058</v>
      </c>
      <c r="G31" s="160"/>
      <c r="H31" s="160">
        <f t="shared" si="10"/>
        <v>140099</v>
      </c>
      <c r="I31" s="160">
        <f t="shared" si="1"/>
        <v>0</v>
      </c>
      <c r="J31" s="160"/>
      <c r="K31" s="160">
        <f t="shared" si="2"/>
        <v>76724</v>
      </c>
      <c r="L31" s="160"/>
      <c r="M31" s="160">
        <f t="shared" si="11"/>
        <v>41858</v>
      </c>
      <c r="N31" s="160">
        <f>SUM('3rd Party Deals'!X31)</f>
        <v>11316</v>
      </c>
      <c r="O31" s="160">
        <f>SUM('Spot wENA'!Z31)</f>
        <v>9104</v>
      </c>
      <c r="P31" s="161">
        <f t="shared" si="12"/>
        <v>62278</v>
      </c>
      <c r="Q31" s="160"/>
      <c r="R31" s="161">
        <f t="shared" si="3"/>
        <v>83086</v>
      </c>
      <c r="S31" s="160"/>
      <c r="T31" s="160">
        <f t="shared" si="4"/>
        <v>14446</v>
      </c>
      <c r="V31" s="160">
        <f t="shared" si="5"/>
        <v>0</v>
      </c>
      <c r="X31" s="163">
        <v>10.87</v>
      </c>
      <c r="Y31" s="163">
        <f t="shared" si="6"/>
        <v>11.15</v>
      </c>
      <c r="AB31" s="162">
        <v>-2032</v>
      </c>
      <c r="AE31" s="162">
        <v>32794</v>
      </c>
    </row>
    <row r="32" spans="1:33" s="162" customFormat="1" x14ac:dyDescent="0.25">
      <c r="A32" s="160">
        <f t="shared" si="8"/>
        <v>27</v>
      </c>
      <c r="B32" s="160">
        <v>98355</v>
      </c>
      <c r="C32" s="160">
        <f t="shared" si="14"/>
        <v>4250</v>
      </c>
      <c r="D32" s="160"/>
      <c r="E32" s="160">
        <v>31539</v>
      </c>
      <c r="F32" s="160">
        <f t="shared" si="13"/>
        <v>30850</v>
      </c>
      <c r="G32" s="160"/>
      <c r="H32" s="160">
        <f t="shared" si="10"/>
        <v>140099</v>
      </c>
      <c r="I32" s="160">
        <f t="shared" si="1"/>
        <v>0</v>
      </c>
      <c r="J32" s="160"/>
      <c r="K32" s="160">
        <f t="shared" si="2"/>
        <v>71755</v>
      </c>
      <c r="L32" s="160"/>
      <c r="M32" s="160">
        <f t="shared" si="11"/>
        <v>41858</v>
      </c>
      <c r="N32" s="160">
        <f>SUM('3rd Party Deals'!X32)</f>
        <v>11316</v>
      </c>
      <c r="O32" s="160">
        <f>SUM('Spot wENA'!Z32)</f>
        <v>9104</v>
      </c>
      <c r="P32" s="161">
        <f t="shared" si="12"/>
        <v>62278</v>
      </c>
      <c r="Q32" s="160"/>
      <c r="R32" s="161">
        <f t="shared" si="3"/>
        <v>88878</v>
      </c>
      <c r="S32" s="160"/>
      <c r="T32" s="160">
        <f t="shared" si="4"/>
        <v>9477</v>
      </c>
      <c r="V32" s="160">
        <f t="shared" si="5"/>
        <v>0</v>
      </c>
      <c r="X32" s="163">
        <v>10.75</v>
      </c>
      <c r="Y32" s="163">
        <f t="shared" si="6"/>
        <v>11.02</v>
      </c>
      <c r="AB32" s="162">
        <v>1525</v>
      </c>
      <c r="AE32" s="162">
        <v>30539</v>
      </c>
    </row>
    <row r="33" spans="1:25" s="121" customFormat="1" x14ac:dyDescent="0.25">
      <c r="A33" s="117">
        <f t="shared" si="8"/>
        <v>28</v>
      </c>
      <c r="B33" s="117">
        <v>72487</v>
      </c>
      <c r="C33" s="117">
        <f t="shared" si="14"/>
        <v>4250</v>
      </c>
      <c r="D33" s="117"/>
      <c r="E33" s="117">
        <v>39388</v>
      </c>
      <c r="F33" s="117">
        <f t="shared" si="13"/>
        <v>38528</v>
      </c>
      <c r="G33" s="117"/>
      <c r="H33" s="117">
        <f t="shared" si="10"/>
        <v>140099</v>
      </c>
      <c r="I33" s="117">
        <f t="shared" si="1"/>
        <v>0</v>
      </c>
      <c r="J33" s="117"/>
      <c r="K33" s="149">
        <f t="shared" si="2"/>
        <v>38209</v>
      </c>
      <c r="L33" s="117"/>
      <c r="M33" s="117">
        <f t="shared" si="11"/>
        <v>41858</v>
      </c>
      <c r="N33" s="117">
        <f>SUM('3rd Party Deals'!X33)</f>
        <v>11316</v>
      </c>
      <c r="O33" s="117">
        <f>SUM('Spot wENA'!Z33)</f>
        <v>9104</v>
      </c>
      <c r="P33" s="120">
        <f t="shared" si="12"/>
        <v>62278</v>
      </c>
      <c r="Q33" s="117"/>
      <c r="R33" s="120">
        <f t="shared" si="3"/>
        <v>0</v>
      </c>
      <c r="S33" s="117"/>
      <c r="T33" s="117">
        <f t="shared" si="4"/>
        <v>0</v>
      </c>
      <c r="V33" s="117">
        <f t="shared" si="5"/>
        <v>24069</v>
      </c>
      <c r="X33" s="140"/>
      <c r="Y33" s="140">
        <f t="shared" si="6"/>
        <v>0.03</v>
      </c>
    </row>
    <row r="34" spans="1:25" s="121" customFormat="1" x14ac:dyDescent="0.25">
      <c r="A34" s="117">
        <f t="shared" si="8"/>
        <v>29</v>
      </c>
      <c r="B34" s="117">
        <f>+B33</f>
        <v>72487</v>
      </c>
      <c r="C34" s="117">
        <f t="shared" si="14"/>
        <v>4250</v>
      </c>
      <c r="D34" s="117"/>
      <c r="E34" s="117">
        <v>29000</v>
      </c>
      <c r="F34" s="117">
        <f t="shared" si="13"/>
        <v>28367</v>
      </c>
      <c r="G34" s="117"/>
      <c r="H34" s="117">
        <f t="shared" si="10"/>
        <v>140099</v>
      </c>
      <c r="I34" s="117">
        <f t="shared" si="1"/>
        <v>0</v>
      </c>
      <c r="J34" s="117"/>
      <c r="K34" s="149">
        <f t="shared" si="2"/>
        <v>48370</v>
      </c>
      <c r="L34" s="117"/>
      <c r="M34" s="117">
        <f t="shared" si="11"/>
        <v>41858</v>
      </c>
      <c r="N34" s="117">
        <f>SUM('3rd Party Deals'!X34)</f>
        <v>11316</v>
      </c>
      <c r="O34" s="117">
        <f>SUM('Spot wENA'!Z34)</f>
        <v>9104</v>
      </c>
      <c r="P34" s="120">
        <f t="shared" si="12"/>
        <v>62278</v>
      </c>
      <c r="Q34" s="117"/>
      <c r="R34" s="120">
        <f t="shared" si="3"/>
        <v>0</v>
      </c>
      <c r="S34" s="117"/>
      <c r="T34" s="117">
        <f t="shared" si="4"/>
        <v>0</v>
      </c>
      <c r="V34" s="117">
        <f t="shared" si="5"/>
        <v>13908</v>
      </c>
      <c r="X34" s="140">
        <v>9.43</v>
      </c>
      <c r="Y34" s="140">
        <f t="shared" si="6"/>
        <v>9.67</v>
      </c>
    </row>
    <row r="35" spans="1:25" s="121" customFormat="1" x14ac:dyDescent="0.25">
      <c r="A35" s="117">
        <f>+A34+1</f>
        <v>30</v>
      </c>
      <c r="B35" s="117">
        <f>+B34</f>
        <v>72487</v>
      </c>
      <c r="C35" s="117">
        <f t="shared" si="14"/>
        <v>4250</v>
      </c>
      <c r="D35" s="117"/>
      <c r="E35" s="117">
        <f>+E34</f>
        <v>29000</v>
      </c>
      <c r="F35" s="117">
        <f t="shared" si="13"/>
        <v>28367</v>
      </c>
      <c r="G35" s="117"/>
      <c r="H35" s="117">
        <f t="shared" si="10"/>
        <v>140099</v>
      </c>
      <c r="I35" s="117">
        <f t="shared" si="1"/>
        <v>0</v>
      </c>
      <c r="J35" s="117"/>
      <c r="K35" s="149">
        <f t="shared" si="2"/>
        <v>48370</v>
      </c>
      <c r="L35" s="117"/>
      <c r="M35" s="117">
        <f t="shared" si="11"/>
        <v>41858</v>
      </c>
      <c r="N35" s="117">
        <f>SUM('3rd Party Deals'!X35)</f>
        <v>11316</v>
      </c>
      <c r="O35" s="117">
        <f>SUM('Spot wENA'!Z35)</f>
        <v>9104</v>
      </c>
      <c r="P35" s="120">
        <f t="shared" si="12"/>
        <v>62278</v>
      </c>
      <c r="Q35" s="117"/>
      <c r="R35" s="120">
        <f t="shared" si="3"/>
        <v>0</v>
      </c>
      <c r="S35" s="117"/>
      <c r="T35" s="117">
        <f t="shared" si="4"/>
        <v>0</v>
      </c>
      <c r="V35" s="117">
        <f t="shared" si="5"/>
        <v>13908</v>
      </c>
      <c r="X35" s="140"/>
      <c r="Y35" s="140">
        <f t="shared" si="6"/>
        <v>0.03</v>
      </c>
    </row>
    <row r="36" spans="1:25" s="121" customFormat="1" x14ac:dyDescent="0.25">
      <c r="A36" s="117">
        <f>+A35+1</f>
        <v>31</v>
      </c>
      <c r="B36" s="117">
        <f>+B35</f>
        <v>72487</v>
      </c>
      <c r="C36" s="117">
        <f t="shared" si="14"/>
        <v>4250</v>
      </c>
      <c r="D36" s="117"/>
      <c r="E36" s="117">
        <f>+E35</f>
        <v>29000</v>
      </c>
      <c r="F36" s="117">
        <f t="shared" si="13"/>
        <v>28367</v>
      </c>
      <c r="G36" s="117"/>
      <c r="H36" s="117">
        <f>+H35</f>
        <v>140099</v>
      </c>
      <c r="I36" s="117">
        <f>IF(B36-H36&gt;0,+B36-H36,0)</f>
        <v>0</v>
      </c>
      <c r="J36" s="117"/>
      <c r="K36" s="149">
        <f t="shared" si="2"/>
        <v>48370</v>
      </c>
      <c r="L36" s="117"/>
      <c r="M36" s="117">
        <f>+M35</f>
        <v>41858</v>
      </c>
      <c r="N36" s="117">
        <f>SUM('3rd Party Deals'!X36)</f>
        <v>11316</v>
      </c>
      <c r="O36" s="117">
        <f>SUM('Spot wENA'!Z36)</f>
        <v>9104</v>
      </c>
      <c r="P36" s="120">
        <f t="shared" si="12"/>
        <v>62278</v>
      </c>
      <c r="Q36" s="117"/>
      <c r="R36" s="120">
        <f t="shared" si="3"/>
        <v>0</v>
      </c>
      <c r="S36" s="117"/>
      <c r="T36" s="117">
        <f>IF(K36-P36&gt;0,K36-P36,0)</f>
        <v>0</v>
      </c>
      <c r="V36" s="117">
        <f>IF(P36-K36&gt;0,P36-K36,0)</f>
        <v>13908</v>
      </c>
      <c r="X36" s="140"/>
      <c r="Y36" s="140">
        <f t="shared" si="6"/>
        <v>0.03</v>
      </c>
    </row>
    <row r="37" spans="1:25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X37" s="139"/>
    </row>
    <row r="38" spans="1:25" x14ac:dyDescent="0.25">
      <c r="A38" s="68"/>
      <c r="B38" s="68">
        <f>SUM(B6:B37)</f>
        <v>2713708</v>
      </c>
      <c r="C38" s="68">
        <f>SUM(C6:C37)</f>
        <v>38250</v>
      </c>
      <c r="D38" s="68"/>
      <c r="E38" s="68">
        <f>SUM(E6:E37)</f>
        <v>1148167</v>
      </c>
      <c r="F38" s="68">
        <f>SUM(F6:F37)</f>
        <v>1123092</v>
      </c>
      <c r="G38" s="68"/>
      <c r="H38" s="68"/>
      <c r="I38" s="68"/>
      <c r="J38" s="68"/>
      <c r="K38" s="68">
        <f>SUM(K6:K37)</f>
        <v>1628866</v>
      </c>
      <c r="L38" s="68"/>
      <c r="M38" s="68">
        <f>SUM(M6:M37)</f>
        <v>1297598</v>
      </c>
      <c r="N38" s="68">
        <f>SUM(N6:N37)</f>
        <v>350796</v>
      </c>
      <c r="O38" s="68">
        <f>SUM(O6:O37)</f>
        <v>-17016</v>
      </c>
      <c r="P38" s="68">
        <f>SUM(P6:P37)</f>
        <v>1631378</v>
      </c>
      <c r="Q38" s="68"/>
      <c r="R38" s="68">
        <f>SUM(R6:R37)</f>
        <v>1361716</v>
      </c>
      <c r="S38" s="68"/>
      <c r="T38" s="68">
        <f>SUM(T6:T37)</f>
        <v>121866</v>
      </c>
      <c r="V38" s="68">
        <f>SUM(V6:V37)</f>
        <v>124378</v>
      </c>
      <c r="X38" s="141"/>
    </row>
    <row r="48" spans="1:25" x14ac:dyDescent="0.25">
      <c r="V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7" activeCellId="1" sqref="C11 C7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3.2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3.2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3.2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3.2" x14ac:dyDescent="0.25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3.2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3.2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3.2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3.2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3.2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8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4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4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8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3.2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3.2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3.2" x14ac:dyDescent="0.25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3.2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3.2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3.2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3.2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3.2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3.2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8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8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3.2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3.2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3.2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3.2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3.2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3.2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3.2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3.2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3.2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3.2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3.2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3.2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3.2" x14ac:dyDescent="0.25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3.2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3.2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3.2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3.2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3.2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3.2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3.2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3.2" x14ac:dyDescent="0.25">
      <c r="A46" s="62" t="s">
        <v>32</v>
      </c>
      <c r="G46" s="25"/>
      <c r="H46" s="25"/>
    </row>
    <row r="47" spans="1:14" ht="13.2" x14ac:dyDescent="0.25">
      <c r="D47" s="83"/>
      <c r="F47" s="82"/>
      <c r="G47" s="25"/>
    </row>
    <row r="48" spans="1:14" ht="13.2" x14ac:dyDescent="0.25">
      <c r="K48" s="25"/>
      <c r="L48" s="61"/>
    </row>
    <row r="49" spans="1:14" ht="13.2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3.2" x14ac:dyDescent="0.25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3.2" x14ac:dyDescent="0.25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3.2" x14ac:dyDescent="0.25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3.2" x14ac:dyDescent="0.25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3.2" x14ac:dyDescent="0.25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3.2" x14ac:dyDescent="0.25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8" thickBot="1" x14ac:dyDescent="0.3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8" thickTop="1" x14ac:dyDescent="0.25">
      <c r="B58" s="25"/>
      <c r="C58" s="61"/>
      <c r="G58" s="60"/>
      <c r="H58" s="78"/>
    </row>
    <row r="59" spans="1:14" ht="13.2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3.2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3.2" x14ac:dyDescent="0.25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3.2" x14ac:dyDescent="0.25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3.2" x14ac:dyDescent="0.25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3.2" x14ac:dyDescent="0.25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3.2" x14ac:dyDescent="0.25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3.2" x14ac:dyDescent="0.25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8" thickBot="1" x14ac:dyDescent="0.3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8" thickTop="1" x14ac:dyDescent="0.25">
      <c r="B69" s="25"/>
      <c r="C69" s="61"/>
      <c r="G69" s="60"/>
      <c r="H69" s="78"/>
    </row>
    <row r="70" spans="1:14" ht="13.2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3.2" x14ac:dyDescent="0.25">
      <c r="A73" s="59" t="s">
        <v>101</v>
      </c>
      <c r="B73" s="25"/>
      <c r="C73" s="61">
        <v>2.0299999999999999E-2</v>
      </c>
    </row>
    <row r="74" spans="1:14" ht="13.2" x14ac:dyDescent="0.25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" thickBot="1" x14ac:dyDescent="0.25">
      <c r="A78" s="59" t="s">
        <v>105</v>
      </c>
      <c r="C78" s="91">
        <v>3.0428000000000002</v>
      </c>
      <c r="D78" s="59" t="s">
        <v>135</v>
      </c>
    </row>
    <row r="79" spans="1:14" ht="12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3.2" x14ac:dyDescent="0.25">
      <c r="A87" s="59" t="s">
        <v>101</v>
      </c>
      <c r="B87" s="25"/>
      <c r="C87" s="61">
        <v>2.2800000000000001E-2</v>
      </c>
    </row>
    <row r="88" spans="1:4" ht="13.2" x14ac:dyDescent="0.25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" thickTop="1" x14ac:dyDescent="0.2"/>
    <row r="98" spans="1:4" ht="12" x14ac:dyDescent="0.25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" thickTop="1" x14ac:dyDescent="0.2"/>
    <row r="108" spans="1:4" ht="12" x14ac:dyDescent="0.25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topLeftCell="A67" workbookViewId="0">
      <selection activeCell="F76" sqref="F76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5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5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5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5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5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5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5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5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5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5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5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5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5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5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5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5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5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5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5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5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5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5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5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5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5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5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5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5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5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5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5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5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5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5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5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5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5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5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5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5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81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5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5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5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 t="shared" si="3"/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5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 t="shared" si="3"/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5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 t="shared" si="3"/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5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3.7477999999999998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5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v>3.7477999999999998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5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v>3.7477999999999998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5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 t="shared" si="3"/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5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 t="shared" si="3"/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5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 t="shared" si="3"/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5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 t="shared" si="3"/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5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5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 t="shared" si="3"/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5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 t="shared" si="3"/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5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 t="shared" si="3"/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5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 t="shared" si="3"/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5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10">
        <f t="shared" si="3"/>
        <v>27309.533700000004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5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10">
        <f t="shared" si="3"/>
        <v>27140.425599999999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5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10">
        <f t="shared" si="3"/>
        <v>63722.000400000012</v>
      </c>
      <c r="U74" s="110"/>
      <c r="V74" s="123">
        <v>503104</v>
      </c>
      <c r="W74" s="103"/>
      <c r="X74" s="111"/>
      <c r="Y74" s="111"/>
    </row>
    <row r="75" spans="2:25" s="112" customFormat="1" x14ac:dyDescent="0.25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10">
        <f t="shared" si="3"/>
        <v>63320.764299999995</v>
      </c>
      <c r="U75" s="110"/>
      <c r="V75" s="123">
        <v>503104</v>
      </c>
      <c r="W75" s="103"/>
      <c r="X75" s="111"/>
      <c r="Y75" s="111"/>
    </row>
    <row r="76" spans="2:25" s="112" customFormat="1" x14ac:dyDescent="0.25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10">
        <f t="shared" si="3"/>
        <v>8447.0814999999984</v>
      </c>
      <c r="U76" s="110"/>
      <c r="V76" s="123">
        <v>506356</v>
      </c>
      <c r="W76" s="103"/>
      <c r="X76" s="111"/>
      <c r="Y76" s="111"/>
    </row>
    <row r="77" spans="2:25" s="112" customFormat="1" x14ac:dyDescent="0.25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10">
        <f t="shared" si="3"/>
        <v>8447.2520000000004</v>
      </c>
      <c r="U77" s="110"/>
      <c r="V77" s="123">
        <v>506356</v>
      </c>
      <c r="W77" s="103"/>
      <c r="X77" s="111"/>
      <c r="Y77" s="111"/>
    </row>
    <row r="78" spans="2:25" s="112" customFormat="1" x14ac:dyDescent="0.25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10">
        <f t="shared" si="3"/>
        <v>19710.850899999998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5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10">
        <f t="shared" si="3"/>
        <v>19715.256000000001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5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10">
        <f t="shared" si="3"/>
        <v>13997.8933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5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1526</v>
      </c>
      <c r="S81" s="127" t="s">
        <v>250</v>
      </c>
      <c r="T81" s="110">
        <f t="shared" si="3"/>
        <v>21650.125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5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3562</v>
      </c>
      <c r="S82" s="127" t="s">
        <v>253</v>
      </c>
      <c r="T82" s="110">
        <f>J82*J$1*R82</f>
        <v>50535.875</v>
      </c>
      <c r="U82" s="129"/>
      <c r="V82" s="130">
        <v>503132</v>
      </c>
      <c r="W82" s="127" t="s">
        <v>227</v>
      </c>
      <c r="X82" s="131"/>
      <c r="Y82" s="131"/>
    </row>
    <row r="83" spans="2:25" ht="13.8" thickBot="1" x14ac:dyDescent="0.3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425257.38829999999</v>
      </c>
      <c r="U83" s="28"/>
      <c r="V83" s="50"/>
      <c r="W83" s="55"/>
      <c r="X83" s="35"/>
      <c r="Y83" s="35"/>
    </row>
    <row r="84" spans="2:25" ht="13.8" thickTop="1" x14ac:dyDescent="0.25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5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5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x14ac:dyDescent="0.25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28">
        <f>+T83+T49+T27</f>
        <v>833271.1172154838</v>
      </c>
      <c r="U87" s="28"/>
      <c r="V87" s="50"/>
      <c r="W87" s="55"/>
      <c r="X87" s="35"/>
      <c r="Y87" s="35"/>
    </row>
    <row r="88" spans="2:25" x14ac:dyDescent="0.25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5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5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5">
      <c r="E91" s="38"/>
    </row>
    <row r="92" spans="2:25" x14ac:dyDescent="0.25">
      <c r="E92" s="38"/>
    </row>
    <row r="93" spans="2:25" x14ac:dyDescent="0.25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G52" workbookViewId="0">
      <selection activeCell="U73" sqref="U73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5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5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5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5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5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5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5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5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5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5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5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5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5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5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5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5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5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5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5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5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5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5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5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5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5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5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5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5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5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5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5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5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5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5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5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5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5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5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5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5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5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5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5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5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5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5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5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5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5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5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5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5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5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5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5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5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5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5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5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5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5">
      <c r="T68" s="9"/>
    </row>
    <row r="69" spans="2:24" x14ac:dyDescent="0.25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5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8" thickBot="1" x14ac:dyDescent="0.3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8" thickTop="1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5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5">
      <c r="Q78" s="34"/>
      <c r="R78" s="34"/>
      <c r="S78" s="34"/>
      <c r="T78" s="34"/>
      <c r="U78" s="49"/>
      <c r="V78" s="57"/>
      <c r="W78" s="49"/>
    </row>
    <row r="79" spans="2:24" x14ac:dyDescent="0.25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5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5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5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5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5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5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5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5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5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5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5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5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5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5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5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5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5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5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5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5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5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5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5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5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5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5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5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5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5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5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5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5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5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5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5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5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5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5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5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5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5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5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5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5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5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9.6" x14ac:dyDescent="0.25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9.6" x14ac:dyDescent="0.25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9.6" x14ac:dyDescent="0.25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9.6" x14ac:dyDescent="0.25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9.6" x14ac:dyDescent="0.25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9.6" x14ac:dyDescent="0.25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9.6" x14ac:dyDescent="0.25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9.6" x14ac:dyDescent="0.25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9.6" x14ac:dyDescent="0.25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9.6" x14ac:dyDescent="0.25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9.6" x14ac:dyDescent="0.25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9.6" x14ac:dyDescent="0.25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9.6" x14ac:dyDescent="0.25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9.6" x14ac:dyDescent="0.25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9.6" x14ac:dyDescent="0.25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9.6" x14ac:dyDescent="0.25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9.6" x14ac:dyDescent="0.25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9.6" x14ac:dyDescent="0.25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9.6" x14ac:dyDescent="0.25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9.6" x14ac:dyDescent="0.25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9.6" x14ac:dyDescent="0.25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9.6" x14ac:dyDescent="0.25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9.6" x14ac:dyDescent="0.25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9.6" x14ac:dyDescent="0.25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9.6" x14ac:dyDescent="0.25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9.6" x14ac:dyDescent="0.25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9.6" x14ac:dyDescent="0.25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9.6" x14ac:dyDescent="0.25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9.6" x14ac:dyDescent="0.25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9.6" x14ac:dyDescent="0.25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9.6" x14ac:dyDescent="0.25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2023-09-10T12:08:14Z</dcterms:modified>
</cp:coreProperties>
</file>