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4988" windowHeight="8232" tabRatio="627" activeTab="3"/>
  </bookViews>
  <sheets>
    <sheet name="IT &amp; Pooling" sheetId="10" r:id="rId1"/>
    <sheet name="CES IT" sheetId="18" r:id="rId2"/>
    <sheet name="Notes" sheetId="23" r:id="rId3"/>
    <sheet name="East Capacity" sheetId="17" r:id="rId4"/>
  </sheets>
  <definedNames>
    <definedName name="_xlnm.Print_Area" localSheetId="3">'East Capacity'!$A$1:$N$25</definedName>
  </definedNames>
  <calcPr calcId="92512"/>
</workbook>
</file>

<file path=xl/calcChain.xml><?xml version="1.0" encoding="utf-8"?>
<calcChain xmlns="http://schemas.openxmlformats.org/spreadsheetml/2006/main">
  <c r="I12" i="18" l="1"/>
  <c r="O12" i="18"/>
  <c r="S12" i="18"/>
  <c r="Q13" i="18"/>
  <c r="S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Q25" i="18"/>
  <c r="S25" i="18"/>
  <c r="T25" i="18"/>
  <c r="I10" i="17"/>
  <c r="M10" i="17"/>
  <c r="I11" i="17"/>
  <c r="M11" i="17"/>
  <c r="I12" i="17"/>
  <c r="M12" i="17"/>
  <c r="I13" i="17"/>
  <c r="M13" i="17"/>
  <c r="I14" i="17"/>
  <c r="M14" i="17"/>
  <c r="I17" i="17"/>
  <c r="M17" i="17"/>
  <c r="I18" i="17"/>
  <c r="M18" i="17"/>
  <c r="I19" i="17"/>
  <c r="M19" i="17"/>
  <c r="K21" i="17"/>
  <c r="M21" i="17"/>
  <c r="M23" i="17"/>
  <c r="I26" i="17"/>
  <c r="M26" i="17"/>
  <c r="I27" i="17"/>
  <c r="M27" i="17"/>
  <c r="I28" i="17"/>
  <c r="M28" i="17"/>
  <c r="M29" i="17"/>
  <c r="I30" i="17"/>
  <c r="M30" i="17"/>
  <c r="K32" i="17"/>
  <c r="M32" i="17"/>
  <c r="M35" i="17"/>
  <c r="M39" i="17"/>
  <c r="M40" i="17"/>
  <c r="M41" i="17"/>
  <c r="M42" i="17"/>
  <c r="M43" i="17"/>
  <c r="M44" i="17"/>
  <c r="M45" i="17"/>
  <c r="K47" i="17"/>
  <c r="M47" i="17"/>
  <c r="M48" i="17"/>
  <c r="M49" i="17"/>
  <c r="I52" i="17"/>
  <c r="M52" i="17"/>
  <c r="I53" i="17"/>
  <c r="M53" i="17"/>
  <c r="K55" i="17"/>
  <c r="M55" i="17"/>
  <c r="M56" i="17"/>
  <c r="M57" i="17"/>
  <c r="I60" i="17"/>
  <c r="M60" i="17"/>
  <c r="I61" i="17"/>
  <c r="M61" i="17"/>
  <c r="K63" i="17"/>
  <c r="M63" i="17"/>
  <c r="M64" i="17"/>
  <c r="M65" i="17"/>
  <c r="I70" i="17"/>
  <c r="M70" i="17"/>
  <c r="I71" i="17"/>
  <c r="M71" i="17"/>
  <c r="K73" i="17"/>
  <c r="M73" i="17"/>
  <c r="M74" i="17"/>
  <c r="M75" i="17"/>
  <c r="I78" i="17"/>
  <c r="M78" i="17"/>
  <c r="I79" i="17"/>
  <c r="M79" i="17"/>
  <c r="M80" i="17"/>
  <c r="I81" i="17"/>
  <c r="M81" i="17"/>
  <c r="M82" i="17"/>
  <c r="I83" i="17"/>
  <c r="M83" i="17"/>
  <c r="I84" i="17"/>
  <c r="M84" i="17"/>
  <c r="I86" i="17"/>
  <c r="M86" i="17"/>
  <c r="M94" i="17"/>
  <c r="M95" i="17"/>
  <c r="K97" i="17"/>
  <c r="M97" i="17"/>
  <c r="M98" i="17"/>
  <c r="M99" i="17"/>
  <c r="I102" i="17"/>
  <c r="M102" i="17"/>
  <c r="C104" i="17"/>
  <c r="K104" i="17"/>
  <c r="M104" i="17"/>
  <c r="M105" i="17"/>
  <c r="M106" i="17"/>
  <c r="M109" i="17"/>
  <c r="K111" i="17"/>
  <c r="M111" i="17"/>
  <c r="M113" i="17"/>
  <c r="O58" i="10"/>
  <c r="T58" i="10"/>
</calcChain>
</file>

<file path=xl/sharedStrings.xml><?xml version="1.0" encoding="utf-8"?>
<sst xmlns="http://schemas.openxmlformats.org/spreadsheetml/2006/main" count="793" uniqueCount="246">
  <si>
    <t>Texas Eastern</t>
  </si>
  <si>
    <t>Transco</t>
  </si>
  <si>
    <t>CGLF</t>
  </si>
  <si>
    <t>Onshore</t>
  </si>
  <si>
    <t xml:space="preserve">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</si>
  <si>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</si>
  <si>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</si>
  <si>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</si>
  <si>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</si>
  <si>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</si>
  <si>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</si>
  <si>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</si>
  <si>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</si>
  <si>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</si>
  <si>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</si>
  <si>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</si>
  <si>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</si>
  <si>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</si>
  <si>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</si>
  <si>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</si>
  <si>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</si>
  <si>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</si>
  <si>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</si>
  <si>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</si>
  <si>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</si>
  <si>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</si>
  <si>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</si>
  <si>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</si>
  <si>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tennessee</t>
  </si>
  <si>
    <t>Z5 - Wright</t>
  </si>
  <si>
    <t>Z6 - Various</t>
  </si>
  <si>
    <t>Niagara</t>
  </si>
  <si>
    <t>iroq</t>
  </si>
  <si>
    <t>r-1250-05</t>
  </si>
  <si>
    <t xml:space="preserve">  waddington </t>
  </si>
  <si>
    <t>wright</t>
  </si>
  <si>
    <t>cr-1250-08</t>
  </si>
  <si>
    <t>ECT</t>
  </si>
  <si>
    <t>CNG</t>
  </si>
  <si>
    <t>Tennessee</t>
  </si>
  <si>
    <t>Volume</t>
  </si>
  <si>
    <t>Leach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</si>
  <si>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</si>
  <si>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</si>
  <si>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</si>
  <si>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</si>
  <si>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</si>
  <si>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</si>
  <si>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</si>
  <si>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</si>
  <si>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</si>
  <si>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</si>
  <si>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</si>
  <si>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</si>
  <si>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</si>
  <si>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</si>
  <si>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</si>
  <si>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</si>
  <si>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</si>
  <si>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</si>
  <si>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</si>
  <si>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</si>
  <si>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</si>
  <si>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</si>
  <si>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</si>
  <si>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B10851</t>
  </si>
  <si>
    <t>TGP</t>
  </si>
  <si>
    <t>IT-BH</t>
  </si>
  <si>
    <t>Backhaul IT contract</t>
  </si>
  <si>
    <t>Buy</t>
  </si>
  <si>
    <t>Equitrans</t>
  </si>
  <si>
    <t>FT-R</t>
  </si>
  <si>
    <t>Master Firm contract - use to nominate firm capacity on rate schedule FT</t>
  </si>
  <si>
    <t>Sitara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</si>
  <si>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</si>
  <si>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</si>
  <si>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</si>
  <si>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</si>
  <si>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</si>
  <si>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</si>
  <si>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MCS105</t>
  </si>
  <si>
    <t>MCS</t>
  </si>
  <si>
    <t>Use for parking and loaning.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</si>
  <si>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</si>
  <si>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</si>
  <si>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</si>
  <si>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</si>
  <si>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</si>
  <si>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</si>
  <si>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</si>
  <si>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</si>
  <si>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</si>
  <si>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</si>
  <si>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</si>
  <si>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</si>
  <si>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Bridgeline Gas Distribution Co. LLC</t>
  </si>
  <si>
    <t>1-70-185</t>
  </si>
  <si>
    <t>Set up in Sitara</t>
  </si>
  <si>
    <t>Items have been checked</t>
  </si>
  <si>
    <t>Need to verify</t>
  </si>
  <si>
    <t>Reliant - Entex</t>
  </si>
  <si>
    <t>FS-MA</t>
  </si>
  <si>
    <t>I00454</t>
  </si>
  <si>
    <t>Marco</t>
  </si>
  <si>
    <t>ENA</t>
  </si>
  <si>
    <t>Iroquois</t>
  </si>
  <si>
    <t>R-1250-99</t>
  </si>
  <si>
    <t>Park &amp; Loan</t>
  </si>
  <si>
    <t>R-1250-01</t>
  </si>
  <si>
    <t>Est demand</t>
  </si>
  <si>
    <t>CES</t>
  </si>
  <si>
    <t>entex strg</t>
  </si>
  <si>
    <t>zone 1</t>
  </si>
  <si>
    <t xml:space="preserve">LGS </t>
  </si>
  <si>
    <t>LGS strg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</si>
  <si>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</si>
  <si>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</si>
  <si>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</si>
  <si>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</si>
  <si>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</si>
  <si>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</si>
  <si>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</si>
  <si>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</si>
  <si>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</si>
  <si>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</si>
  <si>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</si>
  <si>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</si>
  <si>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</si>
  <si>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</si>
  <si>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</si>
  <si>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</si>
  <si>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24,000 - NGPL Chalkely, 16,000 - Venice</t>
  </si>
  <si>
    <t>20,000 - Sonat Shadyside, 20,000 - FGT</t>
  </si>
  <si>
    <t>8,285 - Mobil Lowry, 8,774 - Erath, 3,200 - Henry, 5,395 - Venice</t>
  </si>
  <si>
    <t>801 Leach</t>
  </si>
  <si>
    <t>CES/Agency</t>
  </si>
  <si>
    <t>demand</t>
  </si>
  <si>
    <t>Col Gas</t>
  </si>
  <si>
    <t>CALP</t>
  </si>
  <si>
    <t>Type</t>
  </si>
  <si>
    <t>FTS</t>
  </si>
  <si>
    <t>Evergreen</t>
  </si>
  <si>
    <t>all</t>
  </si>
  <si>
    <t>1.1501</t>
  </si>
  <si>
    <t>CES IT Contract</t>
  </si>
  <si>
    <t>Total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</si>
  <si>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</si>
  <si>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</si>
  <si>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</si>
  <si>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</si>
  <si>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</si>
  <si>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</si>
  <si>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</si>
  <si>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</si>
  <si>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</si>
  <si>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</si>
  <si>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</si>
  <si>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</si>
  <si>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</si>
  <si>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</si>
  <si>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</si>
  <si>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</si>
  <si>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</si>
  <si>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</si>
  <si>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KO Transmission</t>
  </si>
  <si>
    <t>019</t>
  </si>
  <si>
    <t>Acquired from CES</t>
  </si>
  <si>
    <t>Cap Auction</t>
  </si>
  <si>
    <t>19E</t>
  </si>
  <si>
    <t>Mainline</t>
  </si>
  <si>
    <t>Y</t>
  </si>
  <si>
    <t>Texas Gas</t>
  </si>
  <si>
    <t xml:space="preserve">Buy </t>
  </si>
  <si>
    <t>Term=yr to yr, evergreen with 6 month termination notice.  ENA acquired this from Access Energy in 1993</t>
  </si>
  <si>
    <t>Demand charge billed on receipt volume</t>
  </si>
  <si>
    <t>Reimbursements</t>
  </si>
  <si>
    <t>Net Demand</t>
  </si>
  <si>
    <t>801 - Leach</t>
  </si>
  <si>
    <t>4 BG&amp;E</t>
  </si>
  <si>
    <t>13.36, see deal 224102</t>
  </si>
  <si>
    <t>La Gas Serv</t>
  </si>
  <si>
    <t>23n-2</t>
  </si>
  <si>
    <t>Chandeleur</t>
  </si>
  <si>
    <t>CI-30</t>
  </si>
  <si>
    <t>FGT</t>
  </si>
  <si>
    <t>Reimbursements/CES</t>
  </si>
  <si>
    <t>Agency/St of FGT</t>
  </si>
  <si>
    <t xml:space="preserve">Buy  </t>
  </si>
  <si>
    <t>Koch</t>
  </si>
  <si>
    <t>Entergy New Orleans</t>
  </si>
  <si>
    <t>Nopsi</t>
  </si>
  <si>
    <t>All receipts</t>
  </si>
  <si>
    <t>Seasonal MDQ, Nov-Mar 85,000 dth, April 42,500 dth, May-Sep 29,750 dth, Oct 42,500 dth</t>
  </si>
  <si>
    <t>8107  Evangeline</t>
  </si>
  <si>
    <t>8046  mamou</t>
  </si>
  <si>
    <t>H02262</t>
  </si>
  <si>
    <t>A02353</t>
  </si>
  <si>
    <t>ISS</t>
  </si>
  <si>
    <t>IAS</t>
  </si>
  <si>
    <t>Use when borrowing gas then paying back.</t>
  </si>
  <si>
    <t>Use when parking gas first then withdrawing.</t>
  </si>
  <si>
    <t xml:space="preserve"> 312309 / 362289</t>
  </si>
  <si>
    <t>Egan Storage</t>
  </si>
  <si>
    <t>ENA-00001</t>
  </si>
  <si>
    <t>8T001N</t>
  </si>
  <si>
    <t>8T001S</t>
  </si>
  <si>
    <t>8G001N</t>
  </si>
  <si>
    <t>8G001S</t>
  </si>
  <si>
    <t>Reimbursement captured on sales ticket 548711</t>
  </si>
  <si>
    <t>Ormet</t>
  </si>
  <si>
    <t xml:space="preserve">ENA </t>
  </si>
  <si>
    <t>Storage</t>
  </si>
  <si>
    <t>FTS1</t>
  </si>
  <si>
    <t>FTS2</t>
  </si>
  <si>
    <t>Multiple</t>
  </si>
  <si>
    <t>zone 2</t>
  </si>
  <si>
    <t>Sigicorp</t>
  </si>
  <si>
    <t>Onshore capacity - 16,000 of Venice capacity.  #19 in Transport Book</t>
  </si>
  <si>
    <t>#25471, Onshore capacity - 5,395 venice capacity.  #20 in Transport Book</t>
  </si>
  <si>
    <t>ENA acquired this from Access Energy in 1993, #17 in Transport Book</t>
  </si>
  <si>
    <t>Mainline capacity, #21 in Transport Book</t>
  </si>
  <si>
    <t>#24770, Mainline capacity, #24 in the transport book</t>
  </si>
  <si>
    <t>E-34</t>
  </si>
  <si>
    <t>#33941</t>
  </si>
  <si>
    <t>B00693-038181</t>
  </si>
  <si>
    <t>T0181230000</t>
  </si>
  <si>
    <t>#200110000095</t>
  </si>
  <si>
    <t xml:space="preserve">buy </t>
  </si>
  <si>
    <t>Dmean = $.18, Comm = $.02 plus ACA.  May not use for any other delivery point.</t>
  </si>
  <si>
    <t>500L #010698</t>
  </si>
  <si>
    <t>Broad Run - #020001</t>
  </si>
  <si>
    <t>12,000 - #481 Erath, 12,000 - #44943 Henry, 6,000 - #9535 Venice</t>
  </si>
  <si>
    <t>Enron Transportations &amp; Storage Contracts</t>
  </si>
  <si>
    <t>Columbia Gulf</t>
  </si>
  <si>
    <t>Section</t>
  </si>
  <si>
    <t>Material Changes.  If any information provided by Requestor pursuant to this Section materially changes, Requestor</t>
  </si>
  <si>
    <t>shall provide Transporter with prompt written notification of such changes.</t>
  </si>
  <si>
    <t>Enron</t>
  </si>
  <si>
    <t>Entity</t>
  </si>
  <si>
    <t>Start</t>
  </si>
  <si>
    <t>End</t>
  </si>
  <si>
    <t>Rec Point</t>
  </si>
  <si>
    <t>Creditworthiness of Shipper</t>
  </si>
  <si>
    <t>Releasing</t>
  </si>
  <si>
    <t>Shipper</t>
  </si>
  <si>
    <t>Recallabl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</si>
</sst>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87" formatCode="_(&quot;$&quot;* #,##0.000_);_(&quot;$&quot;* \(#,##0.000\);_(&quot;$&quot;* &quot;-&quot;??_);_(@_)"/>
  </numFmts>
  <fonts count="10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6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44" fontId="2" fillId="0" borderId="0" xfId="1" applyFont="1" applyFill="1" applyAlignment="1">
      <alignment horizontal="left"/>
    </xf>
    <xf numFmtId="0" fontId="0" fillId="0" borderId="0" xfId="0" applyFill="1" applyBorder="1"/>
    <xf numFmtId="0" fontId="6" fillId="0" borderId="0" xfId="0" applyFont="1" applyFill="1"/>
    <xf numFmtId="0" fontId="6" fillId="0" borderId="0" xfId="0" applyNumberFormat="1" applyFont="1" applyFill="1"/>
    <xf numFmtId="0" fontId="6" fillId="0" borderId="0" xfId="0" applyFont="1" applyFill="1" applyAlignment="1">
      <alignment horizontal="left"/>
    </xf>
    <xf numFmtId="38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Border="1" applyAlignment="1">
      <alignment horizontal="right"/>
    </xf>
    <xf numFmtId="49" fontId="6" fillId="0" borderId="0" xfId="0" applyNumberFormat="1" applyFont="1" applyFill="1" applyAlignment="1">
      <alignment horizontal="left"/>
    </xf>
    <xf numFmtId="16" fontId="5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16" fontId="5" fillId="0" borderId="0" xfId="0" applyNumberFormat="1" applyFont="1" applyFill="1" applyAlignment="1">
      <alignment horizontal="left"/>
    </xf>
    <xf numFmtId="0" fontId="6" fillId="0" borderId="0" xfId="0" applyFont="1" applyFill="1" applyBorder="1"/>
    <xf numFmtId="171" fontId="2" fillId="0" borderId="0" xfId="1" applyNumberFormat="1" applyFont="1" applyFill="1" applyAlignment="1">
      <alignment horizontal="righ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4" fillId="0" borderId="0" xfId="0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6" fillId="0" borderId="1" xfId="0" applyFont="1" applyFill="1" applyBorder="1"/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right"/>
    </xf>
    <xf numFmtId="171" fontId="2" fillId="0" borderId="0" xfId="0" applyNumberFormat="1" applyFont="1" applyFill="1" applyAlignment="1">
      <alignment horizontal="right"/>
    </xf>
    <xf numFmtId="1" fontId="2" fillId="0" borderId="0" xfId="0" quotePrefix="1" applyNumberFormat="1" applyFont="1" applyFill="1" applyAlignment="1">
      <alignment horizontal="center"/>
    </xf>
    <xf numFmtId="168" fontId="4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38" fontId="2" fillId="0" borderId="0" xfId="0" applyNumberFormat="1" applyFont="1" applyFill="1" applyAlignment="1"/>
    <xf numFmtId="16" fontId="8" fillId="0" borderId="0" xfId="0" applyNumberFormat="1" applyFont="1" applyFill="1" applyAlignment="1">
      <alignment horizontal="left"/>
    </xf>
    <xf numFmtId="16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Alignment="1">
      <alignment horizontal="center"/>
    </xf>
    <xf numFmtId="169" fontId="8" fillId="0" borderId="0" xfId="0" applyNumberFormat="1" applyFont="1" applyFill="1" applyAlignment="1">
      <alignment horizontal="center"/>
    </xf>
    <xf numFmtId="170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38" fontId="8" fillId="0" borderId="0" xfId="0" applyNumberFormat="1" applyFont="1" applyFill="1" applyAlignment="1">
      <alignment horizontal="right"/>
    </xf>
    <xf numFmtId="0" fontId="8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center"/>
    </xf>
    <xf numFmtId="38" fontId="3" fillId="0" borderId="1" xfId="0" applyNumberFormat="1" applyFont="1" applyFill="1" applyBorder="1" applyAlignment="1">
      <alignment horizontal="left"/>
    </xf>
    <xf numFmtId="170" fontId="2" fillId="0" borderId="1" xfId="0" applyNumberFormat="1" applyFont="1" applyFill="1" applyBorder="1" applyAlignment="1">
      <alignment horizontal="center"/>
    </xf>
    <xf numFmtId="38" fontId="3" fillId="0" borderId="1" xfId="0" applyNumberFormat="1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quotePrefix="1" applyNumberFormat="1" applyFont="1" applyFill="1" applyAlignment="1">
      <alignment horizontal="right"/>
    </xf>
    <xf numFmtId="1" fontId="2" fillId="0" borderId="0" xfId="0" applyNumberFormat="1" applyFont="1" applyFill="1" applyBorder="1" applyAlignment="1">
      <alignment horizontal="center"/>
    </xf>
    <xf numFmtId="38" fontId="2" fillId="0" borderId="0" xfId="0" quotePrefix="1" applyNumberFormat="1" applyFont="1" applyFill="1" applyBorder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3" fillId="0" borderId="0" xfId="0" applyNumberFormat="1" applyFont="1" applyFill="1" applyBorder="1" applyAlignment="1">
      <alignment horizontal="center"/>
    </xf>
    <xf numFmtId="170" fontId="0" fillId="0" borderId="0" xfId="0" applyNumberFormat="1" applyFill="1"/>
    <xf numFmtId="0" fontId="0" fillId="0" borderId="0" xfId="0" applyNumberFormat="1" applyFill="1" applyBorder="1"/>
    <xf numFmtId="0" fontId="3" fillId="0" borderId="1" xfId="0" applyNumberFormat="1" applyFont="1" applyFill="1" applyBorder="1" applyAlignment="1">
      <alignment horizontal="center"/>
    </xf>
    <xf numFmtId="0" fontId="8" fillId="0" borderId="0" xfId="0" applyNumberFormat="1" applyFont="1" applyFill="1" applyAlignment="1">
      <alignment horizontal="center"/>
    </xf>
    <xf numFmtId="187" fontId="2" fillId="0" borderId="0" xfId="1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center"/>
    </xf>
    <xf numFmtId="38" fontId="2" fillId="0" borderId="0" xfId="0" applyNumberFormat="1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38" fontId="9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center"/>
    </xf>
    <xf numFmtId="16" fontId="8" fillId="0" borderId="2" xfId="0" applyNumberFormat="1" applyFont="1" applyFill="1" applyBorder="1" applyAlignment="1">
      <alignment horizontal="left"/>
    </xf>
    <xf numFmtId="16" fontId="8" fillId="0" borderId="2" xfId="0" applyNumberFormat="1" applyFont="1" applyFill="1" applyBorder="1" applyAlignment="1">
      <alignment horizontal="center"/>
    </xf>
    <xf numFmtId="14" fontId="8" fillId="0" borderId="2" xfId="0" applyNumberFormat="1" applyFont="1" applyFill="1" applyBorder="1" applyAlignment="1">
      <alignment horizontal="center"/>
    </xf>
    <xf numFmtId="169" fontId="8" fillId="0" borderId="2" xfId="0" applyNumberFormat="1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center"/>
    </xf>
    <xf numFmtId="38" fontId="7" fillId="0" borderId="2" xfId="0" applyNumberFormat="1" applyFont="1" applyFill="1" applyBorder="1" applyAlignment="1">
      <alignment horizontal="right"/>
    </xf>
    <xf numFmtId="0" fontId="0" fillId="0" borderId="2" xfId="0" applyFill="1" applyBorder="1"/>
    <xf numFmtId="16" fontId="7" fillId="0" borderId="2" xfId="0" applyNumberFormat="1" applyFont="1" applyFill="1" applyBorder="1" applyAlignment="1">
      <alignment horizontal="left"/>
    </xf>
    <xf numFmtId="16" fontId="7" fillId="0" borderId="2" xfId="0" applyNumberFormat="1" applyFont="1" applyFill="1" applyBorder="1" applyAlignment="1">
      <alignment horizontal="center"/>
    </xf>
    <xf numFmtId="14" fontId="7" fillId="0" borderId="2" xfId="0" applyNumberFormat="1" applyFont="1" applyFill="1" applyBorder="1" applyAlignment="1">
      <alignment horizontal="center"/>
    </xf>
    <xf numFmtId="169" fontId="7" fillId="0" borderId="2" xfId="0" applyNumberFormat="1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0" fontId="6" fillId="0" borderId="2" xfId="0" applyFont="1" applyFill="1" applyBorder="1"/>
    <xf numFmtId="1" fontId="2" fillId="0" borderId="0" xfId="0" quotePrefix="1" applyNumberFormat="1" applyFont="1" applyFill="1" applyBorder="1" applyAlignment="1">
      <alignment horizontal="center"/>
    </xf>
    <xf numFmtId="38" fontId="2" fillId="0" borderId="3" xfId="0" applyNumberFormat="1" applyFont="1" applyFill="1" applyBorder="1" applyAlignment="1">
      <alignment horizontal="right"/>
    </xf>
    <xf numFmtId="38" fontId="2" fillId="0" borderId="4" xfId="0" applyNumberFormat="1" applyFont="1" applyFill="1" applyBorder="1" applyAlignment="1">
      <alignment horizontal="right"/>
    </xf>
    <xf numFmtId="12" fontId="2" fillId="0" borderId="0" xfId="0" applyNumberFormat="1" applyFont="1" applyFill="1" applyAlignment="1">
      <alignment horizontal="center"/>
    </xf>
    <xf numFmtId="4" fontId="2" fillId="0" borderId="0" xfId="0" applyNumberFormat="1" applyFont="1" applyFill="1" applyAlignment="1">
      <alignment horizontal="left"/>
    </xf>
    <xf numFmtId="1" fontId="2" fillId="0" borderId="1" xfId="0" quotePrefix="1" applyNumberFormat="1" applyFont="1" applyFill="1" applyBorder="1" applyAlignment="1">
      <alignment horizontal="center"/>
    </xf>
    <xf numFmtId="14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0"/>
  <sheetViews>
    <sheetView topLeftCell="A2" workbookViewId="0">
      <selection activeCell="B12" sqref="B12"/>
    </sheetView>
  </sheetViews>
  <sheetFormatPr defaultColWidth="9.109375" defaultRowHeight="13.2" x14ac:dyDescent="0.25"/>
  <cols>
    <col min="1" max="1" width="11.33203125" style="27" customWidth="1"/>
    <col min="2" max="2" width="12" style="31" customWidth="1"/>
    <col min="3" max="3" width="17.109375" style="31" customWidth="1"/>
    <col min="4" max="4" width="14.44140625" style="28" customWidth="1"/>
    <col min="5" max="5" width="3.6640625" style="28" customWidth="1"/>
    <col min="6" max="6" width="11.33203125" style="27" customWidth="1"/>
    <col min="7" max="7" width="15.5546875" style="29" customWidth="1"/>
    <col min="8" max="8" width="14" style="29" customWidth="1"/>
    <col min="9" max="9" width="9.109375" style="27"/>
    <col min="10" max="10" width="13.6640625" style="27" customWidth="1"/>
    <col min="11" max="11" width="9.109375" style="27"/>
    <col min="12" max="12" width="12.44140625" style="27" customWidth="1"/>
    <col min="13" max="16384" width="9.109375" style="27"/>
  </cols>
  <sheetData>
    <row r="1" spans="1:10" x14ac:dyDescent="0.25">
      <c r="A1" s="30" t="s">
        <v>47</v>
      </c>
      <c r="D1" s="31"/>
      <c r="E1" s="31"/>
      <c r="F1" s="32"/>
      <c r="G1" s="30"/>
      <c r="H1" s="30"/>
      <c r="I1" s="33"/>
      <c r="J1" s="34"/>
    </row>
    <row r="2" spans="1:10" x14ac:dyDescent="0.25">
      <c r="A2" s="30"/>
      <c r="D2" s="47"/>
      <c r="E2" s="47"/>
      <c r="F2" s="32"/>
      <c r="G2" s="30"/>
      <c r="H2" s="30"/>
      <c r="I2" s="33"/>
      <c r="J2" s="34"/>
    </row>
    <row r="3" spans="1:10" x14ac:dyDescent="0.25">
      <c r="A3" s="30"/>
      <c r="D3" s="47"/>
      <c r="E3" s="47"/>
      <c r="F3" s="32"/>
      <c r="G3" s="30" t="s">
        <v>4</v>
      </c>
      <c r="H3" s="30" t="s">
        <v>4</v>
      </c>
      <c r="I3" s="33"/>
      <c r="J3" s="34"/>
    </row>
    <row r="4" spans="1:10" x14ac:dyDescent="0.25">
      <c r="A4" s="33"/>
      <c r="D4" s="31"/>
      <c r="E4" s="31"/>
      <c r="F4" s="32"/>
      <c r="G4" s="35"/>
      <c r="H4" s="30"/>
      <c r="I4" s="33"/>
      <c r="J4" s="34"/>
    </row>
    <row r="5" spans="1:10" x14ac:dyDescent="0.25">
      <c r="A5" s="36" t="s">
        <v>48</v>
      </c>
      <c r="B5" s="37" t="s">
        <v>50</v>
      </c>
      <c r="C5" s="37" t="s">
        <v>73</v>
      </c>
      <c r="D5" s="37" t="s">
        <v>58</v>
      </c>
      <c r="E5" s="37"/>
      <c r="F5" s="38" t="s">
        <v>40</v>
      </c>
      <c r="G5" s="39" t="s">
        <v>51</v>
      </c>
      <c r="H5" s="39" t="s">
        <v>52</v>
      </c>
      <c r="I5" s="36" t="s">
        <v>40</v>
      </c>
      <c r="J5" s="39" t="s">
        <v>55</v>
      </c>
    </row>
    <row r="6" spans="1:10" x14ac:dyDescent="0.25">
      <c r="A6" s="33" t="s">
        <v>49</v>
      </c>
      <c r="B6" s="31">
        <v>0.30509999999999998</v>
      </c>
      <c r="C6" s="31">
        <v>77177</v>
      </c>
      <c r="D6" s="31" t="s">
        <v>59</v>
      </c>
      <c r="E6" s="31"/>
      <c r="F6" s="32"/>
      <c r="G6" s="30" t="s">
        <v>53</v>
      </c>
      <c r="H6" s="30" t="s">
        <v>53</v>
      </c>
      <c r="I6" s="33" t="s">
        <v>54</v>
      </c>
      <c r="J6" s="30" t="s">
        <v>57</v>
      </c>
    </row>
    <row r="7" spans="1:10" x14ac:dyDescent="0.25">
      <c r="A7" s="33" t="s">
        <v>49</v>
      </c>
      <c r="B7" s="31">
        <v>0.49830000000000002</v>
      </c>
      <c r="C7" s="31">
        <v>77169</v>
      </c>
      <c r="D7" s="31" t="s">
        <v>59</v>
      </c>
      <c r="E7" s="31"/>
      <c r="F7" s="32"/>
      <c r="G7" s="30" t="s">
        <v>53</v>
      </c>
      <c r="H7" s="30" t="s">
        <v>53</v>
      </c>
      <c r="I7" s="33" t="s">
        <v>54</v>
      </c>
      <c r="J7" s="30" t="s">
        <v>56</v>
      </c>
    </row>
    <row r="8" spans="1:10" x14ac:dyDescent="0.25">
      <c r="A8" s="33" t="s">
        <v>49</v>
      </c>
      <c r="B8" s="31">
        <v>0.2999</v>
      </c>
      <c r="D8" s="31" t="s">
        <v>59</v>
      </c>
      <c r="E8" s="31"/>
      <c r="F8" s="32"/>
      <c r="G8" s="30" t="s">
        <v>53</v>
      </c>
      <c r="H8" s="30" t="s">
        <v>53</v>
      </c>
      <c r="I8" s="33" t="s">
        <v>54</v>
      </c>
      <c r="J8" s="30" t="s">
        <v>56</v>
      </c>
    </row>
    <row r="9" spans="1:10" x14ac:dyDescent="0.25">
      <c r="A9" s="33" t="s">
        <v>49</v>
      </c>
      <c r="B9" s="31">
        <v>0.27739999999999998</v>
      </c>
      <c r="C9" s="31">
        <v>77175</v>
      </c>
      <c r="D9" s="31" t="s">
        <v>59</v>
      </c>
      <c r="E9" s="31"/>
      <c r="F9" s="32"/>
      <c r="G9" s="30" t="s">
        <v>53</v>
      </c>
      <c r="H9" s="30" t="s">
        <v>53</v>
      </c>
      <c r="I9" s="33" t="s">
        <v>54</v>
      </c>
      <c r="J9" s="30" t="s">
        <v>56</v>
      </c>
    </row>
    <row r="10" spans="1:10" x14ac:dyDescent="0.25">
      <c r="A10" s="33" t="s">
        <v>49</v>
      </c>
      <c r="B10" s="31">
        <v>0.75370000000000004</v>
      </c>
      <c r="C10" s="31">
        <v>82420</v>
      </c>
      <c r="D10" s="31" t="s">
        <v>71</v>
      </c>
      <c r="E10" s="31"/>
      <c r="F10" s="32"/>
      <c r="G10" s="30" t="s">
        <v>53</v>
      </c>
      <c r="H10" s="30" t="s">
        <v>53</v>
      </c>
      <c r="I10" s="33" t="s">
        <v>54</v>
      </c>
      <c r="J10" s="30" t="s">
        <v>72</v>
      </c>
    </row>
    <row r="11" spans="1:10" x14ac:dyDescent="0.25">
      <c r="A11" s="33" t="s">
        <v>49</v>
      </c>
      <c r="B11" s="31">
        <v>3.073</v>
      </c>
      <c r="C11" s="31">
        <v>96503</v>
      </c>
      <c r="D11" s="31" t="s">
        <v>78</v>
      </c>
      <c r="E11" s="31"/>
      <c r="F11" s="32"/>
      <c r="G11" s="30" t="s">
        <v>53</v>
      </c>
      <c r="H11" s="30" t="s">
        <v>53</v>
      </c>
      <c r="I11" s="33" t="s">
        <v>54</v>
      </c>
      <c r="J11" s="30" t="s">
        <v>79</v>
      </c>
    </row>
    <row r="12" spans="1:10" x14ac:dyDescent="0.25">
      <c r="A12" s="33" t="s">
        <v>49</v>
      </c>
      <c r="B12" s="31">
        <v>1.8793</v>
      </c>
      <c r="C12" s="31">
        <v>104783</v>
      </c>
      <c r="D12" s="31" t="s">
        <v>92</v>
      </c>
      <c r="E12" s="31"/>
      <c r="F12" s="32"/>
      <c r="G12" s="30" t="s">
        <v>53</v>
      </c>
      <c r="H12" s="30" t="s">
        <v>53</v>
      </c>
      <c r="I12" s="33" t="s">
        <v>54</v>
      </c>
      <c r="J12" s="30" t="s">
        <v>93</v>
      </c>
    </row>
    <row r="13" spans="1:10" x14ac:dyDescent="0.25">
      <c r="A13" s="33" t="s">
        <v>49</v>
      </c>
      <c r="B13" s="31">
        <v>0.90469999999999995</v>
      </c>
      <c r="C13" s="31">
        <v>168466</v>
      </c>
      <c r="D13" s="31" t="s">
        <v>157</v>
      </c>
      <c r="E13" s="31"/>
      <c r="F13" s="32"/>
      <c r="G13" s="30" t="s">
        <v>53</v>
      </c>
      <c r="H13" s="30" t="s">
        <v>53</v>
      </c>
      <c r="I13" s="33" t="s">
        <v>54</v>
      </c>
      <c r="J13" s="30" t="s">
        <v>158</v>
      </c>
    </row>
    <row r="15" spans="1:10" x14ac:dyDescent="0.25">
      <c r="A15" s="27" t="s">
        <v>182</v>
      </c>
      <c r="B15" s="31" t="s">
        <v>183</v>
      </c>
    </row>
    <row r="17" spans="1:10" x14ac:dyDescent="0.25">
      <c r="A17" s="27" t="s">
        <v>39</v>
      </c>
      <c r="B17" s="31">
        <v>2891</v>
      </c>
      <c r="D17" s="28" t="s">
        <v>59</v>
      </c>
      <c r="G17" s="29" t="s">
        <v>53</v>
      </c>
      <c r="H17" s="29" t="s">
        <v>53</v>
      </c>
    </row>
    <row r="18" spans="1:10" x14ac:dyDescent="0.25">
      <c r="A18" s="27" t="s">
        <v>39</v>
      </c>
      <c r="B18" s="31">
        <v>80045</v>
      </c>
      <c r="D18" s="28" t="s">
        <v>54</v>
      </c>
    </row>
    <row r="20" spans="1:10" x14ac:dyDescent="0.25">
      <c r="A20" s="27" t="s">
        <v>0</v>
      </c>
      <c r="B20" s="31" t="s">
        <v>65</v>
      </c>
      <c r="C20" s="31">
        <v>98243</v>
      </c>
      <c r="D20" s="28" t="s">
        <v>67</v>
      </c>
      <c r="G20" s="29" t="s">
        <v>53</v>
      </c>
      <c r="H20" s="29" t="s">
        <v>53</v>
      </c>
      <c r="J20" s="27" t="s">
        <v>68</v>
      </c>
    </row>
    <row r="21" spans="1:10" x14ac:dyDescent="0.25">
      <c r="A21" s="27" t="s">
        <v>0</v>
      </c>
      <c r="B21" s="31" t="s">
        <v>65</v>
      </c>
      <c r="C21" s="31">
        <v>98567</v>
      </c>
      <c r="D21" s="28" t="s">
        <v>74</v>
      </c>
      <c r="G21" s="29" t="s">
        <v>53</v>
      </c>
      <c r="H21" s="29" t="s">
        <v>53</v>
      </c>
      <c r="J21" s="27" t="s">
        <v>75</v>
      </c>
    </row>
    <row r="22" spans="1:10" x14ac:dyDescent="0.25">
      <c r="A22" s="27" t="s">
        <v>0</v>
      </c>
      <c r="B22" s="31">
        <v>600228</v>
      </c>
      <c r="C22" s="31">
        <v>77009</v>
      </c>
      <c r="D22" s="28" t="s">
        <v>76</v>
      </c>
      <c r="G22" s="29" t="s">
        <v>53</v>
      </c>
      <c r="H22" s="29" t="s">
        <v>53</v>
      </c>
      <c r="J22" s="27" t="s">
        <v>77</v>
      </c>
    </row>
    <row r="24" spans="1:10" x14ac:dyDescent="0.25">
      <c r="A24" s="27" t="s">
        <v>161</v>
      </c>
      <c r="B24" s="31" t="s">
        <v>162</v>
      </c>
      <c r="C24" s="31">
        <v>168569</v>
      </c>
      <c r="D24" s="28" t="s">
        <v>163</v>
      </c>
      <c r="G24" s="29" t="s">
        <v>53</v>
      </c>
      <c r="H24" s="29" t="s">
        <v>53</v>
      </c>
      <c r="J24" s="27" t="s">
        <v>160</v>
      </c>
    </row>
    <row r="26" spans="1:10" x14ac:dyDescent="0.25">
      <c r="A26" s="27" t="s">
        <v>60</v>
      </c>
      <c r="B26" s="31">
        <v>9310010</v>
      </c>
      <c r="D26" s="28" t="s">
        <v>61</v>
      </c>
    </row>
    <row r="28" spans="1:10" x14ac:dyDescent="0.25">
      <c r="A28" s="27" t="s">
        <v>2</v>
      </c>
      <c r="B28" s="31">
        <v>38641</v>
      </c>
      <c r="C28" s="31">
        <v>93039</v>
      </c>
      <c r="D28" s="28" t="s">
        <v>88</v>
      </c>
      <c r="J28" s="27" t="s">
        <v>89</v>
      </c>
    </row>
    <row r="29" spans="1:10" x14ac:dyDescent="0.25">
      <c r="A29" s="27" t="s">
        <v>2</v>
      </c>
      <c r="B29" s="31">
        <v>37556</v>
      </c>
      <c r="C29" s="31">
        <v>93037</v>
      </c>
      <c r="D29" s="28" t="s">
        <v>62</v>
      </c>
      <c r="J29" s="27" t="s">
        <v>63</v>
      </c>
    </row>
    <row r="30" spans="1:10" x14ac:dyDescent="0.25">
      <c r="A30" s="27" t="s">
        <v>2</v>
      </c>
      <c r="B30" s="31">
        <v>39229</v>
      </c>
      <c r="C30" s="31">
        <v>93030</v>
      </c>
      <c r="D30" s="28" t="s">
        <v>90</v>
      </c>
      <c r="J30" s="27" t="s">
        <v>91</v>
      </c>
    </row>
    <row r="33" spans="1:10" x14ac:dyDescent="0.25">
      <c r="A33" s="27" t="s">
        <v>64</v>
      </c>
      <c r="B33" s="31">
        <v>40998</v>
      </c>
      <c r="D33" s="28" t="s">
        <v>59</v>
      </c>
    </row>
    <row r="34" spans="1:10" x14ac:dyDescent="0.25">
      <c r="A34" s="27" t="s">
        <v>64</v>
      </c>
      <c r="B34" s="31">
        <v>38021</v>
      </c>
      <c r="C34" s="31">
        <v>166118</v>
      </c>
      <c r="D34" s="28" t="s">
        <v>159</v>
      </c>
      <c r="G34" s="29" t="s">
        <v>53</v>
      </c>
      <c r="H34" s="29" t="s">
        <v>53</v>
      </c>
      <c r="J34" s="27" t="s">
        <v>160</v>
      </c>
    </row>
    <row r="36" spans="1:10" x14ac:dyDescent="0.25">
      <c r="A36" s="27" t="s">
        <v>38</v>
      </c>
      <c r="B36" s="31" t="s">
        <v>80</v>
      </c>
      <c r="C36" s="31">
        <v>102637</v>
      </c>
      <c r="D36" s="28" t="s">
        <v>81</v>
      </c>
      <c r="F36" s="27">
        <v>60000</v>
      </c>
      <c r="J36" s="27" t="s">
        <v>82</v>
      </c>
    </row>
    <row r="37" spans="1:10" x14ac:dyDescent="0.25">
      <c r="A37" s="27" t="s">
        <v>38</v>
      </c>
      <c r="B37" s="31" t="s">
        <v>204</v>
      </c>
      <c r="C37" s="31">
        <v>549343</v>
      </c>
    </row>
    <row r="38" spans="1:10" x14ac:dyDescent="0.25">
      <c r="A38" s="27" t="s">
        <v>38</v>
      </c>
      <c r="B38" s="31" t="s">
        <v>205</v>
      </c>
      <c r="C38" s="31">
        <v>549352</v>
      </c>
    </row>
    <row r="39" spans="1:10" x14ac:dyDescent="0.25">
      <c r="A39" s="27" t="s">
        <v>38</v>
      </c>
      <c r="B39" s="31" t="s">
        <v>206</v>
      </c>
      <c r="C39" s="31">
        <v>549353</v>
      </c>
    </row>
    <row r="40" spans="1:10" x14ac:dyDescent="0.25">
      <c r="A40" s="27" t="s">
        <v>38</v>
      </c>
      <c r="B40" s="31" t="s">
        <v>207</v>
      </c>
      <c r="C40" s="31">
        <v>549354</v>
      </c>
    </row>
    <row r="43" spans="1:10" x14ac:dyDescent="0.25">
      <c r="A43" s="27" t="s">
        <v>83</v>
      </c>
      <c r="B43" s="31" t="s">
        <v>84</v>
      </c>
      <c r="C43" s="31">
        <v>104749</v>
      </c>
      <c r="D43" s="28" t="s">
        <v>85</v>
      </c>
      <c r="G43" s="29" t="s">
        <v>86</v>
      </c>
      <c r="J43" s="27" t="s">
        <v>87</v>
      </c>
    </row>
    <row r="44" spans="1:10" x14ac:dyDescent="0.25">
      <c r="A44" s="27" t="s">
        <v>83</v>
      </c>
      <c r="B44" s="31" t="s">
        <v>102</v>
      </c>
      <c r="C44" s="31">
        <v>82026</v>
      </c>
      <c r="D44" s="28" t="s">
        <v>59</v>
      </c>
      <c r="G44" s="29" t="s">
        <v>53</v>
      </c>
      <c r="H44" s="29" t="s">
        <v>53</v>
      </c>
    </row>
    <row r="45" spans="1:10" x14ac:dyDescent="0.25">
      <c r="A45" s="27" t="s">
        <v>83</v>
      </c>
      <c r="B45" s="31" t="s">
        <v>195</v>
      </c>
      <c r="C45" s="31">
        <v>312407</v>
      </c>
      <c r="D45" s="28" t="s">
        <v>197</v>
      </c>
      <c r="G45" s="29" t="s">
        <v>53</v>
      </c>
      <c r="H45" s="29" t="s">
        <v>53</v>
      </c>
      <c r="J45" s="27" t="s">
        <v>200</v>
      </c>
    </row>
    <row r="46" spans="1:10" x14ac:dyDescent="0.25">
      <c r="A46" s="27" t="s">
        <v>83</v>
      </c>
      <c r="B46" s="31" t="s">
        <v>196</v>
      </c>
      <c r="C46" s="31" t="s">
        <v>201</v>
      </c>
      <c r="D46" s="28" t="s">
        <v>198</v>
      </c>
      <c r="G46" s="29" t="s">
        <v>53</v>
      </c>
      <c r="H46" s="29" t="s">
        <v>53</v>
      </c>
      <c r="J46" s="27" t="s">
        <v>199</v>
      </c>
    </row>
    <row r="48" spans="1:10" x14ac:dyDescent="0.25">
      <c r="A48" s="27" t="s">
        <v>95</v>
      </c>
      <c r="B48" s="31" t="s">
        <v>96</v>
      </c>
      <c r="C48" s="31">
        <v>117510</v>
      </c>
      <c r="D48" s="28" t="s">
        <v>59</v>
      </c>
      <c r="J48" s="27" t="s">
        <v>97</v>
      </c>
    </row>
    <row r="50" spans="1:25" x14ac:dyDescent="0.25">
      <c r="A50" s="27" t="s">
        <v>103</v>
      </c>
      <c r="B50" s="31">
        <v>15</v>
      </c>
      <c r="C50" s="31">
        <v>125711</v>
      </c>
      <c r="D50" s="28" t="s">
        <v>59</v>
      </c>
    </row>
    <row r="52" spans="1:25" x14ac:dyDescent="0.25">
      <c r="A52" s="27" t="s">
        <v>105</v>
      </c>
      <c r="B52" s="31" t="s">
        <v>106</v>
      </c>
      <c r="C52" s="31">
        <v>124109</v>
      </c>
      <c r="D52" s="28" t="s">
        <v>107</v>
      </c>
    </row>
    <row r="53" spans="1:25" x14ac:dyDescent="0.25">
      <c r="A53" s="27" t="s">
        <v>105</v>
      </c>
      <c r="B53" s="31" t="s">
        <v>108</v>
      </c>
      <c r="C53" s="31">
        <v>77753</v>
      </c>
      <c r="D53" s="28" t="s">
        <v>59</v>
      </c>
    </row>
    <row r="55" spans="1:25" x14ac:dyDescent="0.25">
      <c r="A55" s="27" t="s">
        <v>164</v>
      </c>
      <c r="B55" s="85" t="s">
        <v>165</v>
      </c>
      <c r="C55" s="31">
        <v>220796</v>
      </c>
      <c r="D55" s="28" t="s">
        <v>59</v>
      </c>
      <c r="F55" s="27" t="s">
        <v>141</v>
      </c>
      <c r="J55" s="27" t="s">
        <v>166</v>
      </c>
    </row>
    <row r="58" spans="1:25" x14ac:dyDescent="0.25">
      <c r="A58" s="1" t="s">
        <v>135</v>
      </c>
      <c r="B58" s="3" t="s">
        <v>1</v>
      </c>
      <c r="C58" s="3" t="s">
        <v>1</v>
      </c>
      <c r="D58" s="4" t="s">
        <v>141</v>
      </c>
      <c r="E58" s="4" t="s">
        <v>141</v>
      </c>
      <c r="F58" s="1" t="s">
        <v>142</v>
      </c>
      <c r="G58" s="1" t="s">
        <v>142</v>
      </c>
      <c r="H58" s="3" t="s">
        <v>59</v>
      </c>
      <c r="I58" s="8">
        <v>0</v>
      </c>
      <c r="J58" s="5">
        <v>0</v>
      </c>
      <c r="K58" s="5">
        <v>2.2000000000000001E-3</v>
      </c>
      <c r="L58" s="5">
        <v>7.1999999999999998E-3</v>
      </c>
      <c r="M58" s="5">
        <v>1.3100000000000001E-2</v>
      </c>
      <c r="N58" s="57">
        <v>0</v>
      </c>
      <c r="O58" s="5">
        <f>SUM(I58:M58)</f>
        <v>2.2499999999999999E-2</v>
      </c>
      <c r="P58" s="55" t="s">
        <v>143</v>
      </c>
      <c r="Q58" s="55" t="s">
        <v>143</v>
      </c>
      <c r="R58" s="3">
        <v>0</v>
      </c>
      <c r="S58" s="1" t="s">
        <v>144</v>
      </c>
      <c r="T58" s="9">
        <f>I58*I$1*R58</f>
        <v>0</v>
      </c>
      <c r="U58" s="9"/>
      <c r="V58" s="75"/>
      <c r="W58" s="75">
        <v>145336</v>
      </c>
      <c r="X58" s="43"/>
      <c r="Y58" s="43"/>
    </row>
    <row r="60" spans="1:25" x14ac:dyDescent="0.25">
      <c r="A60" s="27" t="s">
        <v>202</v>
      </c>
      <c r="B60" s="31" t="s">
        <v>203</v>
      </c>
      <c r="C60" s="31">
        <v>220903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ColWidth="9.109375" defaultRowHeight="13.2" x14ac:dyDescent="0.25"/>
  <cols>
    <col min="1" max="1" width="8.88671875" style="18" customWidth="1"/>
    <col min="2" max="2" width="9.109375" style="18"/>
    <col min="3" max="3" width="10.5546875" style="18" customWidth="1"/>
    <col min="4" max="4" width="8.6640625" style="18" customWidth="1"/>
    <col min="5" max="5" width="11" style="18" customWidth="1"/>
    <col min="6" max="6" width="12.44140625" style="19" customWidth="1"/>
    <col min="7" max="7" width="8" style="19" customWidth="1"/>
    <col min="8" max="8" width="6.44140625" style="18" customWidth="1"/>
    <col min="9" max="9" width="8.88671875" style="18" hidden="1" customWidth="1"/>
    <col min="10" max="13" width="0" style="18" hidden="1" customWidth="1"/>
    <col min="14" max="14" width="0" style="80" hidden="1" customWidth="1"/>
    <col min="15" max="15" width="0" style="18" hidden="1" customWidth="1"/>
    <col min="16" max="16" width="12.33203125" style="44" customWidth="1"/>
    <col min="17" max="17" width="9.109375" style="18"/>
    <col min="18" max="18" width="13.6640625" style="18" customWidth="1"/>
    <col min="19" max="20" width="9.109375" style="18"/>
    <col min="21" max="21" width="13.5546875" style="44" customWidth="1"/>
    <col min="22" max="22" width="42.33203125" style="18" customWidth="1"/>
    <col min="23" max="24" width="9.109375" style="44"/>
    <col min="25" max="25" width="12.44140625" style="18" customWidth="1"/>
    <col min="26" max="16384" width="9.109375" style="18"/>
  </cols>
  <sheetData>
    <row r="1" spans="1:24" x14ac:dyDescent="0.25">
      <c r="A1" s="46" t="s">
        <v>156</v>
      </c>
      <c r="B1" s="3"/>
      <c r="C1" s="3"/>
      <c r="D1" s="4"/>
      <c r="E1" s="4"/>
      <c r="F1" s="1"/>
      <c r="G1" s="1"/>
      <c r="H1" s="3" t="s">
        <v>26</v>
      </c>
      <c r="I1" s="7">
        <v>31</v>
      </c>
      <c r="J1" s="56" t="s">
        <v>115</v>
      </c>
      <c r="K1" s="5"/>
      <c r="L1" s="5"/>
      <c r="M1" s="5"/>
      <c r="N1" s="57"/>
      <c r="O1" s="5"/>
      <c r="P1" s="43"/>
      <c r="Q1" s="2"/>
      <c r="R1" s="20"/>
      <c r="S1" s="20"/>
      <c r="T1" s="20"/>
      <c r="U1" s="58"/>
      <c r="V1" s="20"/>
      <c r="W1" s="42"/>
      <c r="X1" s="42"/>
    </row>
    <row r="2" spans="1:24" x14ac:dyDescent="0.25">
      <c r="A2" s="49" t="s">
        <v>98</v>
      </c>
      <c r="B2" s="49"/>
      <c r="C2" s="49"/>
      <c r="D2" s="4"/>
      <c r="E2" s="4"/>
      <c r="F2" s="1"/>
      <c r="G2" s="1"/>
      <c r="H2" s="3"/>
      <c r="I2" s="7"/>
      <c r="J2" s="56" t="s">
        <v>116</v>
      </c>
      <c r="K2" s="5"/>
      <c r="L2" s="5"/>
      <c r="M2" s="5"/>
      <c r="N2" s="57"/>
      <c r="O2" s="5"/>
      <c r="P2" s="43"/>
      <c r="Q2" s="2"/>
      <c r="R2" s="20"/>
      <c r="S2" s="20"/>
      <c r="T2" s="20"/>
      <c r="U2" s="58"/>
      <c r="V2" s="20"/>
      <c r="W2" s="42"/>
      <c r="X2" s="42"/>
    </row>
    <row r="3" spans="1:24" x14ac:dyDescent="0.25">
      <c r="A3" s="50" t="s">
        <v>99</v>
      </c>
      <c r="B3" s="50"/>
      <c r="C3" s="50"/>
      <c r="D3" s="4"/>
      <c r="E3" s="4"/>
      <c r="F3" s="6" t="s">
        <v>4</v>
      </c>
      <c r="G3" s="1" t="s">
        <v>4</v>
      </c>
      <c r="H3" s="2" t="s">
        <v>4</v>
      </c>
      <c r="I3" s="8"/>
      <c r="J3" s="22" t="s">
        <v>4</v>
      </c>
      <c r="K3" s="5"/>
      <c r="L3" s="22" t="s">
        <v>4</v>
      </c>
      <c r="M3" s="5"/>
      <c r="N3" s="57"/>
      <c r="O3" s="22" t="s">
        <v>4</v>
      </c>
      <c r="P3" s="43"/>
      <c r="Q3" s="2"/>
      <c r="R3" s="20"/>
      <c r="S3" s="20"/>
      <c r="T3" s="20"/>
      <c r="U3" s="58"/>
      <c r="V3" s="20"/>
      <c r="W3" s="42"/>
      <c r="X3" s="42"/>
    </row>
    <row r="4" spans="1:24" x14ac:dyDescent="0.25">
      <c r="A4" s="51" t="s">
        <v>117</v>
      </c>
      <c r="B4" s="52"/>
      <c r="C4" s="52"/>
      <c r="D4" s="4"/>
      <c r="E4" s="4"/>
      <c r="F4" s="23"/>
      <c r="G4" s="1"/>
      <c r="H4" s="23"/>
      <c r="I4" s="8"/>
      <c r="J4" s="23"/>
      <c r="K4" s="5"/>
      <c r="L4" s="23"/>
      <c r="M4" s="2"/>
      <c r="N4" s="57"/>
      <c r="O4" s="2"/>
      <c r="P4" s="43"/>
      <c r="Q4" s="2"/>
      <c r="R4" s="20"/>
      <c r="S4" s="24"/>
      <c r="T4" s="24"/>
      <c r="U4" s="59"/>
      <c r="V4" s="20"/>
      <c r="W4" s="42"/>
      <c r="X4" s="42"/>
    </row>
    <row r="5" spans="1:24" x14ac:dyDescent="0.25">
      <c r="A5" s="1" t="s">
        <v>118</v>
      </c>
      <c r="B5" s="3"/>
      <c r="C5" s="60" t="s">
        <v>119</v>
      </c>
      <c r="D5" s="4"/>
      <c r="E5" s="4"/>
      <c r="F5" s="23"/>
      <c r="G5" s="1"/>
      <c r="H5" s="23"/>
      <c r="I5" s="8"/>
      <c r="J5" s="23"/>
      <c r="K5" s="5"/>
      <c r="L5" s="23"/>
      <c r="M5" s="2"/>
      <c r="N5" s="57"/>
      <c r="O5" s="2"/>
      <c r="P5" s="43"/>
      <c r="Q5" s="2"/>
      <c r="R5" s="20"/>
      <c r="S5" s="24"/>
      <c r="T5" s="24"/>
      <c r="U5" s="59"/>
      <c r="V5" s="20"/>
      <c r="W5" s="42"/>
      <c r="X5" s="42"/>
    </row>
    <row r="6" spans="1:24" x14ac:dyDescent="0.25">
      <c r="A6" s="1"/>
      <c r="B6" s="3"/>
      <c r="C6" s="60" t="s">
        <v>120</v>
      </c>
      <c r="D6" s="4"/>
      <c r="E6" s="4"/>
      <c r="F6" s="23"/>
      <c r="G6" s="1"/>
      <c r="H6" s="23"/>
      <c r="I6" s="8"/>
      <c r="J6" s="23"/>
      <c r="K6" s="5"/>
      <c r="L6" s="23"/>
      <c r="M6" s="2"/>
      <c r="N6" s="57"/>
      <c r="O6" s="2"/>
      <c r="P6" s="43"/>
      <c r="Q6" s="2"/>
      <c r="R6" s="20"/>
      <c r="S6" s="24"/>
      <c r="T6" s="24"/>
      <c r="U6" s="59"/>
      <c r="V6" s="20"/>
      <c r="W6" s="42"/>
      <c r="X6" s="42"/>
    </row>
    <row r="7" spans="1:24" x14ac:dyDescent="0.25">
      <c r="A7" s="1"/>
      <c r="B7" s="3"/>
      <c r="C7" s="60" t="s">
        <v>121</v>
      </c>
      <c r="D7" s="4"/>
      <c r="E7" s="4"/>
      <c r="F7" s="23"/>
      <c r="G7" s="1"/>
      <c r="H7" s="23"/>
      <c r="I7" s="8"/>
      <c r="J7" s="23"/>
      <c r="K7" s="5"/>
      <c r="L7" s="23"/>
      <c r="M7" s="2"/>
      <c r="N7" s="57"/>
      <c r="O7" s="2"/>
      <c r="P7" s="43"/>
      <c r="Q7" s="2"/>
      <c r="R7" s="20"/>
      <c r="S7" s="24"/>
      <c r="T7" s="24"/>
      <c r="U7" s="59"/>
      <c r="V7" s="20"/>
      <c r="W7" s="42"/>
      <c r="X7" s="42"/>
    </row>
    <row r="8" spans="1:24" x14ac:dyDescent="0.25">
      <c r="A8" s="1"/>
      <c r="B8" s="3"/>
      <c r="C8" s="60"/>
      <c r="D8" s="4"/>
      <c r="E8" s="4"/>
      <c r="F8" s="23"/>
      <c r="G8" s="1"/>
      <c r="H8" s="23"/>
      <c r="I8" s="8"/>
      <c r="J8" s="23"/>
      <c r="K8" s="5"/>
      <c r="L8" s="23"/>
      <c r="M8" s="2"/>
      <c r="N8" s="57"/>
      <c r="O8" s="2"/>
      <c r="P8" s="43"/>
      <c r="Q8" s="2"/>
      <c r="R8" s="20"/>
      <c r="S8" s="24"/>
      <c r="T8" s="24"/>
      <c r="U8" s="59"/>
      <c r="V8" s="20"/>
      <c r="W8" s="42"/>
      <c r="X8" s="42"/>
    </row>
    <row r="9" spans="1:24" x14ac:dyDescent="0.25">
      <c r="A9" s="1"/>
      <c r="B9" s="3"/>
      <c r="C9" s="60"/>
      <c r="D9" s="4"/>
      <c r="E9" s="4"/>
      <c r="F9" s="23"/>
      <c r="G9" s="1"/>
      <c r="H9" s="23"/>
      <c r="I9" s="8"/>
      <c r="J9" s="23"/>
      <c r="K9" s="5"/>
      <c r="L9" s="23"/>
      <c r="M9" s="2"/>
      <c r="N9" s="57"/>
      <c r="O9" s="2"/>
      <c r="P9" s="43"/>
      <c r="Q9" s="2"/>
      <c r="R9" s="20"/>
      <c r="S9" s="24"/>
      <c r="T9" s="24"/>
      <c r="U9" s="59"/>
      <c r="V9" s="20"/>
      <c r="W9" s="42"/>
      <c r="X9" s="42"/>
    </row>
    <row r="10" spans="1:24" x14ac:dyDescent="0.25">
      <c r="A10" s="1"/>
      <c r="B10" s="3"/>
      <c r="C10" s="3"/>
      <c r="D10" s="4"/>
      <c r="E10" s="4"/>
      <c r="F10" s="23"/>
      <c r="G10" s="1"/>
      <c r="H10" s="23"/>
      <c r="I10" s="8"/>
      <c r="J10" s="23"/>
      <c r="K10" s="5"/>
      <c r="L10" s="23"/>
      <c r="M10" s="2"/>
      <c r="N10" s="57"/>
      <c r="O10" s="2"/>
      <c r="P10" s="43"/>
      <c r="Q10" s="2"/>
      <c r="R10" s="20"/>
      <c r="S10" s="24"/>
      <c r="T10" s="24"/>
      <c r="U10" s="59"/>
      <c r="V10" s="20"/>
      <c r="W10" s="42"/>
      <c r="X10" s="42"/>
    </row>
    <row r="11" spans="1:24" x14ac:dyDescent="0.25">
      <c r="A11" s="61" t="s">
        <v>5</v>
      </c>
      <c r="B11" s="62" t="s">
        <v>6</v>
      </c>
      <c r="C11" s="62" t="s">
        <v>7</v>
      </c>
      <c r="D11" s="63" t="s">
        <v>8</v>
      </c>
      <c r="E11" s="63"/>
      <c r="F11" s="61" t="s">
        <v>9</v>
      </c>
      <c r="G11" s="61" t="s">
        <v>10</v>
      </c>
      <c r="H11" s="62" t="s">
        <v>11</v>
      </c>
      <c r="I11" s="64" t="s">
        <v>12</v>
      </c>
      <c r="J11" s="62" t="s">
        <v>13</v>
      </c>
      <c r="K11" s="62" t="s">
        <v>14</v>
      </c>
      <c r="L11" s="62" t="s">
        <v>15</v>
      </c>
      <c r="M11" s="62" t="s">
        <v>16</v>
      </c>
      <c r="N11" s="65" t="s">
        <v>17</v>
      </c>
      <c r="O11" s="62" t="s">
        <v>18</v>
      </c>
      <c r="P11" s="83" t="s">
        <v>19</v>
      </c>
      <c r="Q11" s="62" t="s">
        <v>20</v>
      </c>
      <c r="R11" s="61" t="s">
        <v>21</v>
      </c>
      <c r="S11" s="67" t="s">
        <v>123</v>
      </c>
      <c r="T11" s="67" t="s">
        <v>124</v>
      </c>
      <c r="U11" s="68" t="s">
        <v>73</v>
      </c>
      <c r="V11" s="67" t="s">
        <v>150</v>
      </c>
      <c r="W11" s="43"/>
      <c r="X11" s="43"/>
    </row>
    <row r="12" spans="1:24" s="27" customFormat="1" x14ac:dyDescent="0.25">
      <c r="A12" s="1" t="s">
        <v>135</v>
      </c>
      <c r="B12" s="3" t="s">
        <v>125</v>
      </c>
      <c r="C12" s="3" t="s">
        <v>110</v>
      </c>
      <c r="D12" s="4">
        <v>36526</v>
      </c>
      <c r="E12" s="4">
        <v>36830</v>
      </c>
      <c r="F12" s="1" t="s">
        <v>126</v>
      </c>
      <c r="G12" s="1" t="s">
        <v>127</v>
      </c>
      <c r="H12" s="3"/>
      <c r="I12" s="8">
        <f>1.0603/I$1</f>
        <v>3.4203225806451611E-2</v>
      </c>
      <c r="J12" s="5">
        <v>1.6999999999999999E-3</v>
      </c>
      <c r="K12" s="5">
        <v>2.2000000000000001E-3</v>
      </c>
      <c r="L12" s="5">
        <v>0</v>
      </c>
      <c r="M12" s="5">
        <v>0</v>
      </c>
      <c r="N12" s="57">
        <v>5.9300000000000004E-3</v>
      </c>
      <c r="O12" s="5">
        <f>SUM(I12:M12)</f>
        <v>3.8103225806451611E-2</v>
      </c>
      <c r="P12" s="43">
        <v>42789</v>
      </c>
      <c r="Q12" s="3">
        <v>30000</v>
      </c>
      <c r="R12" s="1" t="s">
        <v>128</v>
      </c>
      <c r="S12" s="9">
        <f>I12*I$1*Q12</f>
        <v>31809</v>
      </c>
      <c r="T12" s="9"/>
      <c r="U12" s="69">
        <v>140447</v>
      </c>
      <c r="V12" s="1"/>
      <c r="W12" s="43"/>
      <c r="X12" s="43"/>
    </row>
    <row r="13" spans="1:24" x14ac:dyDescent="0.25">
      <c r="A13" s="10" t="s">
        <v>4</v>
      </c>
      <c r="B13" s="70" t="s">
        <v>4</v>
      </c>
      <c r="C13" s="11" t="s">
        <v>4</v>
      </c>
      <c r="D13" s="12" t="s">
        <v>4</v>
      </c>
      <c r="E13" s="12"/>
      <c r="F13" s="10" t="s">
        <v>4</v>
      </c>
      <c r="G13" s="71" t="s">
        <v>4</v>
      </c>
      <c r="H13" s="70" t="s">
        <v>4</v>
      </c>
      <c r="I13" s="13"/>
      <c r="J13" s="14"/>
      <c r="K13" s="14"/>
      <c r="L13" s="14"/>
      <c r="M13" s="14"/>
      <c r="N13" s="72"/>
      <c r="O13" s="14"/>
      <c r="P13" s="82" t="s">
        <v>4</v>
      </c>
      <c r="Q13" s="70">
        <f>SUM(Q12:Q12)</f>
        <v>30000</v>
      </c>
      <c r="R13" s="10" t="s">
        <v>4</v>
      </c>
      <c r="S13" s="73">
        <f>SUM(S12:S12)</f>
        <v>31809</v>
      </c>
      <c r="T13" s="73">
        <f>SUM(T12:T12)</f>
        <v>0</v>
      </c>
      <c r="U13" s="74"/>
      <c r="V13" s="15"/>
      <c r="W13" s="43"/>
      <c r="X13" s="43"/>
    </row>
    <row r="14" spans="1:24" x14ac:dyDescent="0.25">
      <c r="A14" s="61" t="s">
        <v>5</v>
      </c>
      <c r="B14" s="62" t="s">
        <v>6</v>
      </c>
      <c r="C14" s="62" t="s">
        <v>7</v>
      </c>
      <c r="D14" s="63" t="s">
        <v>8</v>
      </c>
      <c r="E14" s="63"/>
      <c r="F14" s="61" t="s">
        <v>9</v>
      </c>
      <c r="G14" s="61" t="s">
        <v>10</v>
      </c>
      <c r="H14" s="62" t="s">
        <v>11</v>
      </c>
      <c r="I14" s="64" t="s">
        <v>12</v>
      </c>
      <c r="J14" s="62" t="s">
        <v>13</v>
      </c>
      <c r="K14" s="62" t="s">
        <v>14</v>
      </c>
      <c r="L14" s="62" t="s">
        <v>15</v>
      </c>
      <c r="M14" s="62" t="s">
        <v>16</v>
      </c>
      <c r="N14" s="65" t="s">
        <v>17</v>
      </c>
      <c r="O14" s="62" t="s">
        <v>18</v>
      </c>
      <c r="P14" s="83" t="s">
        <v>19</v>
      </c>
      <c r="Q14" s="62" t="s">
        <v>20</v>
      </c>
      <c r="R14" s="61" t="s">
        <v>21</v>
      </c>
      <c r="S14" s="67" t="s">
        <v>136</v>
      </c>
      <c r="T14" s="67" t="s">
        <v>136</v>
      </c>
      <c r="U14" s="68"/>
      <c r="V14" s="67" t="str">
        <f>+V11</f>
        <v>Questions</v>
      </c>
      <c r="W14" s="43"/>
      <c r="X14" s="43"/>
    </row>
    <row r="15" spans="1:24" s="27" customFormat="1" x14ac:dyDescent="0.25">
      <c r="A15" s="1" t="s">
        <v>135</v>
      </c>
      <c r="B15" s="3" t="s">
        <v>137</v>
      </c>
      <c r="C15" s="3" t="s">
        <v>110</v>
      </c>
      <c r="D15" s="4">
        <v>36526</v>
      </c>
      <c r="E15" s="4" t="s">
        <v>141</v>
      </c>
      <c r="F15" s="1" t="s">
        <v>152</v>
      </c>
      <c r="G15" s="1" t="s">
        <v>152</v>
      </c>
      <c r="H15" s="3"/>
      <c r="I15" s="8">
        <v>0</v>
      </c>
      <c r="J15" s="5">
        <v>0</v>
      </c>
      <c r="K15" s="5">
        <v>0</v>
      </c>
      <c r="L15" s="5">
        <v>0</v>
      </c>
      <c r="M15" s="5">
        <v>0</v>
      </c>
      <c r="N15" s="57">
        <v>0</v>
      </c>
      <c r="O15" s="5">
        <f>SUM(I15:M15)</f>
        <v>0</v>
      </c>
      <c r="P15" s="43">
        <v>36907</v>
      </c>
      <c r="Q15" s="3">
        <v>0</v>
      </c>
      <c r="R15" s="1" t="s">
        <v>155</v>
      </c>
      <c r="S15" s="9">
        <f>I15*I$1*Q15</f>
        <v>0</v>
      </c>
      <c r="T15" s="9"/>
      <c r="U15" s="69">
        <v>148659</v>
      </c>
      <c r="V15" s="9"/>
      <c r="W15" s="43"/>
      <c r="X15" s="43"/>
    </row>
    <row r="16" spans="1:24" s="27" customFormat="1" x14ac:dyDescent="0.25">
      <c r="A16" s="1" t="s">
        <v>154</v>
      </c>
      <c r="B16" s="3" t="s">
        <v>137</v>
      </c>
      <c r="C16" s="3" t="s">
        <v>153</v>
      </c>
      <c r="D16" s="4">
        <v>36526</v>
      </c>
      <c r="E16" s="4" t="s">
        <v>141</v>
      </c>
      <c r="F16" s="1" t="s">
        <v>152</v>
      </c>
      <c r="G16" s="1" t="s">
        <v>152</v>
      </c>
      <c r="H16" s="3"/>
      <c r="I16" s="8">
        <v>0</v>
      </c>
      <c r="J16" s="5">
        <v>0</v>
      </c>
      <c r="K16" s="5">
        <v>0</v>
      </c>
      <c r="L16" s="5">
        <v>0</v>
      </c>
      <c r="M16" s="5">
        <v>0</v>
      </c>
      <c r="N16" s="57">
        <v>0</v>
      </c>
      <c r="O16" s="5">
        <f>SUM(I16:M16)</f>
        <v>0</v>
      </c>
      <c r="P16" s="43">
        <v>48049</v>
      </c>
      <c r="Q16" s="3">
        <v>0</v>
      </c>
      <c r="R16" s="1" t="s">
        <v>155</v>
      </c>
      <c r="S16" s="9">
        <f>I16*I$1*Q16</f>
        <v>0</v>
      </c>
      <c r="T16" s="9"/>
      <c r="U16" s="69">
        <v>149173</v>
      </c>
      <c r="V16" s="9"/>
      <c r="W16" s="43"/>
      <c r="X16" s="43"/>
    </row>
    <row r="17" spans="1:24" s="27" customFormat="1" x14ac:dyDescent="0.25">
      <c r="A17" s="1" t="s">
        <v>135</v>
      </c>
      <c r="B17" s="3" t="s">
        <v>137</v>
      </c>
      <c r="C17" s="3" t="s">
        <v>110</v>
      </c>
      <c r="D17" s="4">
        <v>36526</v>
      </c>
      <c r="E17" s="4" t="s">
        <v>141</v>
      </c>
      <c r="F17" s="1" t="s">
        <v>152</v>
      </c>
      <c r="G17" s="1" t="s">
        <v>152</v>
      </c>
      <c r="H17" s="3"/>
      <c r="I17" s="8">
        <v>0</v>
      </c>
      <c r="J17" s="5">
        <v>0</v>
      </c>
      <c r="K17" s="5">
        <v>0</v>
      </c>
      <c r="L17" s="5">
        <v>0</v>
      </c>
      <c r="M17" s="5">
        <v>0</v>
      </c>
      <c r="N17" s="57">
        <v>0</v>
      </c>
      <c r="O17" s="5">
        <f>SUM(I17:M17)</f>
        <v>0</v>
      </c>
      <c r="P17" s="43">
        <v>39999</v>
      </c>
      <c r="Q17" s="3">
        <v>0</v>
      </c>
      <c r="R17" s="1" t="s">
        <v>151</v>
      </c>
      <c r="S17" s="9">
        <f>I17*I$1*Q17</f>
        <v>0</v>
      </c>
      <c r="T17" s="9"/>
      <c r="U17" s="69">
        <v>149337</v>
      </c>
      <c r="V17" s="9"/>
      <c r="W17" s="43"/>
      <c r="X17" s="43"/>
    </row>
    <row r="18" spans="1:24" s="27" customFormat="1" x14ac:dyDescent="0.25">
      <c r="A18" s="1" t="s">
        <v>154</v>
      </c>
      <c r="B18" s="3" t="s">
        <v>137</v>
      </c>
      <c r="C18" s="3" t="s">
        <v>153</v>
      </c>
      <c r="D18" s="4">
        <v>36526</v>
      </c>
      <c r="E18" s="4" t="s">
        <v>141</v>
      </c>
      <c r="F18" s="1" t="s">
        <v>152</v>
      </c>
      <c r="G18" s="1" t="s">
        <v>152</v>
      </c>
      <c r="H18" s="3"/>
      <c r="I18" s="8">
        <v>0</v>
      </c>
      <c r="J18" s="5">
        <v>0</v>
      </c>
      <c r="K18" s="5">
        <v>0</v>
      </c>
      <c r="L18" s="5">
        <v>0</v>
      </c>
      <c r="M18" s="5">
        <v>0</v>
      </c>
      <c r="N18" s="57">
        <v>0</v>
      </c>
      <c r="O18" s="5">
        <f>SUM(I18:M18)</f>
        <v>0</v>
      </c>
      <c r="P18" s="43">
        <v>48050</v>
      </c>
      <c r="Q18" s="3">
        <v>0</v>
      </c>
      <c r="R18" s="1" t="s">
        <v>151</v>
      </c>
      <c r="S18" s="9">
        <f>I18*I$1*Q18</f>
        <v>0</v>
      </c>
      <c r="T18" s="9"/>
      <c r="U18" s="69">
        <v>149338</v>
      </c>
      <c r="V18" s="9"/>
      <c r="W18" s="43"/>
      <c r="X18" s="43"/>
    </row>
    <row r="19" spans="1:24" x14ac:dyDescent="0.25">
      <c r="A19" s="1"/>
      <c r="B19" s="3"/>
      <c r="C19" s="3"/>
      <c r="D19" s="4" t="s">
        <v>4</v>
      </c>
      <c r="E19" s="4"/>
      <c r="F19" s="1"/>
      <c r="G19" s="1"/>
      <c r="H19" s="3"/>
      <c r="I19" s="8"/>
      <c r="J19" s="5"/>
      <c r="K19" s="16"/>
      <c r="L19" s="5"/>
      <c r="M19" s="5"/>
      <c r="N19" s="57"/>
      <c r="O19" s="5"/>
      <c r="P19" s="42"/>
      <c r="Q19" s="24"/>
      <c r="R19" s="45"/>
      <c r="S19" s="84"/>
      <c r="T19" s="77"/>
      <c r="U19" s="78"/>
      <c r="V19" s="77"/>
      <c r="W19" s="42"/>
      <c r="X19" s="42"/>
    </row>
    <row r="20" spans="1:24" x14ac:dyDescent="0.25">
      <c r="A20" s="61" t="s">
        <v>5</v>
      </c>
      <c r="B20" s="62" t="s">
        <v>6</v>
      </c>
      <c r="C20" s="62" t="s">
        <v>7</v>
      </c>
      <c r="D20" s="63" t="s">
        <v>8</v>
      </c>
      <c r="E20" s="63"/>
      <c r="F20" s="61" t="s">
        <v>9</v>
      </c>
      <c r="G20" s="61" t="s">
        <v>10</v>
      </c>
      <c r="H20" s="62" t="s">
        <v>11</v>
      </c>
      <c r="I20" s="64" t="s">
        <v>12</v>
      </c>
      <c r="J20" s="62" t="s">
        <v>13</v>
      </c>
      <c r="K20" s="62" t="s">
        <v>14</v>
      </c>
      <c r="L20" s="62" t="s">
        <v>15</v>
      </c>
      <c r="M20" s="62" t="s">
        <v>16</v>
      </c>
      <c r="N20" s="65" t="s">
        <v>17</v>
      </c>
      <c r="O20" s="62" t="s">
        <v>18</v>
      </c>
      <c r="P20" s="83" t="s">
        <v>19</v>
      </c>
      <c r="Q20" s="62" t="s">
        <v>20</v>
      </c>
      <c r="R20" s="61" t="s">
        <v>21</v>
      </c>
      <c r="S20" s="67" t="s">
        <v>123</v>
      </c>
      <c r="T20" s="67" t="s">
        <v>124</v>
      </c>
      <c r="U20" s="68" t="s">
        <v>73</v>
      </c>
      <c r="V20" s="67" t="s">
        <v>150</v>
      </c>
      <c r="W20" s="43"/>
      <c r="X20" s="43"/>
    </row>
    <row r="21" spans="1:24" s="27" customFormat="1" x14ac:dyDescent="0.25">
      <c r="A21" s="1" t="s">
        <v>135</v>
      </c>
      <c r="B21" s="3" t="s">
        <v>70</v>
      </c>
      <c r="C21" s="3" t="s">
        <v>110</v>
      </c>
      <c r="D21" s="4">
        <v>36526</v>
      </c>
      <c r="E21" s="4" t="s">
        <v>141</v>
      </c>
      <c r="F21" s="1" t="s">
        <v>142</v>
      </c>
      <c r="G21" s="1" t="s">
        <v>142</v>
      </c>
      <c r="H21" s="3" t="s">
        <v>59</v>
      </c>
      <c r="I21" s="8">
        <v>0</v>
      </c>
      <c r="J21" s="5">
        <v>0</v>
      </c>
      <c r="K21" s="5">
        <v>0</v>
      </c>
      <c r="L21" s="5">
        <v>0</v>
      </c>
      <c r="M21" s="5">
        <v>0</v>
      </c>
      <c r="N21" s="57">
        <v>0</v>
      </c>
      <c r="O21" s="5">
        <f>SUM(I21:M21)</f>
        <v>0</v>
      </c>
      <c r="P21" s="43">
        <v>238</v>
      </c>
      <c r="Q21" s="3">
        <v>0</v>
      </c>
      <c r="R21" s="1" t="s">
        <v>149</v>
      </c>
      <c r="S21" s="9">
        <f>I21*I$1*Q21</f>
        <v>0</v>
      </c>
      <c r="T21" s="9"/>
      <c r="U21" s="69">
        <v>149902</v>
      </c>
      <c r="V21" s="1"/>
      <c r="W21" s="43"/>
      <c r="X21" s="43"/>
    </row>
    <row r="22" spans="1:24" x14ac:dyDescent="0.25">
      <c r="A22" s="10" t="s">
        <v>4</v>
      </c>
      <c r="B22" s="70" t="s">
        <v>4</v>
      </c>
      <c r="C22" s="11" t="s">
        <v>4</v>
      </c>
      <c r="D22" s="12" t="s">
        <v>4</v>
      </c>
      <c r="E22" s="12"/>
      <c r="F22" s="10" t="s">
        <v>4</v>
      </c>
      <c r="G22" s="71" t="s">
        <v>4</v>
      </c>
      <c r="H22" s="70" t="s">
        <v>4</v>
      </c>
      <c r="I22" s="13"/>
      <c r="J22" s="14"/>
      <c r="K22" s="14"/>
      <c r="L22" s="14"/>
      <c r="M22" s="14"/>
      <c r="N22" s="72"/>
      <c r="O22" s="14"/>
      <c r="P22" s="82" t="s">
        <v>4</v>
      </c>
      <c r="Q22" s="70">
        <f>SUM(Q21:Q21)</f>
        <v>0</v>
      </c>
      <c r="R22" s="10" t="s">
        <v>4</v>
      </c>
      <c r="S22" s="73">
        <f>SUM(S21:S21)</f>
        <v>0</v>
      </c>
      <c r="T22" s="73">
        <f>SUM(T21:T21)</f>
        <v>0</v>
      </c>
      <c r="U22" s="74"/>
      <c r="V22" s="15"/>
      <c r="W22" s="43"/>
      <c r="X22" s="43"/>
    </row>
    <row r="23" spans="1:24" x14ac:dyDescent="0.25">
      <c r="A23" s="61" t="s">
        <v>5</v>
      </c>
      <c r="B23" s="62" t="s">
        <v>6</v>
      </c>
      <c r="C23" s="62" t="s">
        <v>7</v>
      </c>
      <c r="D23" s="63" t="s">
        <v>8</v>
      </c>
      <c r="E23" s="63"/>
      <c r="F23" s="61" t="s">
        <v>9</v>
      </c>
      <c r="G23" s="61" t="s">
        <v>10</v>
      </c>
      <c r="H23" s="62" t="s">
        <v>11</v>
      </c>
      <c r="I23" s="64" t="s">
        <v>12</v>
      </c>
      <c r="J23" s="62" t="s">
        <v>13</v>
      </c>
      <c r="K23" s="62" t="s">
        <v>14</v>
      </c>
      <c r="L23" s="62" t="s">
        <v>15</v>
      </c>
      <c r="M23" s="62" t="s">
        <v>16</v>
      </c>
      <c r="N23" s="65" t="s">
        <v>17</v>
      </c>
      <c r="O23" s="62" t="s">
        <v>18</v>
      </c>
      <c r="P23" s="83" t="s">
        <v>19</v>
      </c>
      <c r="Q23" s="62" t="s">
        <v>20</v>
      </c>
      <c r="R23" s="61" t="s">
        <v>21</v>
      </c>
      <c r="S23" s="67" t="s">
        <v>123</v>
      </c>
      <c r="T23" s="67" t="s">
        <v>124</v>
      </c>
      <c r="U23" s="68" t="s">
        <v>73</v>
      </c>
      <c r="V23" s="67" t="s">
        <v>150</v>
      </c>
      <c r="W23" s="43"/>
      <c r="X23" s="43"/>
    </row>
    <row r="24" spans="1:24" s="27" customFormat="1" x14ac:dyDescent="0.25">
      <c r="A24" s="1" t="s">
        <v>135</v>
      </c>
      <c r="B24" s="3" t="s">
        <v>1</v>
      </c>
      <c r="C24" s="3" t="s">
        <v>110</v>
      </c>
      <c r="D24" s="4">
        <v>36526</v>
      </c>
      <c r="E24" s="4" t="s">
        <v>141</v>
      </c>
      <c r="F24" s="1" t="s">
        <v>142</v>
      </c>
      <c r="G24" s="1" t="s">
        <v>142</v>
      </c>
      <c r="H24" s="3" t="s">
        <v>59</v>
      </c>
      <c r="I24" s="8">
        <v>0</v>
      </c>
      <c r="J24" s="5">
        <v>0</v>
      </c>
      <c r="K24" s="5">
        <v>0</v>
      </c>
      <c r="L24" s="5">
        <v>0</v>
      </c>
      <c r="M24" s="5">
        <v>0</v>
      </c>
      <c r="N24" s="57">
        <v>0</v>
      </c>
      <c r="O24" s="5">
        <f>SUM(I24:M24)</f>
        <v>0</v>
      </c>
      <c r="P24" s="43">
        <v>3.2846000000000002</v>
      </c>
      <c r="Q24" s="3">
        <v>0</v>
      </c>
      <c r="R24" s="1" t="s">
        <v>149</v>
      </c>
      <c r="S24" s="9">
        <f>I24*I$1*Q24</f>
        <v>0</v>
      </c>
      <c r="T24" s="9"/>
      <c r="U24" s="69">
        <v>149876</v>
      </c>
      <c r="V24" s="1"/>
      <c r="W24" s="43"/>
      <c r="X24" s="43"/>
    </row>
    <row r="25" spans="1:24" x14ac:dyDescent="0.25">
      <c r="A25" s="10" t="s">
        <v>4</v>
      </c>
      <c r="B25" s="70" t="s">
        <v>4</v>
      </c>
      <c r="C25" s="11" t="s">
        <v>4</v>
      </c>
      <c r="D25" s="12" t="s">
        <v>4</v>
      </c>
      <c r="E25" s="12"/>
      <c r="F25" s="10" t="s">
        <v>4</v>
      </c>
      <c r="G25" s="71" t="s">
        <v>4</v>
      </c>
      <c r="H25" s="70" t="s">
        <v>4</v>
      </c>
      <c r="I25" s="13"/>
      <c r="J25" s="14"/>
      <c r="K25" s="14"/>
      <c r="L25" s="14"/>
      <c r="M25" s="14"/>
      <c r="N25" s="72"/>
      <c r="O25" s="14"/>
      <c r="P25" s="82" t="s">
        <v>4</v>
      </c>
      <c r="Q25" s="70">
        <f>SUM(Q24:Q24)</f>
        <v>0</v>
      </c>
      <c r="R25" s="10" t="s">
        <v>4</v>
      </c>
      <c r="S25" s="73">
        <f>SUM(S24:S24)</f>
        <v>0</v>
      </c>
      <c r="T25" s="73">
        <f>SUM(T24:T24)</f>
        <v>0</v>
      </c>
      <c r="U25" s="74"/>
      <c r="V25" s="15"/>
      <c r="W25" s="43"/>
      <c r="X25" s="43"/>
    </row>
    <row r="26" spans="1:24" x14ac:dyDescent="0.25">
      <c r="A26" s="19"/>
      <c r="B26" s="3"/>
      <c r="C26" s="3"/>
      <c r="D26" s="4"/>
      <c r="E26" s="4"/>
      <c r="F26" s="1"/>
      <c r="G26" s="1"/>
      <c r="H26" s="3"/>
      <c r="I26" s="8"/>
      <c r="J26" s="5"/>
      <c r="K26" s="5"/>
      <c r="L26" s="5"/>
      <c r="M26" s="5"/>
      <c r="N26" s="57"/>
      <c r="O26" s="5"/>
      <c r="P26" s="42"/>
      <c r="Q26" s="79"/>
      <c r="R26" s="45"/>
      <c r="S26" s="20"/>
      <c r="T26" s="20"/>
      <c r="U26" s="58"/>
      <c r="V26" s="20"/>
      <c r="W26" s="42"/>
      <c r="X26" s="42"/>
    </row>
    <row r="27" spans="1:24" x14ac:dyDescent="0.25">
      <c r="A27" s="19"/>
      <c r="B27" s="3"/>
      <c r="C27" s="3"/>
      <c r="D27" s="4"/>
      <c r="E27" s="4"/>
      <c r="F27" s="1"/>
      <c r="G27" s="1"/>
      <c r="H27" s="3"/>
      <c r="I27" s="5"/>
      <c r="J27" s="5"/>
      <c r="K27" s="5"/>
      <c r="L27" s="5"/>
      <c r="M27" s="5"/>
      <c r="N27" s="57"/>
      <c r="O27" s="5"/>
      <c r="P27" s="42"/>
      <c r="Q27" s="79"/>
      <c r="R27" s="20"/>
      <c r="S27" s="20"/>
      <c r="T27" s="20"/>
      <c r="U27" s="58"/>
      <c r="V27" s="20"/>
      <c r="W27" s="42"/>
      <c r="X27" s="42"/>
    </row>
    <row r="28" spans="1:24" x14ac:dyDescent="0.25">
      <c r="A28" s="19"/>
      <c r="B28" s="3"/>
      <c r="C28" s="3"/>
      <c r="D28" s="4"/>
      <c r="E28" s="4"/>
      <c r="F28" s="1"/>
      <c r="G28" s="1"/>
      <c r="H28" s="3"/>
      <c r="I28" s="8"/>
      <c r="J28" s="5"/>
      <c r="K28" s="5"/>
      <c r="L28" s="5"/>
      <c r="M28" s="5"/>
      <c r="N28" s="57"/>
      <c r="O28" s="5"/>
      <c r="P28" s="42"/>
      <c r="Q28" s="79"/>
      <c r="R28" s="20"/>
      <c r="S28" s="20"/>
      <c r="T28" s="20"/>
      <c r="U28" s="58"/>
      <c r="V28" s="20"/>
      <c r="W28" s="42"/>
      <c r="X28" s="42"/>
    </row>
    <row r="29" spans="1:24" x14ac:dyDescent="0.25">
      <c r="A29" s="19" t="s">
        <v>148</v>
      </c>
      <c r="B29" s="3"/>
      <c r="C29" s="3"/>
      <c r="D29" s="4"/>
      <c r="E29" s="4"/>
      <c r="F29" s="1"/>
      <c r="G29" s="1"/>
      <c r="H29" s="3"/>
      <c r="I29" s="5"/>
      <c r="J29" s="5"/>
      <c r="K29" s="5"/>
      <c r="L29" s="5"/>
      <c r="M29" s="5"/>
      <c r="N29" s="57"/>
      <c r="O29" s="5"/>
      <c r="P29" s="42"/>
      <c r="Q29" s="79"/>
      <c r="R29" s="20"/>
      <c r="S29" s="20"/>
      <c r="T29" s="20"/>
      <c r="U29" s="58"/>
      <c r="V29" s="20"/>
      <c r="W29" s="42"/>
      <c r="X29" s="42"/>
    </row>
    <row r="30" spans="1:24" x14ac:dyDescent="0.25">
      <c r="A30" s="19"/>
      <c r="B30" s="1" t="s">
        <v>147</v>
      </c>
      <c r="C30" s="3"/>
      <c r="D30" s="4"/>
      <c r="E30" s="4"/>
      <c r="F30" s="1"/>
      <c r="G30" s="1"/>
      <c r="H30" s="3"/>
      <c r="I30" s="8"/>
      <c r="J30" s="5"/>
      <c r="K30" s="5"/>
      <c r="L30" s="5"/>
      <c r="M30" s="5"/>
      <c r="N30" s="57"/>
      <c r="O30" s="5"/>
      <c r="P30" s="42"/>
      <c r="Q30" s="79"/>
      <c r="R30" s="20"/>
      <c r="S30" s="20"/>
      <c r="T30" s="20"/>
      <c r="U30" s="58"/>
      <c r="V30" s="20"/>
      <c r="W30" s="42"/>
      <c r="X30" s="42"/>
    </row>
    <row r="31" spans="1:24" x14ac:dyDescent="0.25">
      <c r="A31" s="19"/>
      <c r="B31" s="3" t="s">
        <v>69</v>
      </c>
      <c r="C31" s="43">
        <v>149776</v>
      </c>
      <c r="D31" s="4"/>
      <c r="E31" s="4"/>
      <c r="F31" s="1"/>
      <c r="G31" s="1"/>
      <c r="H31" s="3"/>
      <c r="I31" s="5"/>
      <c r="J31" s="5"/>
      <c r="K31" s="5"/>
      <c r="L31" s="5"/>
      <c r="M31" s="5"/>
      <c r="N31" s="57"/>
      <c r="O31" s="5"/>
      <c r="P31" s="42"/>
      <c r="Q31" s="79"/>
      <c r="R31" s="20"/>
      <c r="S31" s="20"/>
      <c r="T31" s="20"/>
      <c r="U31" s="58"/>
      <c r="V31" s="20"/>
      <c r="W31" s="42"/>
      <c r="X31" s="42"/>
    </row>
    <row r="32" spans="1:24" x14ac:dyDescent="0.25">
      <c r="A32" s="19"/>
      <c r="B32" s="3" t="s">
        <v>146</v>
      </c>
      <c r="C32" s="43">
        <v>149775</v>
      </c>
      <c r="D32" s="4"/>
      <c r="E32" s="4"/>
      <c r="F32" s="1"/>
      <c r="G32" s="1"/>
      <c r="H32" s="3"/>
      <c r="I32" s="5"/>
      <c r="J32" s="5"/>
      <c r="K32" s="5"/>
      <c r="L32" s="5"/>
      <c r="M32" s="5"/>
      <c r="N32" s="57"/>
      <c r="O32" s="5"/>
      <c r="P32" s="42"/>
      <c r="Q32" s="79"/>
      <c r="R32" s="20"/>
      <c r="S32" s="20"/>
      <c r="T32" s="20"/>
      <c r="U32" s="58"/>
      <c r="V32" s="20"/>
      <c r="W32" s="45"/>
      <c r="X32" s="42"/>
    </row>
    <row r="33" spans="1:24" x14ac:dyDescent="0.25">
      <c r="A33" s="19"/>
      <c r="B33" s="3"/>
      <c r="C33" s="3"/>
      <c r="D33" s="4"/>
      <c r="E33" s="4"/>
      <c r="F33" s="1"/>
      <c r="G33" s="1"/>
      <c r="H33" s="3"/>
      <c r="I33" s="5"/>
      <c r="J33" s="5"/>
      <c r="K33" s="5"/>
      <c r="L33" s="5"/>
      <c r="M33" s="5"/>
      <c r="N33" s="57"/>
      <c r="O33" s="5"/>
      <c r="P33" s="42"/>
      <c r="Q33" s="79"/>
      <c r="R33" s="20"/>
      <c r="S33" s="20"/>
      <c r="T33" s="20"/>
      <c r="U33" s="58"/>
      <c r="V33" s="20"/>
      <c r="W33" s="42"/>
      <c r="X33" s="42"/>
    </row>
    <row r="34" spans="1:24" x14ac:dyDescent="0.25">
      <c r="A34" s="19"/>
      <c r="B34" s="3"/>
      <c r="C34" s="3"/>
      <c r="D34" s="4"/>
      <c r="E34" s="4"/>
      <c r="F34" s="1"/>
      <c r="G34" s="1"/>
      <c r="H34" s="3"/>
      <c r="I34" s="5"/>
      <c r="J34" s="5"/>
      <c r="K34" s="5"/>
      <c r="L34" s="5"/>
      <c r="M34" s="5"/>
      <c r="N34" s="57"/>
      <c r="O34" s="5"/>
      <c r="P34" s="42"/>
      <c r="Q34" s="79"/>
      <c r="R34" s="20"/>
      <c r="S34" s="20"/>
      <c r="T34" s="20"/>
      <c r="U34" s="58"/>
      <c r="V34" s="20"/>
      <c r="W34" s="42"/>
      <c r="X34" s="42"/>
    </row>
    <row r="35" spans="1:24" x14ac:dyDescent="0.25">
      <c r="A35" s="19"/>
      <c r="B35" s="3"/>
      <c r="C35" s="3"/>
      <c r="D35" s="4"/>
      <c r="E35" s="4"/>
      <c r="F35" s="1"/>
      <c r="G35" s="1"/>
      <c r="H35" s="3"/>
      <c r="I35" s="8"/>
      <c r="J35" s="5"/>
      <c r="K35" s="5"/>
      <c r="L35" s="5"/>
      <c r="M35" s="5"/>
      <c r="N35" s="57"/>
      <c r="O35" s="5"/>
      <c r="P35" s="42"/>
      <c r="Q35" s="79"/>
      <c r="R35" s="45"/>
      <c r="S35" s="20"/>
      <c r="T35" s="20"/>
      <c r="U35" s="58"/>
      <c r="V35" s="20"/>
      <c r="W35" s="42"/>
      <c r="X35" s="42"/>
    </row>
    <row r="36" spans="1:24" x14ac:dyDescent="0.25">
      <c r="A36" s="19"/>
      <c r="B36" s="3"/>
      <c r="C36" s="3"/>
      <c r="D36" s="4"/>
      <c r="E36" s="4"/>
      <c r="F36" s="1"/>
      <c r="G36" s="1"/>
      <c r="H36" s="3"/>
      <c r="I36" s="8"/>
      <c r="J36" s="5"/>
      <c r="K36" s="5"/>
      <c r="L36" s="5"/>
      <c r="M36" s="5"/>
      <c r="N36" s="57"/>
      <c r="O36" s="5"/>
      <c r="P36" s="42"/>
      <c r="Q36" s="79"/>
      <c r="R36" s="45"/>
      <c r="S36" s="20"/>
      <c r="T36" s="20"/>
      <c r="U36" s="58"/>
      <c r="V36" s="20"/>
      <c r="W36" s="42"/>
      <c r="X36" s="42"/>
    </row>
    <row r="37" spans="1:24" x14ac:dyDescent="0.25">
      <c r="P37" s="81"/>
      <c r="Q37" s="26"/>
      <c r="R37" s="26"/>
      <c r="S37" s="26"/>
      <c r="T37" s="26"/>
      <c r="U37" s="81"/>
      <c r="V37" s="26"/>
      <c r="W37" s="81"/>
    </row>
    <row r="38" spans="1:24" x14ac:dyDescent="0.25">
      <c r="P38" s="81"/>
      <c r="Q38" s="26"/>
      <c r="R38" s="26"/>
      <c r="S38" s="26"/>
      <c r="T38" s="26"/>
      <c r="U38" s="81"/>
      <c r="V38" s="26"/>
      <c r="W38" s="8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C9" sqref="C9"/>
    </sheetView>
  </sheetViews>
  <sheetFormatPr defaultRowHeight="13.2" x14ac:dyDescent="0.25"/>
  <sheetData>
    <row r="2" spans="1:3" x14ac:dyDescent="0.25">
      <c r="A2" t="s">
        <v>233</v>
      </c>
    </row>
    <row r="4" spans="1:3" x14ac:dyDescent="0.25">
      <c r="B4" t="s">
        <v>234</v>
      </c>
    </row>
    <row r="5" spans="1:3" x14ac:dyDescent="0.25">
      <c r="B5">
        <v>3.6</v>
      </c>
      <c r="C5" t="s">
        <v>235</v>
      </c>
    </row>
    <row r="6" spans="1:3" x14ac:dyDescent="0.25">
      <c r="C6" t="s">
        <v>236</v>
      </c>
    </row>
    <row r="8" spans="1:3" x14ac:dyDescent="0.25">
      <c r="B8">
        <v>9.5</v>
      </c>
      <c r="C8" t="s">
        <v>242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114"/>
  <sheetViews>
    <sheetView tabSelected="1" workbookViewId="0">
      <pane ySplit="8" topLeftCell="A10" activePane="bottomLeft" state="frozen"/>
      <selection pane="bottomLeft" activeCell="I29" sqref="I29"/>
    </sheetView>
  </sheetViews>
  <sheetFormatPr defaultColWidth="9.109375" defaultRowHeight="13.2" x14ac:dyDescent="0.25"/>
  <cols>
    <col min="1" max="1" width="8.88671875" style="18" customWidth="1"/>
    <col min="2" max="2" width="9.109375" style="18"/>
    <col min="3" max="3" width="10.5546875" style="18" customWidth="1"/>
    <col min="4" max="4" width="8.6640625" style="18" customWidth="1"/>
    <col min="5" max="5" width="11" style="18" customWidth="1"/>
    <col min="6" max="6" width="12.44140625" style="19" customWidth="1"/>
    <col min="7" max="7" width="8" style="19" customWidth="1"/>
    <col min="8" max="8" width="6.44140625" style="18" customWidth="1"/>
    <col min="9" max="9" width="8.88671875" style="18" customWidth="1"/>
    <col min="10" max="10" width="12.33203125" style="18" customWidth="1"/>
    <col min="11" max="11" width="9.109375" style="18"/>
    <col min="12" max="12" width="13.6640625" style="18" customWidth="1"/>
    <col min="13" max="13" width="12.88671875" style="27" customWidth="1"/>
    <col min="14" max="16384" width="9.109375" style="18"/>
  </cols>
  <sheetData>
    <row r="1" spans="1:13" x14ac:dyDescent="0.25">
      <c r="A1" s="46" t="s">
        <v>232</v>
      </c>
      <c r="B1" s="3"/>
      <c r="C1" s="3"/>
      <c r="D1" s="4"/>
      <c r="E1" s="4"/>
      <c r="F1" s="1"/>
      <c r="G1" s="1"/>
      <c r="H1" s="3"/>
      <c r="I1" s="7"/>
      <c r="J1" s="17"/>
      <c r="K1" s="2"/>
      <c r="L1" s="20"/>
      <c r="M1" s="20"/>
    </row>
    <row r="2" spans="1:13" x14ac:dyDescent="0.25">
      <c r="A2" s="1"/>
      <c r="B2" s="1"/>
      <c r="C2" s="1"/>
      <c r="D2" s="4"/>
      <c r="E2" s="4"/>
      <c r="F2" s="1"/>
      <c r="G2" s="1"/>
      <c r="H2" s="3"/>
      <c r="I2" s="7"/>
      <c r="J2" s="17"/>
      <c r="K2" s="2"/>
      <c r="L2" s="20"/>
      <c r="M2" s="20"/>
    </row>
    <row r="3" spans="1:13" x14ac:dyDescent="0.25">
      <c r="A3" s="1"/>
      <c r="B3" s="1"/>
      <c r="C3" s="1"/>
      <c r="D3" s="4"/>
      <c r="E3" s="4"/>
      <c r="F3" s="6" t="s">
        <v>4</v>
      </c>
      <c r="G3" s="1" t="s">
        <v>4</v>
      </c>
      <c r="H3" s="2" t="s">
        <v>4</v>
      </c>
      <c r="I3" s="8"/>
      <c r="J3" s="17"/>
      <c r="K3" s="2"/>
      <c r="L3" s="20"/>
      <c r="M3" s="20"/>
    </row>
    <row r="4" spans="1:13" x14ac:dyDescent="0.25">
      <c r="A4" s="1"/>
      <c r="B4" s="3"/>
      <c r="C4" s="3"/>
      <c r="D4" s="4"/>
      <c r="E4" s="4"/>
      <c r="F4" s="23"/>
      <c r="G4" s="1"/>
      <c r="H4" s="23"/>
      <c r="I4" s="8"/>
      <c r="J4" s="17"/>
      <c r="K4" s="2"/>
      <c r="L4" s="20"/>
      <c r="M4" s="20"/>
    </row>
    <row r="5" spans="1:13" x14ac:dyDescent="0.25">
      <c r="A5" s="1"/>
      <c r="B5" s="3"/>
      <c r="C5" s="60"/>
      <c r="D5" s="4"/>
      <c r="E5" s="4"/>
      <c r="F5" s="23"/>
      <c r="G5" s="1"/>
      <c r="H5" s="23"/>
      <c r="I5" s="8"/>
      <c r="J5" s="17"/>
      <c r="K5" s="2"/>
      <c r="L5" s="20"/>
      <c r="M5" s="20"/>
    </row>
    <row r="6" spans="1:13" x14ac:dyDescent="0.25">
      <c r="A6" s="1"/>
      <c r="B6" s="3"/>
      <c r="C6" s="60"/>
      <c r="D6" s="4"/>
      <c r="E6" s="4"/>
      <c r="F6" s="23"/>
      <c r="G6" s="1"/>
      <c r="H6" s="23"/>
      <c r="I6" s="8"/>
      <c r="J6" s="17"/>
      <c r="K6" s="2"/>
      <c r="L6" s="20"/>
      <c r="M6" s="20"/>
    </row>
    <row r="7" spans="1:13" ht="10.5" customHeight="1" x14ac:dyDescent="0.25">
      <c r="A7" s="1"/>
      <c r="B7" s="3"/>
      <c r="C7" s="60"/>
      <c r="D7" s="4"/>
      <c r="E7" s="4"/>
      <c r="F7" s="23"/>
      <c r="G7" s="1"/>
      <c r="H7" s="23"/>
      <c r="I7" s="8"/>
      <c r="J7" s="17"/>
      <c r="K7" s="2"/>
      <c r="L7" s="20"/>
      <c r="M7" s="20"/>
    </row>
    <row r="8" spans="1:13" x14ac:dyDescent="0.25">
      <c r="A8" s="1" t="s">
        <v>237</v>
      </c>
      <c r="B8" s="3"/>
      <c r="C8" s="60" t="s">
        <v>243</v>
      </c>
      <c r="D8" s="4"/>
      <c r="E8" s="4"/>
      <c r="F8" s="23"/>
      <c r="G8" s="1"/>
      <c r="H8" s="23"/>
      <c r="I8" s="8"/>
      <c r="J8" s="17"/>
      <c r="K8" s="2"/>
      <c r="L8" s="20"/>
      <c r="M8" s="20"/>
    </row>
    <row r="9" spans="1:13" s="98" customFormat="1" x14ac:dyDescent="0.25">
      <c r="A9" s="92" t="s">
        <v>238</v>
      </c>
      <c r="B9" s="93" t="s">
        <v>48</v>
      </c>
      <c r="C9" s="93" t="s">
        <v>244</v>
      </c>
      <c r="D9" s="94" t="s">
        <v>239</v>
      </c>
      <c r="E9" s="94" t="s">
        <v>240</v>
      </c>
      <c r="F9" s="92" t="s">
        <v>241</v>
      </c>
      <c r="G9" s="92" t="s">
        <v>10</v>
      </c>
      <c r="H9" s="93" t="s">
        <v>245</v>
      </c>
      <c r="I9" s="95" t="s">
        <v>12</v>
      </c>
      <c r="J9" s="96" t="s">
        <v>122</v>
      </c>
      <c r="K9" s="93" t="s">
        <v>20</v>
      </c>
      <c r="L9" s="92" t="s">
        <v>21</v>
      </c>
      <c r="M9" s="97" t="s">
        <v>123</v>
      </c>
    </row>
    <row r="10" spans="1:13" s="27" customFormat="1" x14ac:dyDescent="0.25">
      <c r="A10" s="1" t="s">
        <v>104</v>
      </c>
      <c r="B10" s="3" t="s">
        <v>125</v>
      </c>
      <c r="C10" s="3" t="s">
        <v>125</v>
      </c>
      <c r="D10" s="4">
        <v>34274</v>
      </c>
      <c r="E10" s="4">
        <v>37407</v>
      </c>
      <c r="F10" s="1" t="s">
        <v>3</v>
      </c>
      <c r="G10" s="1" t="s">
        <v>169</v>
      </c>
      <c r="H10" s="3" t="s">
        <v>23</v>
      </c>
      <c r="I10" s="8">
        <f>1.0603</f>
        <v>1.0603</v>
      </c>
      <c r="J10" s="17">
        <v>37393</v>
      </c>
      <c r="K10" s="3">
        <v>20000</v>
      </c>
      <c r="L10" s="1" t="s">
        <v>173</v>
      </c>
      <c r="M10" s="9">
        <f>+I10*K10</f>
        <v>21206</v>
      </c>
    </row>
    <row r="11" spans="1:13" s="27" customFormat="1" x14ac:dyDescent="0.25">
      <c r="A11" s="1" t="s">
        <v>104</v>
      </c>
      <c r="B11" s="3" t="s">
        <v>125</v>
      </c>
      <c r="C11" s="3" t="s">
        <v>110</v>
      </c>
      <c r="D11" s="4">
        <v>36557</v>
      </c>
      <c r="E11" s="4">
        <v>37560</v>
      </c>
      <c r="F11" s="1" t="s">
        <v>231</v>
      </c>
      <c r="G11" s="1" t="s">
        <v>127</v>
      </c>
      <c r="H11" s="3"/>
      <c r="I11" s="8">
        <f>1.0603</f>
        <v>1.0603</v>
      </c>
      <c r="J11" s="17">
        <v>42789</v>
      </c>
      <c r="K11" s="3">
        <v>30000</v>
      </c>
      <c r="L11" s="1" t="s">
        <v>128</v>
      </c>
      <c r="M11" s="9">
        <f>+I11*K11</f>
        <v>31809</v>
      </c>
    </row>
    <row r="12" spans="1:13" s="27" customFormat="1" x14ac:dyDescent="0.25">
      <c r="A12" s="1" t="s">
        <v>104</v>
      </c>
      <c r="B12" s="3" t="s">
        <v>125</v>
      </c>
      <c r="C12" s="3" t="s">
        <v>110</v>
      </c>
      <c r="D12" s="4">
        <v>36557</v>
      </c>
      <c r="E12" s="4">
        <v>37468</v>
      </c>
      <c r="F12" s="1" t="s">
        <v>129</v>
      </c>
      <c r="G12" s="1" t="s">
        <v>127</v>
      </c>
      <c r="H12" s="3"/>
      <c r="I12" s="8">
        <f>1.0603</f>
        <v>1.0603</v>
      </c>
      <c r="J12" s="17">
        <v>50250</v>
      </c>
      <c r="K12" s="3">
        <v>20000</v>
      </c>
      <c r="L12" s="1" t="s">
        <v>130</v>
      </c>
      <c r="M12" s="9">
        <f>+I12*K12</f>
        <v>21206</v>
      </c>
    </row>
    <row r="13" spans="1:13" s="27" customFormat="1" x14ac:dyDescent="0.25">
      <c r="A13" s="1" t="s">
        <v>104</v>
      </c>
      <c r="B13" s="3" t="s">
        <v>125</v>
      </c>
      <c r="C13" s="3" t="s">
        <v>110</v>
      </c>
      <c r="D13" s="4">
        <v>36557</v>
      </c>
      <c r="E13" s="4">
        <v>37955</v>
      </c>
      <c r="F13" s="1" t="s">
        <v>131</v>
      </c>
      <c r="G13" s="1" t="s">
        <v>132</v>
      </c>
      <c r="H13" s="3"/>
      <c r="I13" s="8">
        <f>1.0603</f>
        <v>1.0603</v>
      </c>
      <c r="J13" s="17">
        <v>62408</v>
      </c>
      <c r="K13" s="3">
        <v>40000</v>
      </c>
      <c r="L13" s="1" t="s">
        <v>217</v>
      </c>
      <c r="M13" s="9">
        <f>+I13*K13</f>
        <v>42412</v>
      </c>
    </row>
    <row r="14" spans="1:13" s="27" customFormat="1" x14ac:dyDescent="0.25">
      <c r="A14" s="1" t="s">
        <v>104</v>
      </c>
      <c r="B14" s="3" t="s">
        <v>125</v>
      </c>
      <c r="C14" s="3" t="s">
        <v>110</v>
      </c>
      <c r="D14" s="4">
        <v>36557</v>
      </c>
      <c r="E14" s="4">
        <v>38291</v>
      </c>
      <c r="F14" s="1" t="s">
        <v>133</v>
      </c>
      <c r="G14" s="1" t="s">
        <v>127</v>
      </c>
      <c r="H14" s="3"/>
      <c r="I14" s="8">
        <f>1.0603</f>
        <v>1.0603</v>
      </c>
      <c r="J14" s="17">
        <v>63922</v>
      </c>
      <c r="K14" s="3">
        <v>25654</v>
      </c>
      <c r="L14" s="21" t="s">
        <v>218</v>
      </c>
      <c r="M14" s="9">
        <f>+I14*K14</f>
        <v>27200.9362</v>
      </c>
    </row>
    <row r="15" spans="1:13" s="27" customFormat="1" x14ac:dyDescent="0.25">
      <c r="A15" s="1"/>
      <c r="B15" s="3"/>
      <c r="C15" s="3"/>
      <c r="D15" s="4"/>
      <c r="E15" s="4"/>
      <c r="F15" s="1"/>
      <c r="G15" s="1"/>
      <c r="H15" s="3"/>
      <c r="I15" s="8"/>
      <c r="J15" s="17"/>
      <c r="K15" s="3"/>
      <c r="L15" s="1"/>
      <c r="M15" s="9"/>
    </row>
    <row r="16" spans="1:13" s="27" customFormat="1" x14ac:dyDescent="0.25">
      <c r="A16" s="1"/>
      <c r="B16" s="3"/>
      <c r="C16" s="3"/>
      <c r="D16" s="4"/>
      <c r="E16" s="4"/>
      <c r="F16" s="1"/>
      <c r="G16" s="1"/>
      <c r="H16" s="3"/>
      <c r="I16" s="8"/>
      <c r="J16" s="17"/>
      <c r="K16" s="3"/>
      <c r="L16" s="1"/>
      <c r="M16" s="9"/>
    </row>
    <row r="17" spans="1:13" s="27" customFormat="1" x14ac:dyDescent="0.25">
      <c r="A17" s="1" t="s">
        <v>104</v>
      </c>
      <c r="B17" s="3" t="s">
        <v>125</v>
      </c>
      <c r="C17" s="3" t="s">
        <v>125</v>
      </c>
      <c r="D17" s="4">
        <v>34274</v>
      </c>
      <c r="E17" s="4">
        <v>40117</v>
      </c>
      <c r="F17" s="1" t="s">
        <v>169</v>
      </c>
      <c r="G17" s="1" t="s">
        <v>41</v>
      </c>
      <c r="H17" s="3" t="s">
        <v>23</v>
      </c>
      <c r="I17" s="8">
        <f>3.145</f>
        <v>3.145</v>
      </c>
      <c r="J17" s="17">
        <v>37861</v>
      </c>
      <c r="K17" s="3">
        <v>15000</v>
      </c>
      <c r="L17" s="1" t="s">
        <v>219</v>
      </c>
      <c r="M17" s="9">
        <f>+I17*K17</f>
        <v>47175</v>
      </c>
    </row>
    <row r="18" spans="1:13" s="27" customFormat="1" x14ac:dyDescent="0.25">
      <c r="A18" s="1" t="s">
        <v>104</v>
      </c>
      <c r="B18" s="3" t="s">
        <v>125</v>
      </c>
      <c r="C18" s="3" t="s">
        <v>110</v>
      </c>
      <c r="D18" s="4">
        <v>36557</v>
      </c>
      <c r="E18" s="4">
        <v>38472</v>
      </c>
      <c r="F18" s="1" t="s">
        <v>127</v>
      </c>
      <c r="G18" s="1" t="s">
        <v>41</v>
      </c>
      <c r="H18" s="3"/>
      <c r="I18" s="8">
        <f>3.145</f>
        <v>3.145</v>
      </c>
      <c r="J18" s="17">
        <v>58654</v>
      </c>
      <c r="K18" s="3">
        <v>15000</v>
      </c>
      <c r="L18" s="1" t="s">
        <v>220</v>
      </c>
      <c r="M18" s="9">
        <f>+I18*K18</f>
        <v>47175</v>
      </c>
    </row>
    <row r="19" spans="1:13" s="27" customFormat="1" x14ac:dyDescent="0.25">
      <c r="A19" s="1" t="s">
        <v>104</v>
      </c>
      <c r="B19" s="3" t="s">
        <v>125</v>
      </c>
      <c r="C19" s="3" t="s">
        <v>110</v>
      </c>
      <c r="D19" s="4">
        <v>36557</v>
      </c>
      <c r="E19" s="4">
        <v>37346</v>
      </c>
      <c r="F19" s="1" t="s">
        <v>127</v>
      </c>
      <c r="G19" s="1" t="s">
        <v>41</v>
      </c>
      <c r="H19" s="3"/>
      <c r="I19" s="8">
        <f>2.6805</f>
        <v>2.6804999999999999</v>
      </c>
      <c r="J19" s="17">
        <v>63115</v>
      </c>
      <c r="K19" s="3">
        <v>30000</v>
      </c>
      <c r="L19" s="21" t="s">
        <v>221</v>
      </c>
      <c r="M19" s="9">
        <f>+I19*K19</f>
        <v>80415</v>
      </c>
    </row>
    <row r="20" spans="1:13" s="27" customFormat="1" x14ac:dyDescent="0.25">
      <c r="A20" s="1"/>
      <c r="B20" s="3"/>
      <c r="C20" s="3"/>
      <c r="D20" s="4"/>
      <c r="E20" s="4"/>
      <c r="F20" s="21"/>
      <c r="G20" s="21"/>
      <c r="H20" s="3"/>
      <c r="I20" s="8"/>
      <c r="J20" s="17"/>
      <c r="K20" s="89"/>
      <c r="L20" s="21"/>
      <c r="M20" s="9"/>
    </row>
    <row r="21" spans="1:13" s="26" customFormat="1" x14ac:dyDescent="0.25">
      <c r="A21" s="86" t="s">
        <v>4</v>
      </c>
      <c r="B21" s="79" t="s">
        <v>4</v>
      </c>
      <c r="C21" s="45" t="s">
        <v>4</v>
      </c>
      <c r="D21" s="87" t="s">
        <v>4</v>
      </c>
      <c r="E21" s="87"/>
      <c r="F21" s="86" t="s">
        <v>4</v>
      </c>
      <c r="G21" s="90" t="s">
        <v>4</v>
      </c>
      <c r="H21" s="79" t="s">
        <v>4</v>
      </c>
      <c r="I21" s="88"/>
      <c r="J21" s="91" t="s">
        <v>4</v>
      </c>
      <c r="K21" s="45">
        <f>SUM(K10:K20)</f>
        <v>195654</v>
      </c>
      <c r="L21" s="86" t="s">
        <v>145</v>
      </c>
      <c r="M21" s="20">
        <f>SUM(M10:M20)</f>
        <v>318598.9362</v>
      </c>
    </row>
    <row r="22" spans="1:13" s="26" customFormat="1" x14ac:dyDescent="0.25">
      <c r="A22" s="86"/>
      <c r="B22" s="79"/>
      <c r="C22" s="45"/>
      <c r="D22" s="87"/>
      <c r="E22" s="87"/>
      <c r="F22" s="86"/>
      <c r="G22" s="90"/>
      <c r="H22" s="79"/>
      <c r="I22" s="88"/>
      <c r="J22" s="91"/>
      <c r="K22" s="79"/>
      <c r="L22" s="86" t="s">
        <v>175</v>
      </c>
      <c r="M22" s="20">
        <v>0</v>
      </c>
    </row>
    <row r="23" spans="1:13" ht="13.8" thickBot="1" x14ac:dyDescent="0.3">
      <c r="A23" s="86"/>
      <c r="B23" s="79"/>
      <c r="C23" s="45"/>
      <c r="D23" s="87"/>
      <c r="E23" s="87"/>
      <c r="F23" s="86"/>
      <c r="G23" s="90"/>
      <c r="H23" s="79"/>
      <c r="I23" s="88"/>
      <c r="J23" s="91"/>
      <c r="K23" s="79"/>
      <c r="L23" s="86" t="s">
        <v>176</v>
      </c>
      <c r="M23" s="106">
        <f>+M21-M22</f>
        <v>318598.9362</v>
      </c>
    </row>
    <row r="24" spans="1:13" ht="13.8" thickTop="1" x14ac:dyDescent="0.25">
      <c r="A24" s="86"/>
      <c r="B24" s="79"/>
      <c r="C24" s="45"/>
      <c r="D24" s="87"/>
      <c r="E24" s="87"/>
      <c r="F24" s="86"/>
      <c r="G24" s="90"/>
      <c r="H24" s="79"/>
      <c r="I24" s="88"/>
      <c r="J24" s="91"/>
      <c r="K24" s="79"/>
      <c r="L24" s="86"/>
      <c r="M24" s="20"/>
    </row>
    <row r="25" spans="1:13" s="98" customFormat="1" x14ac:dyDescent="0.25">
      <c r="A25" s="92" t="s">
        <v>5</v>
      </c>
      <c r="B25" s="93" t="s">
        <v>6</v>
      </c>
      <c r="C25" s="93" t="s">
        <v>7</v>
      </c>
      <c r="D25" s="94" t="s">
        <v>8</v>
      </c>
      <c r="E25" s="94"/>
      <c r="F25" s="92" t="s">
        <v>9</v>
      </c>
      <c r="G25" s="92" t="s">
        <v>10</v>
      </c>
      <c r="H25" s="93" t="s">
        <v>11</v>
      </c>
      <c r="I25" s="95" t="s">
        <v>12</v>
      </c>
      <c r="J25" s="96" t="s">
        <v>122</v>
      </c>
      <c r="K25" s="93" t="s">
        <v>20</v>
      </c>
      <c r="L25" s="92" t="s">
        <v>21</v>
      </c>
      <c r="M25" s="97" t="s">
        <v>136</v>
      </c>
    </row>
    <row r="26" spans="1:13" s="27" customFormat="1" x14ac:dyDescent="0.25">
      <c r="A26" s="1" t="s">
        <v>104</v>
      </c>
      <c r="B26" s="3" t="s">
        <v>137</v>
      </c>
      <c r="C26" s="3" t="s">
        <v>64</v>
      </c>
      <c r="D26" s="4">
        <v>37012</v>
      </c>
      <c r="E26" s="4">
        <v>37376</v>
      </c>
      <c r="F26" s="21" t="s">
        <v>177</v>
      </c>
      <c r="G26" s="21" t="s">
        <v>178</v>
      </c>
      <c r="H26" s="3" t="s">
        <v>140</v>
      </c>
      <c r="I26" s="43">
        <f>6.195</f>
        <v>6.1950000000000003</v>
      </c>
      <c r="J26" s="17">
        <v>67207</v>
      </c>
      <c r="K26" s="3">
        <v>19293</v>
      </c>
      <c r="L26" s="1" t="s">
        <v>210</v>
      </c>
      <c r="M26" s="9">
        <f>+I26*K26</f>
        <v>119520.13500000001</v>
      </c>
    </row>
    <row r="27" spans="1:13" s="27" customFormat="1" x14ac:dyDescent="0.25">
      <c r="A27" s="1" t="s">
        <v>172</v>
      </c>
      <c r="B27" s="3" t="s">
        <v>137</v>
      </c>
      <c r="C27" s="3" t="s">
        <v>137</v>
      </c>
      <c r="D27" s="4">
        <v>36982</v>
      </c>
      <c r="E27" s="4">
        <v>37346</v>
      </c>
      <c r="F27" s="1" t="s">
        <v>134</v>
      </c>
      <c r="G27" s="1" t="s">
        <v>181</v>
      </c>
      <c r="H27" s="3" t="s">
        <v>23</v>
      </c>
      <c r="I27" s="8">
        <f>6.195</f>
        <v>6.1950000000000003</v>
      </c>
      <c r="J27" s="17">
        <v>67133</v>
      </c>
      <c r="K27" s="3">
        <v>4000</v>
      </c>
      <c r="L27" s="1" t="s">
        <v>167</v>
      </c>
      <c r="M27" s="9">
        <f>+I27*K27</f>
        <v>24780</v>
      </c>
    </row>
    <row r="28" spans="1:13" s="27" customFormat="1" x14ac:dyDescent="0.25">
      <c r="A28" s="1" t="s">
        <v>172</v>
      </c>
      <c r="B28" s="3" t="s">
        <v>137</v>
      </c>
      <c r="C28" s="3" t="s">
        <v>137</v>
      </c>
      <c r="D28" s="4">
        <v>36982</v>
      </c>
      <c r="E28" s="4">
        <v>37346</v>
      </c>
      <c r="F28" s="1" t="s">
        <v>134</v>
      </c>
      <c r="G28" s="1" t="s">
        <v>168</v>
      </c>
      <c r="H28" s="3" t="s">
        <v>23</v>
      </c>
      <c r="I28" s="8">
        <f>6.231</f>
        <v>6.2309999999999999</v>
      </c>
      <c r="J28" s="17">
        <v>70197</v>
      </c>
      <c r="K28" s="3">
        <v>4000</v>
      </c>
      <c r="L28" s="1" t="s">
        <v>167</v>
      </c>
      <c r="M28" s="9">
        <f>+I28*K28</f>
        <v>24924</v>
      </c>
    </row>
    <row r="29" spans="1:13" s="27" customFormat="1" x14ac:dyDescent="0.25">
      <c r="A29" s="1" t="s">
        <v>94</v>
      </c>
      <c r="B29" s="3" t="s">
        <v>137</v>
      </c>
      <c r="C29" s="3" t="s">
        <v>138</v>
      </c>
      <c r="D29" s="4">
        <v>36434</v>
      </c>
      <c r="E29" s="4">
        <v>36714</v>
      </c>
      <c r="F29" s="1" t="s">
        <v>41</v>
      </c>
      <c r="G29" s="1" t="s">
        <v>222</v>
      </c>
      <c r="H29" s="3"/>
      <c r="I29" s="8">
        <v>0</v>
      </c>
      <c r="J29" s="17"/>
      <c r="K29" s="3">
        <v>40000</v>
      </c>
      <c r="L29" s="1"/>
      <c r="M29" s="9">
        <f>+I29*K29</f>
        <v>0</v>
      </c>
    </row>
    <row r="30" spans="1:13" s="27" customFormat="1" x14ac:dyDescent="0.25">
      <c r="A30" s="1" t="s">
        <v>69</v>
      </c>
      <c r="B30" s="3" t="s">
        <v>137</v>
      </c>
      <c r="C30" s="3" t="s">
        <v>138</v>
      </c>
      <c r="D30" s="4">
        <v>37196</v>
      </c>
      <c r="E30" s="4">
        <v>37346</v>
      </c>
      <c r="F30" s="1" t="s">
        <v>41</v>
      </c>
      <c r="G30" s="1" t="s">
        <v>222</v>
      </c>
      <c r="H30" s="3"/>
      <c r="I30" s="8">
        <f>3.02</f>
        <v>3.02</v>
      </c>
      <c r="J30" s="17"/>
      <c r="K30" s="3">
        <v>40000</v>
      </c>
      <c r="L30" s="21" t="s">
        <v>223</v>
      </c>
      <c r="M30" s="9">
        <f>+I30*K30</f>
        <v>120800</v>
      </c>
    </row>
    <row r="31" spans="1:13" s="27" customFormat="1" x14ac:dyDescent="0.25">
      <c r="A31" s="1"/>
      <c r="B31" s="3"/>
      <c r="C31" s="3"/>
      <c r="D31" s="4"/>
      <c r="E31" s="4"/>
      <c r="F31" s="1"/>
      <c r="G31" s="1"/>
      <c r="H31" s="3"/>
      <c r="I31" s="8"/>
      <c r="J31" s="17"/>
      <c r="K31" s="3"/>
      <c r="L31" s="1"/>
      <c r="M31" s="9"/>
    </row>
    <row r="32" spans="1:13" s="27" customFormat="1" x14ac:dyDescent="0.25">
      <c r="A32" s="1"/>
      <c r="B32" s="3"/>
      <c r="C32" s="3"/>
      <c r="D32" s="108"/>
      <c r="E32" s="4"/>
      <c r="F32" s="1"/>
      <c r="G32" s="1"/>
      <c r="H32" s="3"/>
      <c r="I32" s="8"/>
      <c r="J32" s="17"/>
      <c r="K32" s="45">
        <f>SUM(K26:K31)</f>
        <v>107293</v>
      </c>
      <c r="L32" s="86" t="s">
        <v>145</v>
      </c>
      <c r="M32" s="20">
        <f>SUM(M26:M31)</f>
        <v>290024.13500000001</v>
      </c>
    </row>
    <row r="33" spans="1:13" s="27" customFormat="1" x14ac:dyDescent="0.25">
      <c r="A33" s="1"/>
      <c r="B33" s="3"/>
      <c r="C33" s="3"/>
      <c r="D33" s="108"/>
      <c r="E33" s="4"/>
      <c r="F33" s="1"/>
      <c r="G33" s="1"/>
      <c r="H33" s="3"/>
      <c r="I33" s="8"/>
      <c r="J33" s="17"/>
      <c r="K33" s="45"/>
      <c r="L33" s="86" t="s">
        <v>185</v>
      </c>
      <c r="M33" s="20">
        <v>0</v>
      </c>
    </row>
    <row r="34" spans="1:13" s="27" customFormat="1" x14ac:dyDescent="0.25">
      <c r="A34" s="1"/>
      <c r="B34" s="3"/>
      <c r="C34" s="3"/>
      <c r="D34" s="4"/>
      <c r="E34" s="4"/>
      <c r="F34" s="1"/>
      <c r="G34" s="1"/>
      <c r="H34" s="3"/>
      <c r="I34" s="8"/>
      <c r="J34" s="17"/>
      <c r="K34" s="79"/>
      <c r="L34" s="86" t="s">
        <v>175</v>
      </c>
      <c r="M34" s="20">
        <v>0</v>
      </c>
    </row>
    <row r="35" spans="1:13" s="27" customFormat="1" ht="13.8" thickBot="1" x14ac:dyDescent="0.3">
      <c r="A35" s="1"/>
      <c r="B35" s="3"/>
      <c r="C35" s="3"/>
      <c r="D35" s="4"/>
      <c r="E35" s="4"/>
      <c r="F35" s="1"/>
      <c r="G35" s="1"/>
      <c r="H35" s="3"/>
      <c r="I35" s="8"/>
      <c r="J35" s="17"/>
      <c r="K35" s="79"/>
      <c r="L35" s="86" t="s">
        <v>176</v>
      </c>
      <c r="M35" s="107">
        <f>+M32-M34</f>
        <v>290024.13500000001</v>
      </c>
    </row>
    <row r="36" spans="1:13" s="27" customFormat="1" ht="13.8" thickTop="1" x14ac:dyDescent="0.25">
      <c r="A36" s="1"/>
      <c r="B36" s="3"/>
      <c r="C36" s="3"/>
      <c r="D36" s="4"/>
      <c r="E36" s="4"/>
      <c r="F36" s="1"/>
      <c r="G36" s="1"/>
      <c r="H36" s="3"/>
      <c r="I36" s="8"/>
      <c r="J36" s="17"/>
      <c r="K36" s="3"/>
      <c r="L36" s="1"/>
      <c r="M36" s="9"/>
    </row>
    <row r="37" spans="1:13" s="27" customFormat="1" x14ac:dyDescent="0.25">
      <c r="A37" s="1"/>
      <c r="B37" s="3"/>
      <c r="C37" s="3"/>
      <c r="D37" s="4"/>
      <c r="E37" s="4"/>
      <c r="F37" s="1"/>
      <c r="G37" s="1"/>
      <c r="H37" s="3"/>
      <c r="I37" s="8"/>
      <c r="J37" s="55"/>
      <c r="K37" s="3"/>
      <c r="L37" s="1"/>
      <c r="M37" s="9"/>
    </row>
    <row r="38" spans="1:13" s="98" customFormat="1" x14ac:dyDescent="0.25">
      <c r="A38" s="92" t="s">
        <v>5</v>
      </c>
      <c r="B38" s="93" t="s">
        <v>6</v>
      </c>
      <c r="C38" s="93" t="s">
        <v>7</v>
      </c>
      <c r="D38" s="94" t="s">
        <v>8</v>
      </c>
      <c r="E38" s="94"/>
      <c r="F38" s="92" t="s">
        <v>9</v>
      </c>
      <c r="G38" s="92" t="s">
        <v>10</v>
      </c>
      <c r="H38" s="93" t="s">
        <v>11</v>
      </c>
      <c r="I38" s="95" t="s">
        <v>12</v>
      </c>
      <c r="J38" s="96" t="s">
        <v>122</v>
      </c>
      <c r="K38" s="93" t="s">
        <v>20</v>
      </c>
      <c r="L38" s="92" t="s">
        <v>21</v>
      </c>
      <c r="M38" s="97" t="s">
        <v>123</v>
      </c>
    </row>
    <row r="39" spans="1:13" s="27" customFormat="1" x14ac:dyDescent="0.25">
      <c r="A39" s="1" t="s">
        <v>186</v>
      </c>
      <c r="B39" s="3" t="s">
        <v>184</v>
      </c>
      <c r="C39" s="3" t="s">
        <v>184</v>
      </c>
      <c r="D39" s="4">
        <v>37104</v>
      </c>
      <c r="E39" s="4">
        <v>37134</v>
      </c>
      <c r="F39" s="1" t="s">
        <v>214</v>
      </c>
      <c r="G39" s="1" t="s">
        <v>214</v>
      </c>
      <c r="H39" s="3" t="s">
        <v>23</v>
      </c>
      <c r="I39" s="8">
        <v>0.37169999999999997</v>
      </c>
      <c r="J39" s="17">
        <v>5085</v>
      </c>
      <c r="K39" s="3">
        <v>2816</v>
      </c>
      <c r="L39" s="1" t="s">
        <v>212</v>
      </c>
      <c r="M39" s="9">
        <f>+I39*K39*30.4</f>
        <v>31819.898879999993</v>
      </c>
    </row>
    <row r="40" spans="1:13" s="27" customFormat="1" x14ac:dyDescent="0.25">
      <c r="A40" s="1" t="s">
        <v>186</v>
      </c>
      <c r="B40" s="3" t="s">
        <v>184</v>
      </c>
      <c r="C40" s="3" t="s">
        <v>184</v>
      </c>
      <c r="D40" s="4">
        <v>37104</v>
      </c>
      <c r="E40" s="4">
        <v>37134</v>
      </c>
      <c r="F40" s="1" t="s">
        <v>214</v>
      </c>
      <c r="G40" s="1" t="s">
        <v>214</v>
      </c>
      <c r="H40" s="3" t="s">
        <v>23</v>
      </c>
      <c r="I40" s="8">
        <v>0.75529999999999997</v>
      </c>
      <c r="J40" s="17">
        <v>5626</v>
      </c>
      <c r="K40" s="3">
        <v>75</v>
      </c>
      <c r="L40" s="1" t="s">
        <v>213</v>
      </c>
      <c r="M40" s="9">
        <f t="shared" ref="M40:M45" si="0">+I40*K40*30.4</f>
        <v>1722.0839999999998</v>
      </c>
    </row>
    <row r="41" spans="1:13" s="27" customFormat="1" x14ac:dyDescent="0.25">
      <c r="A41" s="1" t="s">
        <v>186</v>
      </c>
      <c r="B41" s="3" t="s">
        <v>184</v>
      </c>
      <c r="C41" s="3" t="s">
        <v>184</v>
      </c>
      <c r="D41" s="4">
        <v>37104</v>
      </c>
      <c r="E41" s="4">
        <v>37134</v>
      </c>
      <c r="F41" s="1" t="s">
        <v>214</v>
      </c>
      <c r="G41" s="1" t="s">
        <v>214</v>
      </c>
      <c r="H41" s="3" t="s">
        <v>23</v>
      </c>
      <c r="I41" s="8">
        <v>0.76480000000000004</v>
      </c>
      <c r="J41" s="17">
        <v>5626</v>
      </c>
      <c r="K41" s="3">
        <v>122</v>
      </c>
      <c r="L41" s="1" t="s">
        <v>213</v>
      </c>
      <c r="M41" s="9">
        <f t="shared" si="0"/>
        <v>2836.4902399999996</v>
      </c>
    </row>
    <row r="42" spans="1:13" s="27" customFormat="1" x14ac:dyDescent="0.25">
      <c r="A42" s="1" t="s">
        <v>186</v>
      </c>
      <c r="B42" s="3" t="s">
        <v>184</v>
      </c>
      <c r="C42" s="3" t="s">
        <v>184</v>
      </c>
      <c r="D42" s="4">
        <v>37104</v>
      </c>
      <c r="E42" s="4">
        <v>37134</v>
      </c>
      <c r="F42" s="1" t="s">
        <v>214</v>
      </c>
      <c r="G42" s="1" t="s">
        <v>214</v>
      </c>
      <c r="H42" s="3" t="s">
        <v>23</v>
      </c>
      <c r="I42" s="8">
        <v>0.39229999999999998</v>
      </c>
      <c r="J42" s="17">
        <v>5626</v>
      </c>
      <c r="K42" s="3">
        <v>350</v>
      </c>
      <c r="L42" s="1" t="s">
        <v>213</v>
      </c>
      <c r="M42" s="9">
        <f t="shared" si="0"/>
        <v>4174.0720000000001</v>
      </c>
    </row>
    <row r="43" spans="1:13" s="27" customFormat="1" x14ac:dyDescent="0.25">
      <c r="A43" s="1" t="s">
        <v>187</v>
      </c>
      <c r="B43" s="3" t="s">
        <v>184</v>
      </c>
      <c r="C43" s="3" t="s">
        <v>184</v>
      </c>
      <c r="D43" s="4">
        <v>37104</v>
      </c>
      <c r="E43" s="4">
        <v>37134</v>
      </c>
      <c r="F43" s="1" t="s">
        <v>214</v>
      </c>
      <c r="G43" s="1" t="s">
        <v>214</v>
      </c>
      <c r="H43" s="3" t="s">
        <v>23</v>
      </c>
      <c r="I43" s="8">
        <v>0.37169999999999997</v>
      </c>
      <c r="J43" s="17">
        <v>5879</v>
      </c>
      <c r="K43" s="3">
        <v>2002</v>
      </c>
      <c r="L43" s="1" t="s">
        <v>212</v>
      </c>
      <c r="M43" s="9">
        <f t="shared" si="0"/>
        <v>22621.959359999997</v>
      </c>
    </row>
    <row r="44" spans="1:13" s="27" customFormat="1" x14ac:dyDescent="0.25">
      <c r="A44" s="1" t="s">
        <v>187</v>
      </c>
      <c r="B44" s="3" t="s">
        <v>184</v>
      </c>
      <c r="C44" s="3" t="s">
        <v>184</v>
      </c>
      <c r="D44" s="4">
        <v>37104</v>
      </c>
      <c r="E44" s="4">
        <v>37134</v>
      </c>
      <c r="F44" s="1" t="s">
        <v>214</v>
      </c>
      <c r="G44" s="1" t="s">
        <v>214</v>
      </c>
      <c r="H44" s="3" t="s">
        <v>23</v>
      </c>
      <c r="I44" s="8">
        <v>0.37169999999999997</v>
      </c>
      <c r="J44" s="17">
        <v>6020</v>
      </c>
      <c r="K44" s="3">
        <v>1100</v>
      </c>
      <c r="L44" s="1" t="s">
        <v>212</v>
      </c>
      <c r="M44" s="9">
        <f t="shared" si="0"/>
        <v>12429.647999999997</v>
      </c>
    </row>
    <row r="45" spans="1:13" s="27" customFormat="1" x14ac:dyDescent="0.25">
      <c r="A45" s="1" t="s">
        <v>187</v>
      </c>
      <c r="B45" s="3" t="s">
        <v>184</v>
      </c>
      <c r="C45" s="3" t="s">
        <v>184</v>
      </c>
      <c r="D45" s="4">
        <v>36739</v>
      </c>
      <c r="E45" s="4">
        <v>44043</v>
      </c>
      <c r="F45" s="1" t="s">
        <v>215</v>
      </c>
      <c r="G45" s="1" t="s">
        <v>214</v>
      </c>
      <c r="H45" s="3" t="s">
        <v>23</v>
      </c>
      <c r="I45" s="8">
        <v>0.37169999999999997</v>
      </c>
      <c r="J45" s="17">
        <v>6089</v>
      </c>
      <c r="K45" s="3">
        <v>6669</v>
      </c>
      <c r="L45" s="1" t="s">
        <v>212</v>
      </c>
      <c r="M45" s="9">
        <f t="shared" si="0"/>
        <v>75357.565919999994</v>
      </c>
    </row>
    <row r="46" spans="1:13" s="27" customFormat="1" x14ac:dyDescent="0.25">
      <c r="A46" s="1"/>
      <c r="B46" s="3"/>
      <c r="C46" s="3"/>
      <c r="D46" s="4"/>
      <c r="E46" s="4"/>
      <c r="F46" s="21"/>
      <c r="G46" s="21"/>
      <c r="H46" s="3"/>
      <c r="I46" s="8"/>
      <c r="J46" s="17"/>
      <c r="K46" s="89"/>
      <c r="L46" s="21"/>
      <c r="M46" s="9"/>
    </row>
    <row r="47" spans="1:13" s="26" customFormat="1" x14ac:dyDescent="0.25">
      <c r="A47" s="86" t="s">
        <v>4</v>
      </c>
      <c r="B47" s="79" t="s">
        <v>4</v>
      </c>
      <c r="C47" s="45" t="s">
        <v>4</v>
      </c>
      <c r="D47" s="87" t="s">
        <v>4</v>
      </c>
      <c r="E47" s="87"/>
      <c r="F47" s="86" t="s">
        <v>4</v>
      </c>
      <c r="G47" s="90" t="s">
        <v>4</v>
      </c>
      <c r="H47" s="79" t="s">
        <v>4</v>
      </c>
      <c r="I47" s="88"/>
      <c r="J47" s="91" t="s">
        <v>4</v>
      </c>
      <c r="K47" s="45">
        <f>SUM(K39:K46)</f>
        <v>13134</v>
      </c>
      <c r="L47" s="86" t="s">
        <v>145</v>
      </c>
      <c r="M47" s="20">
        <f>SUM(M39:M46)</f>
        <v>150961.71839999998</v>
      </c>
    </row>
    <row r="48" spans="1:13" s="26" customFormat="1" x14ac:dyDescent="0.25">
      <c r="A48" s="86"/>
      <c r="B48" s="79"/>
      <c r="C48" s="45"/>
      <c r="D48" s="87"/>
      <c r="E48" s="87"/>
      <c r="F48" s="86"/>
      <c r="G48" s="90"/>
      <c r="H48" s="79"/>
      <c r="I48" s="88"/>
      <c r="J48" s="91"/>
      <c r="K48" s="79"/>
      <c r="L48" s="86" t="s">
        <v>175</v>
      </c>
      <c r="M48" s="20">
        <f>SUM(M39:M42)</f>
        <v>40552.545119999995</v>
      </c>
    </row>
    <row r="49" spans="1:13" ht="13.8" thickBot="1" x14ac:dyDescent="0.3">
      <c r="A49" s="86"/>
      <c r="B49" s="79"/>
      <c r="C49" s="45"/>
      <c r="D49" s="87"/>
      <c r="E49" s="87"/>
      <c r="F49" s="86"/>
      <c r="G49" s="90"/>
      <c r="H49" s="79"/>
      <c r="I49" s="88"/>
      <c r="J49" s="91"/>
      <c r="K49" s="79"/>
      <c r="L49" s="86" t="s">
        <v>176</v>
      </c>
      <c r="M49" s="106">
        <f>+M47-M48</f>
        <v>110409.17327999999</v>
      </c>
    </row>
    <row r="50" spans="1:13" ht="13.8" thickTop="1" x14ac:dyDescent="0.25">
      <c r="A50" s="86"/>
      <c r="B50" s="79"/>
      <c r="C50" s="45"/>
      <c r="D50" s="87"/>
      <c r="E50" s="87"/>
      <c r="F50" s="86"/>
      <c r="G50" s="90"/>
      <c r="H50" s="79"/>
      <c r="I50" s="88"/>
      <c r="J50" s="91"/>
      <c r="K50" s="79"/>
      <c r="L50" s="86"/>
      <c r="M50" s="20"/>
    </row>
    <row r="51" spans="1:13" s="104" customFormat="1" x14ac:dyDescent="0.25">
      <c r="A51" s="99" t="s">
        <v>5</v>
      </c>
      <c r="B51" s="100" t="s">
        <v>6</v>
      </c>
      <c r="C51" s="100" t="s">
        <v>7</v>
      </c>
      <c r="D51" s="101" t="s">
        <v>8</v>
      </c>
      <c r="E51" s="101"/>
      <c r="F51" s="99" t="s">
        <v>9</v>
      </c>
      <c r="G51" s="99" t="s">
        <v>10</v>
      </c>
      <c r="H51" s="100" t="s">
        <v>11</v>
      </c>
      <c r="I51" s="102" t="s">
        <v>12</v>
      </c>
      <c r="J51" s="103" t="s">
        <v>19</v>
      </c>
      <c r="K51" s="100" t="s">
        <v>20</v>
      </c>
      <c r="L51" s="99" t="s">
        <v>21</v>
      </c>
      <c r="M51" s="97" t="s">
        <v>109</v>
      </c>
    </row>
    <row r="52" spans="1:13" s="27" customFormat="1" x14ac:dyDescent="0.25">
      <c r="A52" s="1" t="s">
        <v>94</v>
      </c>
      <c r="B52" s="1" t="s">
        <v>188</v>
      </c>
      <c r="C52" s="3" t="s">
        <v>189</v>
      </c>
      <c r="D52" s="4">
        <v>36251</v>
      </c>
      <c r="E52" s="4">
        <v>37346</v>
      </c>
      <c r="F52" s="1" t="s">
        <v>191</v>
      </c>
      <c r="G52" s="1" t="s">
        <v>190</v>
      </c>
      <c r="H52" s="3" t="s">
        <v>4</v>
      </c>
      <c r="I52" s="5">
        <f>6.38</f>
        <v>6.38</v>
      </c>
      <c r="J52" s="17">
        <v>28223</v>
      </c>
      <c r="K52" s="3">
        <v>42500</v>
      </c>
      <c r="L52" s="1" t="s">
        <v>192</v>
      </c>
      <c r="M52" s="41">
        <f>+K52*I52</f>
        <v>271150</v>
      </c>
    </row>
    <row r="53" spans="1:13" s="27" customFormat="1" x14ac:dyDescent="0.25">
      <c r="A53" s="1" t="s">
        <v>5</v>
      </c>
      <c r="B53" s="1" t="s">
        <v>188</v>
      </c>
      <c r="C53" s="3" t="s">
        <v>209</v>
      </c>
      <c r="D53" s="4">
        <v>36923</v>
      </c>
      <c r="E53" s="4">
        <v>37802</v>
      </c>
      <c r="F53" s="1"/>
      <c r="G53" s="1"/>
      <c r="H53" s="3" t="s">
        <v>4</v>
      </c>
      <c r="I53" s="5">
        <f>1.3566</f>
        <v>1.3566</v>
      </c>
      <c r="J53" s="17">
        <v>28754</v>
      </c>
      <c r="K53" s="3">
        <v>15000</v>
      </c>
      <c r="L53" s="1" t="s">
        <v>208</v>
      </c>
      <c r="M53" s="41">
        <f>+K53*I53</f>
        <v>20349</v>
      </c>
    </row>
    <row r="54" spans="1:13" s="27" customFormat="1" x14ac:dyDescent="0.25">
      <c r="A54" s="1"/>
      <c r="B54" s="3"/>
      <c r="C54" s="3"/>
      <c r="D54" s="4"/>
      <c r="E54" s="4"/>
      <c r="F54" s="1"/>
      <c r="G54" s="1"/>
      <c r="H54" s="3"/>
      <c r="I54" s="8"/>
      <c r="J54" s="17"/>
      <c r="K54" s="3"/>
      <c r="L54" s="3"/>
      <c r="M54" s="54"/>
    </row>
    <row r="55" spans="1:13" s="27" customFormat="1" x14ac:dyDescent="0.25">
      <c r="A55" s="1"/>
      <c r="B55" s="3"/>
      <c r="C55" s="3"/>
      <c r="D55" s="4"/>
      <c r="E55" s="4"/>
      <c r="F55" s="1"/>
      <c r="G55" s="1"/>
      <c r="H55" s="3"/>
      <c r="I55" s="8"/>
      <c r="J55" s="55"/>
      <c r="K55" s="45">
        <f>SUM(K52:K54)</f>
        <v>57500</v>
      </c>
      <c r="L55" s="86" t="s">
        <v>145</v>
      </c>
      <c r="M55" s="20">
        <f>SUM(M52:M54)</f>
        <v>291499</v>
      </c>
    </row>
    <row r="56" spans="1:13" s="27" customFormat="1" x14ac:dyDescent="0.25">
      <c r="A56" s="1"/>
      <c r="B56" s="3"/>
      <c r="C56" s="3"/>
      <c r="D56" s="4"/>
      <c r="E56" s="4"/>
      <c r="F56" s="1"/>
      <c r="G56" s="1"/>
      <c r="H56" s="3"/>
      <c r="I56" s="8"/>
      <c r="J56" s="55"/>
      <c r="K56" s="79"/>
      <c r="L56" s="86" t="s">
        <v>175</v>
      </c>
      <c r="M56" s="20">
        <f>+M52</f>
        <v>271150</v>
      </c>
    </row>
    <row r="57" spans="1:13" s="27" customFormat="1" ht="13.8" thickBot="1" x14ac:dyDescent="0.3">
      <c r="A57" s="1"/>
      <c r="B57" s="3"/>
      <c r="C57" s="3"/>
      <c r="D57" s="4"/>
      <c r="E57" s="4"/>
      <c r="F57" s="1"/>
      <c r="G57" s="1"/>
      <c r="H57" s="3"/>
      <c r="I57" s="8"/>
      <c r="J57" s="55"/>
      <c r="K57" s="79"/>
      <c r="L57" s="86" t="s">
        <v>176</v>
      </c>
      <c r="M57" s="106">
        <f>+M55-M56</f>
        <v>20349</v>
      </c>
    </row>
    <row r="58" spans="1:13" s="48" customFormat="1" ht="13.8" thickTop="1" x14ac:dyDescent="0.25">
      <c r="A58" s="10"/>
      <c r="B58" s="11"/>
      <c r="C58" s="11"/>
      <c r="D58" s="12"/>
      <c r="E58" s="12"/>
      <c r="F58" s="10"/>
      <c r="G58" s="10"/>
      <c r="H58" s="11"/>
      <c r="I58" s="13"/>
      <c r="J58" s="110"/>
      <c r="K58" s="11"/>
      <c r="L58" s="10"/>
      <c r="M58" s="15"/>
    </row>
    <row r="59" spans="1:13" x14ac:dyDescent="0.25">
      <c r="A59" s="61" t="s">
        <v>5</v>
      </c>
      <c r="B59" s="62" t="s">
        <v>6</v>
      </c>
      <c r="C59" s="62" t="s">
        <v>7</v>
      </c>
      <c r="D59" s="63" t="s">
        <v>8</v>
      </c>
      <c r="E59" s="63"/>
      <c r="F59" s="61" t="s">
        <v>9</v>
      </c>
      <c r="G59" s="61" t="s">
        <v>10</v>
      </c>
      <c r="H59" s="62" t="s">
        <v>139</v>
      </c>
      <c r="I59" s="64" t="s">
        <v>12</v>
      </c>
      <c r="J59" s="66" t="s">
        <v>122</v>
      </c>
      <c r="K59" s="62" t="s">
        <v>20</v>
      </c>
      <c r="L59" s="61" t="s">
        <v>21</v>
      </c>
      <c r="M59" s="53" t="s">
        <v>123</v>
      </c>
    </row>
    <row r="60" spans="1:13" s="27" customFormat="1" x14ac:dyDescent="0.25">
      <c r="A60" s="1" t="s">
        <v>22</v>
      </c>
      <c r="B60" s="3" t="s">
        <v>32</v>
      </c>
      <c r="C60" s="3" t="s">
        <v>32</v>
      </c>
      <c r="D60" s="4">
        <v>36100</v>
      </c>
      <c r="E60" s="4">
        <v>39022</v>
      </c>
      <c r="F60" s="1">
        <v>1</v>
      </c>
      <c r="G60" s="1">
        <v>2</v>
      </c>
      <c r="H60" s="3" t="s">
        <v>23</v>
      </c>
      <c r="I60" s="8">
        <f>(14.1123+0.2)</f>
        <v>14.312299999999999</v>
      </c>
      <c r="J60" s="17" t="s">
        <v>33</v>
      </c>
      <c r="K60" s="3">
        <v>2017</v>
      </c>
      <c r="L60" s="1" t="s">
        <v>45</v>
      </c>
      <c r="M60" s="41">
        <f>+K60*I60</f>
        <v>28867.909099999997</v>
      </c>
    </row>
    <row r="61" spans="1:13" s="27" customFormat="1" x14ac:dyDescent="0.25">
      <c r="A61" s="1" t="s">
        <v>22</v>
      </c>
      <c r="B61" s="3" t="s">
        <v>32</v>
      </c>
      <c r="C61" s="3" t="s">
        <v>27</v>
      </c>
      <c r="D61" s="4">
        <v>36100</v>
      </c>
      <c r="E61" s="4">
        <v>39539</v>
      </c>
      <c r="F61" s="1" t="s">
        <v>34</v>
      </c>
      <c r="G61" s="1" t="s">
        <v>35</v>
      </c>
      <c r="H61" s="3" t="s">
        <v>4</v>
      </c>
      <c r="I61" s="8">
        <f>(8.3055)</f>
        <v>8.3055000000000003</v>
      </c>
      <c r="J61" s="17" t="s">
        <v>36</v>
      </c>
      <c r="K61" s="3">
        <v>35465</v>
      </c>
      <c r="L61" s="1" t="s">
        <v>46</v>
      </c>
      <c r="M61" s="41">
        <f>+K61*I61</f>
        <v>294554.5575</v>
      </c>
    </row>
    <row r="62" spans="1:13" s="27" customFormat="1" x14ac:dyDescent="0.25">
      <c r="A62" s="1"/>
      <c r="B62" s="3"/>
      <c r="C62" s="3"/>
      <c r="D62" s="4"/>
      <c r="E62" s="4"/>
      <c r="F62" s="1"/>
      <c r="G62" s="1"/>
      <c r="H62" s="3"/>
      <c r="I62" s="8"/>
      <c r="J62" s="17"/>
      <c r="K62" s="3"/>
      <c r="L62" s="1"/>
      <c r="M62" s="9"/>
    </row>
    <row r="63" spans="1:13" s="27" customFormat="1" x14ac:dyDescent="0.25">
      <c r="A63" s="1"/>
      <c r="B63" s="3"/>
      <c r="C63" s="3"/>
      <c r="D63" s="4"/>
      <c r="E63" s="4"/>
      <c r="F63" s="1"/>
      <c r="G63" s="1"/>
      <c r="H63" s="3"/>
      <c r="I63" s="8"/>
      <c r="J63" s="55"/>
      <c r="K63" s="45">
        <f>SUM(K60:K62)</f>
        <v>37482</v>
      </c>
      <c r="L63" s="86" t="s">
        <v>145</v>
      </c>
      <c r="M63" s="20">
        <f>SUM(M60:M62)</f>
        <v>323422.46659999999</v>
      </c>
    </row>
    <row r="64" spans="1:13" s="27" customFormat="1" x14ac:dyDescent="0.25">
      <c r="A64" s="1"/>
      <c r="B64" s="3"/>
      <c r="C64" s="3"/>
      <c r="D64" s="4"/>
      <c r="E64" s="4"/>
      <c r="F64" s="1"/>
      <c r="G64" s="1"/>
      <c r="H64" s="3"/>
      <c r="I64" s="8"/>
      <c r="J64" s="55"/>
      <c r="K64" s="79"/>
      <c r="L64" s="86" t="s">
        <v>175</v>
      </c>
      <c r="M64" s="20">
        <f>SUM(M61)</f>
        <v>294554.5575</v>
      </c>
    </row>
    <row r="65" spans="1:13" s="27" customFormat="1" ht="13.8" thickBot="1" x14ac:dyDescent="0.3">
      <c r="A65" s="1"/>
      <c r="B65" s="3"/>
      <c r="C65" s="3"/>
      <c r="D65" s="4"/>
      <c r="E65" s="4"/>
      <c r="F65" s="1"/>
      <c r="G65" s="1"/>
      <c r="H65" s="3"/>
      <c r="I65" s="8"/>
      <c r="J65" s="55"/>
      <c r="K65" s="79"/>
      <c r="L65" s="86" t="s">
        <v>176</v>
      </c>
      <c r="M65" s="106">
        <f>+M63-M64</f>
        <v>28867.90909999999</v>
      </c>
    </row>
    <row r="66" spans="1:13" s="27" customFormat="1" ht="13.8" thickTop="1" x14ac:dyDescent="0.25">
      <c r="A66" s="1"/>
      <c r="B66" s="3"/>
      <c r="C66" s="3"/>
      <c r="D66" s="4"/>
      <c r="E66" s="4"/>
      <c r="F66" s="1"/>
      <c r="G66" s="1"/>
      <c r="H66" s="3"/>
      <c r="I66" s="8"/>
      <c r="J66" s="55"/>
      <c r="K66" s="3"/>
      <c r="L66" s="1"/>
      <c r="M66" s="9"/>
    </row>
    <row r="67" spans="1:13" s="48" customFormat="1" x14ac:dyDescent="0.25">
      <c r="A67" s="10"/>
      <c r="B67" s="11"/>
      <c r="C67" s="11"/>
      <c r="D67" s="12"/>
      <c r="E67" s="12"/>
      <c r="F67" s="10"/>
      <c r="G67" s="10"/>
      <c r="H67" s="11"/>
      <c r="I67" s="13"/>
      <c r="J67" s="110"/>
      <c r="K67" s="11"/>
      <c r="L67" s="10"/>
      <c r="M67" s="15"/>
    </row>
    <row r="68" spans="1:13" s="27" customFormat="1" x14ac:dyDescent="0.25">
      <c r="A68" s="1"/>
      <c r="B68" s="3"/>
      <c r="C68" s="3"/>
      <c r="D68" s="4"/>
      <c r="E68" s="4"/>
      <c r="F68" s="1"/>
      <c r="G68" s="1"/>
      <c r="H68" s="3"/>
      <c r="I68" s="8"/>
      <c r="J68" s="55"/>
      <c r="K68" s="3"/>
      <c r="L68" s="1"/>
      <c r="M68" s="9"/>
    </row>
    <row r="69" spans="1:13" s="104" customFormat="1" x14ac:dyDescent="0.25">
      <c r="A69" s="99" t="s">
        <v>5</v>
      </c>
      <c r="B69" s="100" t="s">
        <v>6</v>
      </c>
      <c r="C69" s="100" t="s">
        <v>7</v>
      </c>
      <c r="D69" s="101" t="s">
        <v>8</v>
      </c>
      <c r="E69" s="101"/>
      <c r="F69" s="99" t="s">
        <v>9</v>
      </c>
      <c r="G69" s="99" t="s">
        <v>10</v>
      </c>
      <c r="H69" s="100" t="s">
        <v>11</v>
      </c>
      <c r="I69" s="102" t="s">
        <v>12</v>
      </c>
      <c r="J69" s="103" t="s">
        <v>19</v>
      </c>
      <c r="K69" s="100" t="s">
        <v>20</v>
      </c>
      <c r="L69" s="99" t="s">
        <v>21</v>
      </c>
      <c r="M69" s="97" t="s">
        <v>109</v>
      </c>
    </row>
    <row r="70" spans="1:13" s="27" customFormat="1" x14ac:dyDescent="0.25">
      <c r="A70" s="1" t="s">
        <v>22</v>
      </c>
      <c r="B70" s="3" t="s">
        <v>42</v>
      </c>
      <c r="C70" s="3" t="s">
        <v>37</v>
      </c>
      <c r="D70" s="4">
        <v>36100</v>
      </c>
      <c r="E70" s="4">
        <v>39387</v>
      </c>
      <c r="F70" s="1" t="s">
        <v>31</v>
      </c>
      <c r="G70" s="1" t="s">
        <v>43</v>
      </c>
      <c r="H70" s="3" t="s">
        <v>4</v>
      </c>
      <c r="I70" s="5">
        <f>6.1038</f>
        <v>6.1037999999999997</v>
      </c>
      <c r="J70" s="17" t="s">
        <v>24</v>
      </c>
      <c r="K70" s="3">
        <v>117</v>
      </c>
      <c r="L70" s="1" t="s">
        <v>44</v>
      </c>
      <c r="M70" s="41">
        <f>+K70*I70</f>
        <v>714.14459999999997</v>
      </c>
    </row>
    <row r="71" spans="1:13" s="27" customFormat="1" x14ac:dyDescent="0.25">
      <c r="A71" s="1" t="s">
        <v>22</v>
      </c>
      <c r="B71" s="3" t="s">
        <v>42</v>
      </c>
      <c r="C71" s="3" t="s">
        <v>37</v>
      </c>
      <c r="D71" s="4">
        <v>37196</v>
      </c>
      <c r="E71" s="4">
        <v>37560</v>
      </c>
      <c r="F71" s="1" t="s">
        <v>31</v>
      </c>
      <c r="G71" s="1" t="s">
        <v>43</v>
      </c>
      <c r="H71" s="3" t="s">
        <v>4</v>
      </c>
      <c r="I71" s="5">
        <f>6.1038</f>
        <v>6.1037999999999997</v>
      </c>
      <c r="J71" s="17" t="s">
        <v>224</v>
      </c>
      <c r="K71" s="3">
        <v>9189</v>
      </c>
      <c r="L71" s="1" t="s">
        <v>174</v>
      </c>
      <c r="M71" s="41">
        <f>+K71*I71</f>
        <v>56087.818199999994</v>
      </c>
    </row>
    <row r="72" spans="1:13" s="27" customFormat="1" x14ac:dyDescent="0.25">
      <c r="A72" s="1"/>
      <c r="B72" s="3"/>
      <c r="C72" s="3"/>
      <c r="D72" s="4"/>
      <c r="E72" s="4"/>
      <c r="F72" s="1"/>
      <c r="G72" s="1"/>
      <c r="H72" s="3"/>
      <c r="I72" s="8"/>
      <c r="J72" s="17"/>
      <c r="K72" s="3"/>
      <c r="L72" s="1"/>
      <c r="M72" s="9"/>
    </row>
    <row r="73" spans="1:13" s="27" customFormat="1" x14ac:dyDescent="0.25">
      <c r="A73" s="1"/>
      <c r="B73" s="3"/>
      <c r="C73" s="3"/>
      <c r="D73" s="4"/>
      <c r="E73" s="4"/>
      <c r="F73" s="1"/>
      <c r="G73" s="1"/>
      <c r="H73" s="3"/>
      <c r="I73" s="8"/>
      <c r="J73" s="55"/>
      <c r="K73" s="45">
        <f>SUM(K70:K72)</f>
        <v>9306</v>
      </c>
      <c r="L73" s="86" t="s">
        <v>145</v>
      </c>
      <c r="M73" s="20">
        <f>SUM(M70:M72)</f>
        <v>56801.962799999994</v>
      </c>
    </row>
    <row r="74" spans="1:13" s="27" customFormat="1" x14ac:dyDescent="0.25">
      <c r="A74" s="1"/>
      <c r="B74" s="3"/>
      <c r="C74" s="3"/>
      <c r="D74" s="4"/>
      <c r="E74" s="4"/>
      <c r="F74" s="1"/>
      <c r="G74" s="1"/>
      <c r="H74" s="3"/>
      <c r="I74" s="8"/>
      <c r="J74" s="55"/>
      <c r="K74" s="79"/>
      <c r="L74" s="86" t="s">
        <v>175</v>
      </c>
      <c r="M74" s="20">
        <f>SUM(M71)</f>
        <v>56087.818199999994</v>
      </c>
    </row>
    <row r="75" spans="1:13" s="27" customFormat="1" ht="13.8" thickBot="1" x14ac:dyDescent="0.3">
      <c r="A75" s="1"/>
      <c r="B75" s="3"/>
      <c r="C75" s="3"/>
      <c r="D75" s="4"/>
      <c r="E75" s="4"/>
      <c r="F75" s="1"/>
      <c r="G75" s="1"/>
      <c r="H75" s="3"/>
      <c r="I75" s="8"/>
      <c r="J75" s="55"/>
      <c r="K75" s="79"/>
      <c r="L75" s="86" t="s">
        <v>176</v>
      </c>
      <c r="M75" s="106">
        <f>+M73-M74</f>
        <v>714.14459999999963</v>
      </c>
    </row>
    <row r="76" spans="1:13" s="27" customFormat="1" ht="13.8" thickTop="1" x14ac:dyDescent="0.25">
      <c r="A76" s="1"/>
      <c r="B76" s="3"/>
      <c r="C76" s="3"/>
      <c r="D76" s="4"/>
      <c r="E76" s="4"/>
      <c r="F76" s="1"/>
      <c r="G76" s="1"/>
      <c r="H76" s="3"/>
      <c r="I76" s="8"/>
      <c r="J76" s="55"/>
      <c r="K76" s="79"/>
      <c r="L76" s="86"/>
      <c r="M76" s="20"/>
    </row>
    <row r="77" spans="1:13" s="104" customFormat="1" x14ac:dyDescent="0.25">
      <c r="A77" s="99" t="s">
        <v>5</v>
      </c>
      <c r="B77" s="100" t="s">
        <v>6</v>
      </c>
      <c r="C77" s="100" t="s">
        <v>7</v>
      </c>
      <c r="D77" s="101" t="s">
        <v>8</v>
      </c>
      <c r="E77" s="101"/>
      <c r="F77" s="99" t="s">
        <v>9</v>
      </c>
      <c r="G77" s="99" t="s">
        <v>10</v>
      </c>
      <c r="H77" s="100" t="s">
        <v>11</v>
      </c>
      <c r="I77" s="102" t="s">
        <v>12</v>
      </c>
      <c r="J77" s="103" t="s">
        <v>19</v>
      </c>
      <c r="K77" s="100" t="s">
        <v>20</v>
      </c>
      <c r="L77" s="99" t="s">
        <v>21</v>
      </c>
      <c r="M77" s="97" t="s">
        <v>109</v>
      </c>
    </row>
    <row r="78" spans="1:13" s="27" customFormat="1" x14ac:dyDescent="0.25">
      <c r="A78" s="1" t="s">
        <v>94</v>
      </c>
      <c r="B78" s="3" t="s">
        <v>28</v>
      </c>
      <c r="C78" s="3" t="s">
        <v>100</v>
      </c>
      <c r="D78" s="4">
        <v>36526</v>
      </c>
      <c r="E78" s="4">
        <v>37560</v>
      </c>
      <c r="F78" s="1" t="s">
        <v>112</v>
      </c>
      <c r="G78" s="1" t="s">
        <v>112</v>
      </c>
      <c r="H78" s="3" t="s">
        <v>23</v>
      </c>
      <c r="I78" s="8">
        <f>5.2701</f>
        <v>5.2701000000000002</v>
      </c>
      <c r="J78" s="55">
        <v>1440</v>
      </c>
      <c r="K78" s="3">
        <v>4803</v>
      </c>
      <c r="L78" s="9" t="s">
        <v>4</v>
      </c>
      <c r="M78" s="41">
        <f>+K78*I78</f>
        <v>25312.290300000001</v>
      </c>
    </row>
    <row r="79" spans="1:13" s="27" customFormat="1" x14ac:dyDescent="0.25">
      <c r="A79" s="1" t="s">
        <v>94</v>
      </c>
      <c r="B79" s="3" t="s">
        <v>28</v>
      </c>
      <c r="C79" s="3" t="s">
        <v>100</v>
      </c>
      <c r="D79" s="4">
        <v>36526</v>
      </c>
      <c r="E79" s="4">
        <v>37560</v>
      </c>
      <c r="F79" s="1" t="s">
        <v>112</v>
      </c>
      <c r="G79" s="1" t="s">
        <v>112</v>
      </c>
      <c r="H79" s="3" t="s">
        <v>23</v>
      </c>
      <c r="I79" s="8">
        <f>5.45</f>
        <v>5.45</v>
      </c>
      <c r="J79" s="55">
        <v>1548</v>
      </c>
      <c r="K79" s="3">
        <v>3841</v>
      </c>
      <c r="L79" s="9" t="s">
        <v>4</v>
      </c>
      <c r="M79" s="41">
        <f>+K79*I79</f>
        <v>20933.45</v>
      </c>
    </row>
    <row r="80" spans="1:13" s="27" customFormat="1" x14ac:dyDescent="0.25">
      <c r="A80" s="1" t="s">
        <v>94</v>
      </c>
      <c r="B80" s="3" t="s">
        <v>28</v>
      </c>
      <c r="C80" s="3" t="s">
        <v>100</v>
      </c>
      <c r="D80" s="4">
        <v>36039</v>
      </c>
      <c r="E80" s="4">
        <v>37560</v>
      </c>
      <c r="F80" s="1" t="s">
        <v>101</v>
      </c>
      <c r="G80" s="1"/>
      <c r="H80" s="3" t="s">
        <v>23</v>
      </c>
      <c r="I80" s="8">
        <v>1.8499999999999999E-2</v>
      </c>
      <c r="J80" s="17">
        <v>2210</v>
      </c>
      <c r="K80" s="3">
        <v>709765</v>
      </c>
      <c r="L80" s="9" t="s">
        <v>111</v>
      </c>
      <c r="M80" s="9">
        <f>+K80*I80</f>
        <v>13130.6525</v>
      </c>
    </row>
    <row r="81" spans="1:13" s="27" customFormat="1" x14ac:dyDescent="0.25">
      <c r="A81" s="1" t="s">
        <v>94</v>
      </c>
      <c r="B81" s="3" t="s">
        <v>28</v>
      </c>
      <c r="C81" s="3" t="s">
        <v>100</v>
      </c>
      <c r="D81" s="4">
        <v>36039</v>
      </c>
      <c r="E81" s="4">
        <v>37560</v>
      </c>
      <c r="F81" s="1" t="s">
        <v>101</v>
      </c>
      <c r="G81" s="1"/>
      <c r="H81" s="3" t="s">
        <v>23</v>
      </c>
      <c r="I81" s="8">
        <f>1.15</f>
        <v>1.1499999999999999</v>
      </c>
      <c r="J81" s="17">
        <v>2210</v>
      </c>
      <c r="K81" s="3">
        <v>14388</v>
      </c>
      <c r="L81" s="9" t="s">
        <v>111</v>
      </c>
      <c r="M81" s="9">
        <f>+I81*K81*I1</f>
        <v>0</v>
      </c>
    </row>
    <row r="82" spans="1:13" s="27" customFormat="1" x14ac:dyDescent="0.25">
      <c r="A82" s="1" t="s">
        <v>94</v>
      </c>
      <c r="B82" s="3" t="s">
        <v>28</v>
      </c>
      <c r="C82" s="3" t="s">
        <v>180</v>
      </c>
      <c r="D82" s="4">
        <v>36039</v>
      </c>
      <c r="E82" s="4">
        <v>37560</v>
      </c>
      <c r="F82" s="1" t="s">
        <v>101</v>
      </c>
      <c r="G82" s="1"/>
      <c r="H82" s="3" t="s">
        <v>23</v>
      </c>
      <c r="I82" s="8">
        <v>1.8499999999999999E-2</v>
      </c>
      <c r="J82" s="17">
        <v>2076</v>
      </c>
      <c r="K82" s="3">
        <v>11827</v>
      </c>
      <c r="L82" s="9" t="s">
        <v>114</v>
      </c>
      <c r="M82" s="9">
        <f>+I82*K82</f>
        <v>218.79949999999999</v>
      </c>
    </row>
    <row r="83" spans="1:13" s="27" customFormat="1" x14ac:dyDescent="0.25">
      <c r="A83" s="1" t="s">
        <v>94</v>
      </c>
      <c r="B83" s="3" t="s">
        <v>28</v>
      </c>
      <c r="C83" s="3" t="s">
        <v>180</v>
      </c>
      <c r="D83" s="4">
        <v>36039</v>
      </c>
      <c r="E83" s="4">
        <v>37560</v>
      </c>
      <c r="F83" s="1" t="s">
        <v>101</v>
      </c>
      <c r="G83" s="1"/>
      <c r="H83" s="3"/>
      <c r="I83" s="8">
        <f>1.15</f>
        <v>1.1499999999999999</v>
      </c>
      <c r="J83" s="17">
        <v>2076</v>
      </c>
      <c r="K83" s="3">
        <v>209</v>
      </c>
      <c r="L83" s="9" t="s">
        <v>114</v>
      </c>
      <c r="M83" s="9">
        <f>+I83*K83</f>
        <v>240.35</v>
      </c>
    </row>
    <row r="84" spans="1:13" s="27" customFormat="1" x14ac:dyDescent="0.25">
      <c r="A84" s="1" t="s">
        <v>94</v>
      </c>
      <c r="B84" s="3" t="s">
        <v>28</v>
      </c>
      <c r="C84" s="3" t="s">
        <v>180</v>
      </c>
      <c r="D84" s="4">
        <v>36039</v>
      </c>
      <c r="E84" s="4">
        <v>37560</v>
      </c>
      <c r="F84" s="1" t="s">
        <v>112</v>
      </c>
      <c r="G84" s="1" t="s">
        <v>112</v>
      </c>
      <c r="H84" s="3" t="s">
        <v>23</v>
      </c>
      <c r="I84" s="8">
        <f>5.61</f>
        <v>5.61</v>
      </c>
      <c r="J84" s="17">
        <v>1339</v>
      </c>
      <c r="K84" s="3">
        <v>90</v>
      </c>
      <c r="L84" s="9" t="s">
        <v>113</v>
      </c>
      <c r="M84" s="9">
        <f>+I84*K84</f>
        <v>504.90000000000003</v>
      </c>
    </row>
    <row r="85" spans="1:13" s="27" customFormat="1" ht="13.5" customHeight="1" x14ac:dyDescent="0.25">
      <c r="A85" s="1"/>
      <c r="B85" s="3"/>
      <c r="C85" s="3"/>
      <c r="D85" s="4"/>
      <c r="E85" s="4"/>
      <c r="F85" s="1"/>
      <c r="G85" s="1"/>
      <c r="H85" s="3"/>
      <c r="I85" s="8"/>
      <c r="J85" s="17"/>
      <c r="K85" s="3"/>
      <c r="L85" s="9"/>
      <c r="M85" s="9"/>
    </row>
    <row r="86" spans="1:13" s="27" customFormat="1" x14ac:dyDescent="0.25">
      <c r="A86" s="1" t="s">
        <v>227</v>
      </c>
      <c r="B86" s="3" t="s">
        <v>28</v>
      </c>
      <c r="C86" s="3" t="s">
        <v>39</v>
      </c>
      <c r="D86" s="4">
        <v>37196</v>
      </c>
      <c r="E86" s="4">
        <v>37287</v>
      </c>
      <c r="F86" s="21" t="s">
        <v>229</v>
      </c>
      <c r="G86" s="1" t="s">
        <v>230</v>
      </c>
      <c r="H86" s="3" t="s">
        <v>23</v>
      </c>
      <c r="I86" s="8">
        <f>6.08</f>
        <v>6.08</v>
      </c>
      <c r="J86" s="17">
        <v>38499</v>
      </c>
      <c r="K86" s="3">
        <v>2500</v>
      </c>
      <c r="L86" s="9" t="s">
        <v>228</v>
      </c>
      <c r="M86" s="41">
        <f>+K86*I86</f>
        <v>15200</v>
      </c>
    </row>
    <row r="87" spans="1:13" s="27" customFormat="1" x14ac:dyDescent="0.25">
      <c r="A87" s="1"/>
      <c r="B87" s="3"/>
      <c r="C87" s="3"/>
      <c r="D87" s="4"/>
      <c r="E87" s="4"/>
      <c r="F87" s="1"/>
      <c r="G87" s="1"/>
      <c r="H87" s="3"/>
      <c r="I87" s="8"/>
      <c r="J87" s="17"/>
      <c r="K87" s="3"/>
      <c r="L87" s="1"/>
      <c r="M87" s="115"/>
    </row>
    <row r="88" spans="1:13" s="27" customFormat="1" x14ac:dyDescent="0.25">
      <c r="A88" s="1"/>
      <c r="B88" s="3"/>
      <c r="C88" s="3"/>
      <c r="D88" s="4"/>
      <c r="E88" s="4"/>
      <c r="F88" s="1"/>
      <c r="G88" s="1"/>
      <c r="H88" s="3"/>
      <c r="I88" s="8"/>
      <c r="J88" s="17"/>
      <c r="K88" s="3"/>
      <c r="L88" s="1"/>
      <c r="M88" s="9"/>
    </row>
    <row r="89" spans="1:13" s="27" customFormat="1" x14ac:dyDescent="0.25">
      <c r="A89" s="1"/>
      <c r="B89" s="3"/>
      <c r="C89" s="3"/>
      <c r="D89" s="4"/>
      <c r="E89" s="4"/>
      <c r="F89" s="1"/>
      <c r="G89" s="1"/>
      <c r="H89" s="3"/>
      <c r="I89" s="8"/>
      <c r="J89" s="17"/>
      <c r="K89" s="3"/>
      <c r="L89" s="1"/>
      <c r="M89" s="9"/>
    </row>
    <row r="90" spans="1:13" s="27" customFormat="1" x14ac:dyDescent="0.25">
      <c r="A90" s="1"/>
      <c r="B90" s="3"/>
      <c r="C90" s="3"/>
      <c r="D90" s="4"/>
      <c r="E90" s="4"/>
      <c r="F90" s="1"/>
      <c r="G90" s="1"/>
      <c r="H90" s="3"/>
      <c r="I90" s="8"/>
      <c r="J90" s="17"/>
      <c r="K90" s="3"/>
      <c r="L90" s="1"/>
      <c r="M90" s="9"/>
    </row>
    <row r="91" spans="1:13" s="27" customFormat="1" x14ac:dyDescent="0.25">
      <c r="A91" s="1"/>
      <c r="B91" s="3"/>
      <c r="C91" s="3"/>
      <c r="D91" s="4"/>
      <c r="E91" s="4"/>
      <c r="F91" s="1"/>
      <c r="G91" s="1"/>
      <c r="H91" s="3"/>
      <c r="I91" s="8"/>
      <c r="J91" s="17"/>
      <c r="K91" s="3"/>
      <c r="L91" s="1"/>
      <c r="M91" s="9"/>
    </row>
    <row r="92" spans="1:13" s="27" customFormat="1" x14ac:dyDescent="0.25">
      <c r="A92" s="46"/>
      <c r="B92" s="112"/>
      <c r="C92" s="3"/>
      <c r="D92" s="4"/>
      <c r="E92" s="4"/>
      <c r="F92" s="46"/>
      <c r="G92" s="46"/>
      <c r="H92" s="112"/>
      <c r="I92" s="113"/>
      <c r="J92" s="114"/>
      <c r="K92" s="112"/>
      <c r="L92" s="115"/>
      <c r="M92" s="115"/>
    </row>
    <row r="93" spans="1:13" s="27" customFormat="1" ht="12" customHeight="1" x14ac:dyDescent="0.25">
      <c r="A93" s="1"/>
      <c r="B93" s="3"/>
      <c r="C93" s="3"/>
      <c r="D93" s="4"/>
      <c r="E93" s="4"/>
      <c r="F93" s="1"/>
      <c r="G93" s="1"/>
      <c r="H93" s="3"/>
      <c r="I93" s="8"/>
      <c r="J93" s="17"/>
      <c r="K93" s="3"/>
      <c r="L93" s="25"/>
      <c r="M93" s="9"/>
    </row>
    <row r="94" spans="1:13" s="27" customFormat="1" x14ac:dyDescent="0.25">
      <c r="A94" s="46" t="s">
        <v>211</v>
      </c>
      <c r="B94" s="112" t="s">
        <v>28</v>
      </c>
      <c r="C94" s="112" t="s">
        <v>66</v>
      </c>
      <c r="D94" s="111">
        <v>37226</v>
      </c>
      <c r="E94" s="111">
        <v>37256</v>
      </c>
      <c r="F94" s="46" t="s">
        <v>211</v>
      </c>
      <c r="G94" s="46" t="s">
        <v>211</v>
      </c>
      <c r="H94" s="112"/>
      <c r="I94" s="113">
        <v>1.4999999999999999E-2</v>
      </c>
      <c r="J94" s="114">
        <v>15692</v>
      </c>
      <c r="K94" s="112">
        <v>250000</v>
      </c>
      <c r="L94" s="115"/>
      <c r="M94" s="115">
        <f>+K94*I94</f>
        <v>3750</v>
      </c>
    </row>
    <row r="95" spans="1:13" s="27" customFormat="1" x14ac:dyDescent="0.25">
      <c r="A95" s="46" t="s">
        <v>211</v>
      </c>
      <c r="B95" s="112" t="s">
        <v>28</v>
      </c>
      <c r="C95" s="112" t="s">
        <v>66</v>
      </c>
      <c r="D95" s="111">
        <v>37043</v>
      </c>
      <c r="E95" s="111">
        <v>37225</v>
      </c>
      <c r="F95" s="46" t="s">
        <v>211</v>
      </c>
      <c r="G95" s="46" t="s">
        <v>211</v>
      </c>
      <c r="H95" s="112"/>
      <c r="I95" s="113">
        <v>1.4999999999999999E-2</v>
      </c>
      <c r="J95" s="114">
        <v>15692</v>
      </c>
      <c r="K95" s="112">
        <v>500000</v>
      </c>
      <c r="L95" s="115"/>
      <c r="M95" s="115">
        <f>+K95*I95</f>
        <v>7500</v>
      </c>
    </row>
    <row r="96" spans="1:13" s="40" customFormat="1" x14ac:dyDescent="0.25">
      <c r="A96" s="86" t="s">
        <v>4</v>
      </c>
      <c r="B96" s="45" t="s">
        <v>4</v>
      </c>
      <c r="C96" s="45" t="s">
        <v>4</v>
      </c>
      <c r="D96" s="87" t="s">
        <v>4</v>
      </c>
      <c r="E96" s="87" t="s">
        <v>4</v>
      </c>
      <c r="F96" s="86" t="s">
        <v>4</v>
      </c>
      <c r="G96" s="86" t="s">
        <v>4</v>
      </c>
      <c r="H96" s="45" t="s">
        <v>4</v>
      </c>
      <c r="I96" s="88" t="s">
        <v>4</v>
      </c>
      <c r="J96" s="76" t="s">
        <v>4</v>
      </c>
      <c r="K96" s="45" t="s">
        <v>4</v>
      </c>
      <c r="L96" s="86" t="s">
        <v>4</v>
      </c>
      <c r="M96" s="20"/>
    </row>
    <row r="97" spans="1:13" s="40" customFormat="1" x14ac:dyDescent="0.25">
      <c r="A97" s="86"/>
      <c r="B97" s="45"/>
      <c r="C97" s="45"/>
      <c r="D97" s="87"/>
      <c r="E97" s="87"/>
      <c r="F97" s="86"/>
      <c r="G97" s="86"/>
      <c r="H97" s="45"/>
      <c r="I97" s="88"/>
      <c r="J97" s="105"/>
      <c r="K97" s="45">
        <f>SUM(K78:K96)</f>
        <v>1497423</v>
      </c>
      <c r="L97" s="86" t="s">
        <v>145</v>
      </c>
      <c r="M97" s="20">
        <f>SUM(M78:M96)</f>
        <v>86790.442299999995</v>
      </c>
    </row>
    <row r="98" spans="1:13" s="27" customFormat="1" x14ac:dyDescent="0.25">
      <c r="A98" s="1"/>
      <c r="B98" s="3"/>
      <c r="C98" s="3"/>
      <c r="D98" s="4"/>
      <c r="E98" s="4"/>
      <c r="F98" s="1"/>
      <c r="G98" s="1"/>
      <c r="H98" s="3"/>
      <c r="I98" s="8"/>
      <c r="J98" s="55"/>
      <c r="K98" s="79"/>
      <c r="L98" s="86" t="s">
        <v>175</v>
      </c>
      <c r="M98" s="20">
        <f>SUM(M78:M84)</f>
        <v>60340.442300000002</v>
      </c>
    </row>
    <row r="99" spans="1:13" s="27" customFormat="1" ht="13.8" thickBot="1" x14ac:dyDescent="0.3">
      <c r="A99" s="1"/>
      <c r="B99" s="3"/>
      <c r="C99" s="3"/>
      <c r="D99" s="4"/>
      <c r="E99" s="4"/>
      <c r="F99" s="1"/>
      <c r="G99" s="1"/>
      <c r="H99" s="3"/>
      <c r="I99" s="8"/>
      <c r="J99" s="55"/>
      <c r="K99" s="79"/>
      <c r="L99" s="86" t="s">
        <v>176</v>
      </c>
      <c r="M99" s="106">
        <f>+M97-M98</f>
        <v>26449.999999999993</v>
      </c>
    </row>
    <row r="100" spans="1:13" s="27" customFormat="1" ht="13.8" thickTop="1" x14ac:dyDescent="0.25">
      <c r="A100" s="1"/>
      <c r="B100" s="3"/>
      <c r="C100" s="3"/>
      <c r="D100" s="4"/>
      <c r="E100" s="4"/>
      <c r="F100" s="1"/>
      <c r="G100" s="1"/>
      <c r="H100" s="3"/>
      <c r="I100" s="8"/>
      <c r="J100" s="55"/>
      <c r="K100" s="3"/>
      <c r="L100" s="1"/>
      <c r="M100" s="9"/>
    </row>
    <row r="101" spans="1:13" s="104" customFormat="1" x14ac:dyDescent="0.25">
      <c r="A101" s="99" t="s">
        <v>5</v>
      </c>
      <c r="B101" s="100" t="s">
        <v>6</v>
      </c>
      <c r="C101" s="100" t="s">
        <v>7</v>
      </c>
      <c r="D101" s="101" t="s">
        <v>8</v>
      </c>
      <c r="E101" s="101"/>
      <c r="F101" s="99" t="s">
        <v>9</v>
      </c>
      <c r="G101" s="99" t="s">
        <v>10</v>
      </c>
      <c r="H101" s="100" t="s">
        <v>11</v>
      </c>
      <c r="I101" s="102" t="s">
        <v>12</v>
      </c>
      <c r="J101" s="103" t="s">
        <v>19</v>
      </c>
      <c r="K101" s="100" t="s">
        <v>20</v>
      </c>
      <c r="L101" s="99" t="s">
        <v>21</v>
      </c>
      <c r="M101" s="97" t="s">
        <v>109</v>
      </c>
    </row>
    <row r="102" spans="1:13" s="27" customFormat="1" x14ac:dyDescent="0.25">
      <c r="A102" s="1" t="s">
        <v>22</v>
      </c>
      <c r="B102" s="3" t="s">
        <v>28</v>
      </c>
      <c r="C102" s="3" t="s">
        <v>27</v>
      </c>
      <c r="D102" s="4">
        <v>36342</v>
      </c>
      <c r="E102" s="4">
        <v>39172</v>
      </c>
      <c r="F102" s="1" t="s">
        <v>29</v>
      </c>
      <c r="G102" s="1" t="s">
        <v>30</v>
      </c>
      <c r="H102" s="3" t="s">
        <v>25</v>
      </c>
      <c r="I102" s="8">
        <f>10.7</f>
        <v>10.7</v>
      </c>
      <c r="J102" s="17">
        <v>29667</v>
      </c>
      <c r="K102" s="3">
        <v>35000</v>
      </c>
      <c r="L102" s="109" t="s">
        <v>179</v>
      </c>
      <c r="M102" s="41">
        <f>+K102*I102</f>
        <v>374500</v>
      </c>
    </row>
    <row r="103" spans="1:13" s="40" customFormat="1" x14ac:dyDescent="0.25">
      <c r="A103" s="86" t="s">
        <v>4</v>
      </c>
      <c r="B103" s="45" t="s">
        <v>4</v>
      </c>
      <c r="C103" s="45" t="s">
        <v>4</v>
      </c>
      <c r="D103" s="87" t="s">
        <v>4</v>
      </c>
      <c r="E103" s="87" t="s">
        <v>4</v>
      </c>
      <c r="F103" s="86" t="s">
        <v>4</v>
      </c>
      <c r="G103" s="86" t="s">
        <v>4</v>
      </c>
      <c r="H103" s="45" t="s">
        <v>4</v>
      </c>
      <c r="I103" s="88" t="s">
        <v>4</v>
      </c>
      <c r="J103" s="76" t="s">
        <v>4</v>
      </c>
      <c r="K103" s="45" t="s">
        <v>4</v>
      </c>
      <c r="L103" s="86" t="s">
        <v>4</v>
      </c>
      <c r="M103" s="20"/>
    </row>
    <row r="104" spans="1:13" s="40" customFormat="1" x14ac:dyDescent="0.25">
      <c r="A104" s="86"/>
      <c r="B104" s="45"/>
      <c r="C104" s="45">
        <f>65000/12</f>
        <v>5416.666666666667</v>
      </c>
      <c r="D104" s="87"/>
      <c r="E104" s="87"/>
      <c r="F104" s="86"/>
      <c r="G104" s="86"/>
      <c r="H104" s="45"/>
      <c r="I104" s="88"/>
      <c r="J104" s="105"/>
      <c r="K104" s="45">
        <f>SUM(K102:K103)</f>
        <v>35000</v>
      </c>
      <c r="L104" s="86" t="s">
        <v>145</v>
      </c>
      <c r="M104" s="20">
        <f>SUM(M102:M103)</f>
        <v>374500</v>
      </c>
    </row>
    <row r="105" spans="1:13" s="27" customFormat="1" x14ac:dyDescent="0.25">
      <c r="A105" s="1"/>
      <c r="B105" s="3"/>
      <c r="C105" s="3"/>
      <c r="D105" s="4"/>
      <c r="E105" s="4"/>
      <c r="F105" s="1"/>
      <c r="G105" s="1"/>
      <c r="H105" s="3"/>
      <c r="I105" s="8"/>
      <c r="J105" s="55"/>
      <c r="K105" s="79"/>
      <c r="L105" s="86" t="s">
        <v>175</v>
      </c>
      <c r="M105" s="20">
        <f>SUM(M102)</f>
        <v>374500</v>
      </c>
    </row>
    <row r="106" spans="1:13" s="27" customFormat="1" ht="13.8" thickBot="1" x14ac:dyDescent="0.3">
      <c r="A106" s="1"/>
      <c r="B106" s="3"/>
      <c r="C106" s="3"/>
      <c r="D106" s="4"/>
      <c r="E106" s="4"/>
      <c r="F106" s="1"/>
      <c r="G106" s="1"/>
      <c r="H106" s="3"/>
      <c r="I106" s="8"/>
      <c r="J106" s="55"/>
      <c r="K106" s="79"/>
      <c r="L106" s="86" t="s">
        <v>176</v>
      </c>
      <c r="M106" s="106">
        <f>+M104-M105</f>
        <v>0</v>
      </c>
    </row>
    <row r="107" spans="1:13" s="27" customFormat="1" ht="13.8" thickTop="1" x14ac:dyDescent="0.25">
      <c r="A107" s="1"/>
      <c r="B107" s="3"/>
      <c r="C107" s="3"/>
      <c r="D107" s="4"/>
      <c r="E107" s="4"/>
      <c r="F107" s="1"/>
      <c r="G107" s="1"/>
      <c r="H107" s="3"/>
      <c r="I107" s="8"/>
      <c r="J107" s="55"/>
      <c r="K107" s="3"/>
      <c r="L107" s="1"/>
      <c r="M107" s="9"/>
    </row>
    <row r="108" spans="1:13" s="104" customFormat="1" x14ac:dyDescent="0.25">
      <c r="A108" s="99" t="s">
        <v>5</v>
      </c>
      <c r="B108" s="100" t="s">
        <v>6</v>
      </c>
      <c r="C108" s="100" t="s">
        <v>7</v>
      </c>
      <c r="D108" s="101" t="s">
        <v>8</v>
      </c>
      <c r="E108" s="101"/>
      <c r="F108" s="99" t="s">
        <v>9</v>
      </c>
      <c r="G108" s="99" t="s">
        <v>10</v>
      </c>
      <c r="H108" s="100" t="s">
        <v>11</v>
      </c>
      <c r="I108" s="102" t="s">
        <v>12</v>
      </c>
      <c r="J108" s="103" t="s">
        <v>19</v>
      </c>
      <c r="K108" s="100" t="s">
        <v>20</v>
      </c>
      <c r="L108" s="99" t="s">
        <v>21</v>
      </c>
      <c r="M108" s="97" t="s">
        <v>109</v>
      </c>
    </row>
    <row r="109" spans="1:13" s="40" customFormat="1" x14ac:dyDescent="0.25">
      <c r="A109" s="86" t="s">
        <v>69</v>
      </c>
      <c r="B109" s="45" t="s">
        <v>171</v>
      </c>
      <c r="C109" s="45" t="s">
        <v>216</v>
      </c>
      <c r="D109" s="87">
        <v>37196</v>
      </c>
      <c r="E109" s="87">
        <v>37346</v>
      </c>
      <c r="F109" s="86" t="s">
        <v>193</v>
      </c>
      <c r="G109" s="86" t="s">
        <v>194</v>
      </c>
      <c r="H109" s="45" t="s">
        <v>170</v>
      </c>
      <c r="I109" s="88">
        <v>0.01</v>
      </c>
      <c r="J109" s="76" t="s">
        <v>225</v>
      </c>
      <c r="K109" s="45">
        <v>18000</v>
      </c>
      <c r="L109" s="86" t="s">
        <v>226</v>
      </c>
      <c r="M109" s="41">
        <f>+K109*I109*30.4</f>
        <v>5472</v>
      </c>
    </row>
    <row r="110" spans="1:13" s="40" customFormat="1" x14ac:dyDescent="0.25">
      <c r="A110" s="86"/>
      <c r="B110" s="45"/>
      <c r="C110" s="45"/>
      <c r="D110" s="87"/>
      <c r="E110" s="87"/>
      <c r="F110" s="86"/>
      <c r="G110" s="86"/>
      <c r="H110" s="45"/>
      <c r="I110" s="88"/>
      <c r="J110" s="76"/>
      <c r="K110" s="45"/>
      <c r="L110" s="86" t="s">
        <v>4</v>
      </c>
      <c r="M110" s="20"/>
    </row>
    <row r="111" spans="1:13" s="40" customFormat="1" x14ac:dyDescent="0.25">
      <c r="A111" s="86"/>
      <c r="B111" s="45"/>
      <c r="C111" s="45"/>
      <c r="D111" s="87"/>
      <c r="E111" s="87"/>
      <c r="F111" s="86"/>
      <c r="G111" s="86"/>
      <c r="H111" s="45"/>
      <c r="I111" s="88"/>
      <c r="J111" s="105"/>
      <c r="K111" s="45">
        <f>SUM(K109:K110)</f>
        <v>18000</v>
      </c>
      <c r="L111" s="86" t="s">
        <v>145</v>
      </c>
      <c r="M111" s="20">
        <f>SUM(M109:M110)</f>
        <v>5472</v>
      </c>
    </row>
    <row r="112" spans="1:13" s="27" customFormat="1" x14ac:dyDescent="0.25">
      <c r="A112" s="1"/>
      <c r="B112" s="3"/>
      <c r="C112" s="3"/>
      <c r="D112" s="4"/>
      <c r="E112" s="4"/>
      <c r="F112" s="1"/>
      <c r="G112" s="1"/>
      <c r="H112" s="3"/>
      <c r="I112" s="8"/>
      <c r="J112" s="55"/>
      <c r="K112" s="79"/>
      <c r="L112" s="86" t="s">
        <v>175</v>
      </c>
      <c r="M112" s="20">
        <v>0</v>
      </c>
    </row>
    <row r="113" spans="1:13" s="27" customFormat="1" ht="13.8" thickBot="1" x14ac:dyDescent="0.3">
      <c r="A113" s="1"/>
      <c r="B113" s="3"/>
      <c r="C113" s="3"/>
      <c r="D113" s="4"/>
      <c r="E113" s="4"/>
      <c r="F113" s="1"/>
      <c r="G113" s="1"/>
      <c r="H113" s="3"/>
      <c r="I113" s="8"/>
      <c r="J113" s="55"/>
      <c r="K113" s="79"/>
      <c r="L113" s="86" t="s">
        <v>176</v>
      </c>
      <c r="M113" s="107">
        <f>+M111-M112</f>
        <v>5472</v>
      </c>
    </row>
    <row r="114" spans="1:13" ht="13.8" thickTop="1" x14ac:dyDescent="0.25"/>
  </sheetData>
  <phoneticPr fontId="0" type="noConversion"/>
  <pageMargins left="0.75" right="0.75" top="1" bottom="1" header="0.5" footer="0.5"/>
  <pageSetup paperSize="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IT &amp; Pooling</vt:lpstr>
      <vt:lpstr>CES IT</vt:lpstr>
      <vt:lpstr>Notes</vt:lpstr>
      <vt:lpstr>East Capacity</vt:lpstr>
      <vt:lpstr>'East Capacity'!Print_Area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2001-12-13T15:52:02Z</cp:lastPrinted>
  <dcterms:created xsi:type="dcterms:W3CDTF">1998-07-21T12:15:25Z</dcterms:created>
  <dcterms:modified xsi:type="dcterms:W3CDTF">2023-09-10T12:08:47Z</dcterms:modified>
</cp:coreProperties>
</file>