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'TIE-OUT'!$A$1:$Y$95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AF638" i="44"/>
  <c r="AH638" i="44"/>
  <c r="AJ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AJ640" i="44"/>
  <c r="AK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AJ641" i="44"/>
  <c r="AK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AJ642" i="44"/>
  <c r="AK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AJ643" i="44"/>
  <c r="AK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AJ644" i="44"/>
  <c r="AK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AJ645" i="44"/>
  <c r="AK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AJ646" i="44"/>
  <c r="AK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AJ647" i="44"/>
  <c r="AK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AJ648" i="44"/>
  <c r="AK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AJ649" i="44"/>
  <c r="AK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AJ650" i="44"/>
  <c r="AK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AJ651" i="44"/>
  <c r="AK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D32" i="29"/>
  <c r="E32" i="29"/>
  <c r="F32" i="29"/>
  <c r="G32" i="29"/>
  <c r="H32" i="29"/>
  <c r="I32" i="29"/>
  <c r="J32" i="29"/>
  <c r="K32" i="29"/>
  <c r="N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D39" i="29"/>
  <c r="E39" i="29"/>
  <c r="F39" i="29"/>
  <c r="G39" i="29"/>
  <c r="H39" i="29"/>
  <c r="I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D40" i="29"/>
  <c r="E40" i="29"/>
  <c r="F40" i="29"/>
  <c r="G40" i="29"/>
  <c r="H40" i="29"/>
  <c r="I40" i="29"/>
  <c r="J40" i="29"/>
  <c r="K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D49" i="29"/>
  <c r="E49" i="29"/>
  <c r="F49" i="29"/>
  <c r="G49" i="29"/>
  <c r="H49" i="29"/>
  <c r="I49" i="29"/>
  <c r="N49" i="29"/>
  <c r="O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D51" i="29"/>
  <c r="E51" i="29"/>
  <c r="F51" i="29"/>
  <c r="G51" i="29"/>
  <c r="H51" i="29"/>
  <c r="I51" i="29"/>
  <c r="N51" i="29"/>
  <c r="O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D54" i="29"/>
  <c r="E54" i="29"/>
  <c r="F54" i="29"/>
  <c r="G54" i="29"/>
  <c r="H54" i="29"/>
  <c r="I54" i="29"/>
  <c r="K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D55" i="29"/>
  <c r="E55" i="29"/>
  <c r="F55" i="29"/>
  <c r="G55" i="29"/>
  <c r="H55" i="29"/>
  <c r="I55" i="29"/>
  <c r="J55" i="29"/>
  <c r="L55" i="29"/>
  <c r="M55" i="29"/>
  <c r="N55" i="29"/>
  <c r="P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D59" i="29"/>
  <c r="E59" i="29"/>
  <c r="F59" i="29"/>
  <c r="G59" i="29"/>
  <c r="H59" i="29"/>
  <c r="I59" i="29"/>
  <c r="J59" i="29"/>
  <c r="K59" i="29"/>
  <c r="L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M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L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L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X20" i="21"/>
  <c r="Z20" i="21"/>
  <c r="AB20" i="21"/>
  <c r="AD20" i="21"/>
  <c r="AF20" i="21"/>
  <c r="AH20" i="21"/>
  <c r="AJ20" i="21"/>
  <c r="AL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M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F28" i="23"/>
  <c r="AH28" i="23"/>
  <c r="AJ28" i="23"/>
  <c r="AL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L8" i="31"/>
  <c r="D11" i="31"/>
  <c r="E11" i="31"/>
  <c r="F11" i="31"/>
  <c r="G11" i="31"/>
  <c r="H11" i="31"/>
  <c r="I11" i="31"/>
  <c r="L11" i="31"/>
  <c r="M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D12" i="31"/>
  <c r="E12" i="31"/>
  <c r="F12" i="31"/>
  <c r="G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D13" i="31"/>
  <c r="E13" i="31"/>
  <c r="F13" i="31"/>
  <c r="G13" i="31"/>
  <c r="H13" i="31"/>
  <c r="I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D14" i="31"/>
  <c r="E14" i="31"/>
  <c r="F14" i="31"/>
  <c r="G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D15" i="31"/>
  <c r="E15" i="31"/>
  <c r="F15" i="31"/>
  <c r="G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D19" i="31"/>
  <c r="E19" i="31"/>
  <c r="F19" i="31"/>
  <c r="G19" i="31"/>
  <c r="H19" i="31"/>
  <c r="I19" i="31"/>
  <c r="J19" i="31"/>
  <c r="K19" i="31"/>
  <c r="L19" i="31"/>
  <c r="M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D20" i="31"/>
  <c r="E20" i="31"/>
  <c r="F20" i="31"/>
  <c r="G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D21" i="31"/>
  <c r="E21" i="31"/>
  <c r="F21" i="31"/>
  <c r="G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D22" i="31"/>
  <c r="E22" i="31"/>
  <c r="F22" i="31"/>
  <c r="G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D23" i="31"/>
  <c r="E23" i="31"/>
  <c r="F23" i="31"/>
  <c r="G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D27" i="31"/>
  <c r="E27" i="31"/>
  <c r="F27" i="31"/>
  <c r="G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D28" i="31"/>
  <c r="E28" i="31"/>
  <c r="F28" i="31"/>
  <c r="G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D32" i="31"/>
  <c r="E32" i="31"/>
  <c r="F32" i="31"/>
  <c r="G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D33" i="31"/>
  <c r="E33" i="31"/>
  <c r="F33" i="31"/>
  <c r="G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D34" i="31"/>
  <c r="E34" i="31"/>
  <c r="F34" i="31"/>
  <c r="G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D35" i="31"/>
  <c r="E35" i="31"/>
  <c r="F35" i="31"/>
  <c r="G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D39" i="31"/>
  <c r="E39" i="31"/>
  <c r="F39" i="31"/>
  <c r="G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D40" i="31"/>
  <c r="E40" i="31"/>
  <c r="F40" i="31"/>
  <c r="G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AL40" i="31"/>
  <c r="AM40" i="31"/>
  <c r="D41" i="31"/>
  <c r="E41" i="31"/>
  <c r="F41" i="31"/>
  <c r="G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AL41" i="31"/>
  <c r="AM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D45" i="31"/>
  <c r="E45" i="31"/>
  <c r="F45" i="31"/>
  <c r="G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D47" i="31"/>
  <c r="E47" i="31"/>
  <c r="F47" i="31"/>
  <c r="G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D49" i="31"/>
  <c r="E49" i="31"/>
  <c r="F49" i="31"/>
  <c r="G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D51" i="31"/>
  <c r="E51" i="31"/>
  <c r="F51" i="31"/>
  <c r="G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D54" i="31"/>
  <c r="E54" i="31"/>
  <c r="F54" i="31"/>
  <c r="G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AL54" i="31"/>
  <c r="AM54" i="31"/>
  <c r="D55" i="31"/>
  <c r="E55" i="31"/>
  <c r="F55" i="31"/>
  <c r="G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D59" i="31"/>
  <c r="E59" i="31"/>
  <c r="F59" i="31"/>
  <c r="G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D60" i="31"/>
  <c r="E60" i="31"/>
  <c r="F60" i="31"/>
  <c r="G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D64" i="31"/>
  <c r="E64" i="31"/>
  <c r="F64" i="31"/>
  <c r="G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D65" i="31"/>
  <c r="E65" i="31"/>
  <c r="F65" i="31"/>
  <c r="G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D70" i="31"/>
  <c r="E70" i="31"/>
  <c r="F70" i="31"/>
  <c r="G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D71" i="31"/>
  <c r="E71" i="31"/>
  <c r="F71" i="31"/>
  <c r="G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D73" i="31"/>
  <c r="E73" i="31"/>
  <c r="F73" i="31"/>
  <c r="G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D74" i="31"/>
  <c r="E74" i="31"/>
  <c r="F74" i="31"/>
  <c r="G74" i="31"/>
  <c r="V74" i="31"/>
  <c r="W74" i="31"/>
  <c r="X74" i="31"/>
  <c r="Y74" i="31"/>
  <c r="Z74" i="31"/>
  <c r="AB74" i="31"/>
  <c r="AD74" i="31"/>
  <c r="AF74" i="31"/>
  <c r="AH74" i="31"/>
  <c r="AJ74" i="31"/>
  <c r="AL74" i="31"/>
  <c r="D75" i="31"/>
  <c r="E75" i="31"/>
  <c r="F75" i="31"/>
  <c r="G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D76" i="31"/>
  <c r="E76" i="31"/>
  <c r="F76" i="31"/>
  <c r="G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D77" i="31"/>
  <c r="E77" i="31"/>
  <c r="F77" i="31"/>
  <c r="G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D78" i="31"/>
  <c r="E78" i="31"/>
  <c r="F78" i="31"/>
  <c r="G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D79" i="31"/>
  <c r="E79" i="31"/>
  <c r="F79" i="31"/>
  <c r="G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D80" i="31"/>
  <c r="E80" i="31"/>
  <c r="F80" i="31"/>
  <c r="G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D81" i="31"/>
  <c r="E81" i="31"/>
  <c r="F81" i="31"/>
  <c r="G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O11" i="6"/>
  <c r="Y11" i="6"/>
  <c r="D12" i="6"/>
  <c r="E12" i="6"/>
  <c r="D13" i="6"/>
  <c r="E13" i="6"/>
  <c r="D14" i="6"/>
  <c r="E14" i="6"/>
  <c r="D15" i="6"/>
  <c r="E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G54" i="6"/>
  <c r="I54" i="6"/>
  <c r="Y54" i="6"/>
  <c r="D55" i="6"/>
  <c r="E55" i="6"/>
  <c r="G55" i="6"/>
  <c r="I55" i="6"/>
  <c r="O55" i="6"/>
  <c r="Y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S74" i="6"/>
  <c r="U74" i="6"/>
  <c r="D75" i="6"/>
  <c r="E75" i="6"/>
  <c r="D76" i="6"/>
  <c r="E76" i="6"/>
  <c r="D77" i="6"/>
  <c r="E77" i="6"/>
  <c r="D78" i="6"/>
  <c r="E78" i="6"/>
  <c r="D79" i="6"/>
  <c r="E79" i="6"/>
  <c r="G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D11" i="30"/>
  <c r="E11" i="30"/>
  <c r="F11" i="30"/>
  <c r="G11" i="30"/>
  <c r="K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D70" i="30"/>
  <c r="E70" i="30"/>
  <c r="F70" i="30"/>
  <c r="G70" i="30"/>
  <c r="Q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S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U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D75" i="7"/>
  <c r="E75" i="7"/>
  <c r="D76" i="7"/>
  <c r="E76" i="7"/>
  <c r="D77" i="7"/>
  <c r="E77" i="7"/>
  <c r="I77" i="7"/>
  <c r="D78" i="7"/>
  <c r="E78" i="7"/>
  <c r="D79" i="7"/>
  <c r="E79" i="7"/>
  <c r="D80" i="7"/>
  <c r="E80" i="7"/>
  <c r="D81" i="7"/>
  <c r="E81" i="7"/>
  <c r="U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W86" i="7"/>
  <c r="E87" i="7"/>
  <c r="S87" i="7"/>
  <c r="T87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G94" i="7"/>
  <c r="I94" i="7"/>
  <c r="K94" i="7"/>
  <c r="M94" i="7"/>
  <c r="O94" i="7"/>
  <c r="Q94" i="7"/>
  <c r="S94" i="7"/>
  <c r="U94" i="7"/>
  <c r="W94" i="7"/>
  <c r="Y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L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J11" i="25"/>
  <c r="AL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X20" i="25"/>
  <c r="Z20" i="25"/>
  <c r="AB20" i="25"/>
  <c r="AD20" i="25"/>
  <c r="AF20" i="25"/>
  <c r="AH20" i="25"/>
  <c r="AJ20" i="25"/>
  <c r="AL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B41" i="25"/>
  <c r="AD41" i="25"/>
  <c r="AF41" i="25"/>
  <c r="AH41" i="25"/>
  <c r="AJ41" i="25"/>
  <c r="AL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D81" i="25"/>
  <c r="E81" i="25"/>
  <c r="F81" i="25"/>
  <c r="G81" i="25"/>
  <c r="H81" i="25"/>
  <c r="I81" i="25"/>
  <c r="J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L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D55" i="26"/>
  <c r="E55" i="26"/>
  <c r="F55" i="26"/>
  <c r="G55" i="26"/>
  <c r="H55" i="26"/>
  <c r="I55" i="26"/>
  <c r="J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L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X20" i="28"/>
  <c r="Z20" i="28"/>
  <c r="AB20" i="28"/>
  <c r="AD20" i="28"/>
  <c r="AF20" i="28"/>
  <c r="AH20" i="28"/>
  <c r="AJ20" i="28"/>
  <c r="AL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scarmic</author>
  </authors>
  <commentList>
    <comment ref="Y54" authorId="0" shapeId="0">
      <text>
        <r>
          <rPr>
            <b/>
            <sz val="8"/>
            <color indexed="81"/>
            <rFont val="Tahoma"/>
          </rPr>
          <t>scarmic:</t>
        </r>
        <r>
          <rPr>
            <sz val="8"/>
            <color indexed="81"/>
            <rFont val="Tahoma"/>
          </rPr>
          <t xml:space="preserve">
Reclass with 5/99 prod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Demand revaluation per P. Love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W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<sst xmlns="http://schemas.openxmlformats.org/spreadsheetml/2006/main" count="4951" uniqueCount="203">
  <si>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</si>
  <si>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</si>
  <si>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</si>
  <si>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</si>
  <si>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</si>
  <si>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</si>
  <si>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</si>
  <si>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</si>
  <si>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</si>
  <si>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</si>
  <si>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</si>
  <si>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</si>
  <si>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</si>
  <si>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</si>
  <si>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</si>
  <si>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</si>
  <si>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</si>
  <si>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</si>
  <si>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</si>
  <si>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</si>
  <si>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</si>
  <si>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</si>
  <si>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</si>
  <si>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</si>
  <si>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</si>
  <si>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</si>
  <si>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</si>
  <si>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</si>
  <si>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</si>
  <si>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</si>
  <si>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</si>
  <si>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</si>
  <si>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</si>
  <si>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</si>
  <si>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</si>
  <si>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</si>
  <si>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</si>
  <si>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</si>
  <si>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</si>
  <si>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</si>
  <si>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</si>
  <si>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</si>
  <si>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</si>
  <si>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</si>
  <si>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</si>
  <si>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</si>
  <si>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</si>
  <si>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</si>
  <si>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</si>
  <si>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</si>
  <si>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</si>
  <si>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</si>
  <si>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</si>
  <si>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</si>
  <si>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</si>
  <si>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</si>
  <si>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</si>
  <si>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</si>
  <si>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</si>
  <si>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</si>
  <si>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</si>
  <si>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</si>
  <si>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</si>
  <si>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</si>
  <si>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</si>
  <si>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</si>
  <si>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</si>
  <si>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</si>
  <si>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</si>
  <si>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</si>
  <si>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</si>
  <si>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</si>
  <si>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</si>
  <si>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</si>
  <si>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</si>
  <si>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</si>
  <si>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</si>
  <si>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</si>
  <si>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</si>
  <si>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</si>
  <si>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</si>
  <si>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</si>
  <si>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</si>
  <si>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</si>
  <si>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</si>
  <si>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</si>
  <si>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</si>
  <si>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</si>
  <si>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</si>
  <si>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</si>
  <si>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</si>
  <si>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</si>
  <si>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</si>
  <si>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</si>
  <si>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</si>
  <si>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</si>
  <si>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</si>
  <si>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</si>
  <si>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</si>
  <si>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</si>
  <si>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</si>
  <si>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</si>
  <si>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</si>
  <si>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</si>
  <si>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</si>
  <si>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</si>
  <si>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</si>
  <si>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</si>
  <si>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</si>
  <si>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</si>
  <si>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</si>
  <si>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</si>
  <si>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</si>
  <si>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</si>
  <si>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</si>
  <si>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</si>
  <si>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</si>
  <si>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</si>
  <si>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</si>
  <si>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</si>
  <si>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</si>
  <si>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</si>
  <si>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</si>
  <si>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</si>
  <si>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</si>
  <si>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</si>
  <si>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</si>
  <si>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</si>
  <si>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</si>
  <si>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</si>
  <si>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</si>
  <si>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</si>
  <si>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</si>
  <si>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</si>
  <si>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</si>
  <si>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</si>
  <si>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</si>
  <si>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</si>
  <si>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</si>
  <si>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</si>
  <si>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</si>
  <si>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</si>
  <si>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</si>
  <si>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</si>
  <si>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</si>
  <si>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</si>
  <si>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</si>
  <si>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</si>
  <si>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</si>
  <si>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</si>
  <si>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</si>
  <si>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</si>
  <si>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</si>
  <si>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</si>
  <si>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</si>
  <si>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</si>
  <si>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</si>
  <si>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</si>
  <si>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</si>
  <si>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</si>
  <si>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</si>
  <si>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</si>
  <si>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</si>
  <si>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</si>
  <si>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</si>
  <si>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</si>
  <si>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</si>
  <si>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</si>
  <si>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</si>
  <si>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</si>
  <si>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</si>
  <si>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</si>
  <si>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</si>
  <si>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</si>
  <si>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</si>
  <si>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</si>
  <si>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</si>
  <si>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</si>
  <si>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</si>
  <si>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</si>
  <si>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</si>
  <si>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</si>
  <si>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</si>
  <si>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</si>
  <si>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</si>
  <si>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</si>
  <si>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</si>
  <si>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June</t>
  </si>
  <si>
    <t>9906V</t>
  </si>
  <si>
    <t>9906A</t>
  </si>
  <si>
    <t>July</t>
  </si>
  <si>
    <t>PRODUCTION MONTH: 9906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</si>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</sst>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4" fillId="0" borderId="2" xfId="1" applyNumberFormat="1" applyFont="1" applyBorder="1"/>
    <xf numFmtId="165" fontId="4" fillId="0" borderId="23" xfId="1" applyNumberFormat="1" applyBorder="1"/>
    <xf numFmtId="165" fontId="24" fillId="0" borderId="1" xfId="1" applyNumberFormat="1" applyFont="1" applyFill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7">
          <cell r="C47">
            <v>103439.37999999861</v>
          </cell>
          <cell r="G47">
            <v>-1314525.6200000015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44">
            <v>2246013</v>
          </cell>
          <cell r="C44">
            <v>-1615621</v>
          </cell>
          <cell r="D44">
            <v>0</v>
          </cell>
          <cell r="E44">
            <v>0</v>
          </cell>
          <cell r="F44">
            <v>0</v>
          </cell>
          <cell r="G44">
            <v>1128111</v>
          </cell>
          <cell r="H44">
            <v>2136973</v>
          </cell>
          <cell r="I44">
            <v>0</v>
          </cell>
          <cell r="J44">
            <v>0</v>
          </cell>
          <cell r="K44">
            <v>0</v>
          </cell>
          <cell r="L44">
            <v>-36637</v>
          </cell>
          <cell r="M44">
            <v>149791</v>
          </cell>
          <cell r="O44">
            <v>-2590665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5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1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29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31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29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31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36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39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40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43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44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45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46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49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50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51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52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59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60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63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70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71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72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73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74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75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76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77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78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79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80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81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11" sqref="D11:E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0">
        <v>48318940</v>
      </c>
      <c r="E11" s="38">
        <v>108156193.66999999</v>
      </c>
      <c r="F11" s="65">
        <f>H11-D11</f>
        <v>0</v>
      </c>
      <c r="G11" s="63">
        <f>I11-E11</f>
        <v>0</v>
      </c>
      <c r="H11" s="65">
        <f>D11</f>
        <v>48318940</v>
      </c>
      <c r="I11" s="66">
        <f>E11</f>
        <v>108156193.66999999</v>
      </c>
      <c r="J11" s="60"/>
      <c r="K11" s="38"/>
      <c r="L11" s="60">
        <f t="shared" ref="L11:M15" si="0">H11+J11</f>
        <v>48318940</v>
      </c>
      <c r="M11" s="38">
        <f t="shared" si="0"/>
        <v>108156193.66999999</v>
      </c>
    </row>
    <row r="12" spans="1:26" x14ac:dyDescent="0.25">
      <c r="A12" s="9">
        <v>2</v>
      </c>
      <c r="B12" s="7"/>
      <c r="C12" s="18" t="s">
        <v>29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31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v>48318940</v>
      </c>
      <c r="E16" s="39">
        <v>108156193.66999999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48318940</v>
      </c>
      <c r="I16" s="39">
        <f>SUM(I11:I15)</f>
        <v>108156193.66999999</v>
      </c>
      <c r="J16" s="61">
        <f t="shared" si="3"/>
        <v>0</v>
      </c>
      <c r="K16" s="39">
        <f t="shared" si="3"/>
        <v>0</v>
      </c>
      <c r="L16" s="61">
        <f t="shared" si="3"/>
        <v>48318940</v>
      </c>
      <c r="M16" s="39">
        <f t="shared" si="3"/>
        <v>108156193.66999999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0">
        <v>-47849624</v>
      </c>
      <c r="E19" s="38">
        <v>-105545250.86999999</v>
      </c>
      <c r="F19" s="65">
        <f>H19-D19</f>
        <v>0</v>
      </c>
      <c r="G19" s="63">
        <f>I19-E19</f>
        <v>0</v>
      </c>
      <c r="H19" s="65">
        <f t="shared" si="4"/>
        <v>-47849624</v>
      </c>
      <c r="I19" s="66">
        <f t="shared" si="4"/>
        <v>-105545250.86999999</v>
      </c>
      <c r="J19" s="60"/>
      <c r="K19" s="38"/>
      <c r="L19" s="60">
        <f t="shared" ref="L19:M23" si="5">H19+J19</f>
        <v>-47849624</v>
      </c>
      <c r="M19" s="38">
        <f t="shared" si="5"/>
        <v>-105545250.86999999</v>
      </c>
    </row>
    <row r="20" spans="1:13" x14ac:dyDescent="0.25">
      <c r="A20" s="9">
        <v>7</v>
      </c>
      <c r="B20" s="7"/>
      <c r="C20" s="18" t="s">
        <v>29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60">
        <v>-1728732</v>
      </c>
      <c r="E21" s="38">
        <v>-3845421.13</v>
      </c>
      <c r="F21" s="65">
        <f t="shared" si="6"/>
        <v>0</v>
      </c>
      <c r="G21" s="63">
        <f t="shared" si="6"/>
        <v>0</v>
      </c>
      <c r="H21" s="65">
        <f t="shared" si="4"/>
        <v>-1728732</v>
      </c>
      <c r="I21" s="66">
        <f t="shared" si="4"/>
        <v>-3845421.13</v>
      </c>
      <c r="J21" s="60"/>
      <c r="K21" s="38"/>
      <c r="L21" s="60">
        <f t="shared" si="5"/>
        <v>-1728732</v>
      </c>
      <c r="M21" s="38">
        <f t="shared" si="5"/>
        <v>-3845421.13</v>
      </c>
    </row>
    <row r="22" spans="1:13" x14ac:dyDescent="0.25">
      <c r="A22" s="9">
        <v>9</v>
      </c>
      <c r="B22" s="7"/>
      <c r="C22" s="18" t="s">
        <v>31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60">
        <v>15826</v>
      </c>
      <c r="E23" s="38">
        <v>35650.74</v>
      </c>
      <c r="F23" s="65">
        <f t="shared" si="6"/>
        <v>0</v>
      </c>
      <c r="G23" s="63">
        <f t="shared" si="6"/>
        <v>0</v>
      </c>
      <c r="H23" s="65">
        <f t="shared" si="4"/>
        <v>15826</v>
      </c>
      <c r="I23" s="66">
        <f t="shared" si="4"/>
        <v>35650.74</v>
      </c>
      <c r="J23" s="60"/>
      <c r="K23" s="38"/>
      <c r="L23" s="60">
        <f t="shared" si="5"/>
        <v>15826</v>
      </c>
      <c r="M23" s="38">
        <f t="shared" si="5"/>
        <v>35650.74</v>
      </c>
    </row>
    <row r="24" spans="1:13" x14ac:dyDescent="0.25">
      <c r="A24" s="9"/>
      <c r="B24" s="7" t="s">
        <v>36</v>
      </c>
      <c r="C24" s="6"/>
      <c r="D24" s="61">
        <v>-49562530</v>
      </c>
      <c r="E24" s="39">
        <v>-109355021.25999999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-49562530</v>
      </c>
      <c r="I24" s="39">
        <f>SUM(I19:I23)</f>
        <v>-109355021.25999999</v>
      </c>
      <c r="J24" s="61">
        <f t="shared" si="7"/>
        <v>0</v>
      </c>
      <c r="K24" s="39">
        <f t="shared" si="7"/>
        <v>0</v>
      </c>
      <c r="L24" s="61">
        <f t="shared" si="7"/>
        <v>-49562530</v>
      </c>
      <c r="M24" s="39">
        <f t="shared" si="7"/>
        <v>-109355021.25999999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0">
        <v>28708482</v>
      </c>
      <c r="E27" s="38">
        <v>65345122.939999998</v>
      </c>
      <c r="F27" s="65">
        <f>H27-D27</f>
        <v>0</v>
      </c>
      <c r="G27" s="63">
        <f>I27-E27</f>
        <v>0</v>
      </c>
      <c r="H27" s="65">
        <f>D27</f>
        <v>28708482</v>
      </c>
      <c r="I27" s="66">
        <f>E27</f>
        <v>65345122.939999998</v>
      </c>
      <c r="J27" s="60"/>
      <c r="K27" s="38"/>
      <c r="L27" s="60">
        <f>H27+J27</f>
        <v>28708482</v>
      </c>
      <c r="M27" s="38">
        <f>I27+K27</f>
        <v>65345122.939999998</v>
      </c>
    </row>
    <row r="28" spans="1:13" x14ac:dyDescent="0.25">
      <c r="A28" s="9">
        <v>12</v>
      </c>
      <c r="B28" s="7"/>
      <c r="C28" s="18" t="s">
        <v>39</v>
      </c>
      <c r="D28" s="60">
        <v>-28733492</v>
      </c>
      <c r="E28" s="38">
        <v>-65401145.100000001</v>
      </c>
      <c r="F28" s="65">
        <f>H28-D28</f>
        <v>0</v>
      </c>
      <c r="G28" s="63">
        <f>I28-E28</f>
        <v>0</v>
      </c>
      <c r="H28" s="65">
        <f>D28</f>
        <v>-28733492</v>
      </c>
      <c r="I28" s="66">
        <f>E28</f>
        <v>-65401145.100000001</v>
      </c>
      <c r="J28" s="60"/>
      <c r="K28" s="38"/>
      <c r="L28" s="60">
        <f>H28+J28</f>
        <v>-28733492</v>
      </c>
      <c r="M28" s="38">
        <f>I28+K28</f>
        <v>-65401145.100000001</v>
      </c>
    </row>
    <row r="29" spans="1:13" x14ac:dyDescent="0.25">
      <c r="A29" s="9"/>
      <c r="B29" s="7" t="s">
        <v>40</v>
      </c>
      <c r="C29" s="6"/>
      <c r="D29" s="61">
        <v>-25010</v>
      </c>
      <c r="E29" s="39">
        <v>-56022.160000003874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-25010</v>
      </c>
      <c r="I29" s="39">
        <f>SUM(I27:I28)</f>
        <v>-56022.160000003874</v>
      </c>
      <c r="J29" s="61">
        <f t="shared" si="8"/>
        <v>0</v>
      </c>
      <c r="K29" s="39">
        <f t="shared" si="8"/>
        <v>0</v>
      </c>
      <c r="L29" s="61">
        <f t="shared" si="8"/>
        <v>-25010</v>
      </c>
      <c r="M29" s="39">
        <f t="shared" si="8"/>
        <v>-56022.160000003874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43</v>
      </c>
      <c r="D33" s="60">
        <v>87461</v>
      </c>
      <c r="E33" s="38">
        <v>158941.20053762317</v>
      </c>
      <c r="F33" s="65">
        <f t="shared" ref="F33:G35" si="11">H33-D33</f>
        <v>0</v>
      </c>
      <c r="G33" s="63">
        <f t="shared" si="11"/>
        <v>0</v>
      </c>
      <c r="H33" s="65">
        <f t="shared" si="9"/>
        <v>87461</v>
      </c>
      <c r="I33" s="66">
        <f t="shared" si="9"/>
        <v>158941.20053762317</v>
      </c>
      <c r="J33" s="60"/>
      <c r="K33" s="38"/>
      <c r="L33" s="60">
        <f t="shared" si="10"/>
        <v>87461</v>
      </c>
      <c r="M33" s="38">
        <f t="shared" si="10"/>
        <v>158941.20053762317</v>
      </c>
    </row>
    <row r="34" spans="1:13" x14ac:dyDescent="0.25">
      <c r="A34" s="9">
        <v>15</v>
      </c>
      <c r="B34" s="7"/>
      <c r="C34" s="18" t="s">
        <v>44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45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46</v>
      </c>
      <c r="C36" s="6"/>
      <c r="D36" s="61">
        <v>87461</v>
      </c>
      <c r="E36" s="39">
        <v>158941.20053762317</v>
      </c>
      <c r="F36" s="61">
        <f>SUM(F32:F35)</f>
        <v>0</v>
      </c>
      <c r="G36" s="39">
        <f>SUM(G32:G35)</f>
        <v>0</v>
      </c>
      <c r="H36" s="61">
        <f>SUM(H32:H35)</f>
        <v>87461</v>
      </c>
      <c r="I36" s="39">
        <f>SUM(I32:I35)</f>
        <v>158941.20053762317</v>
      </c>
      <c r="J36" s="61">
        <f>SUM(J32:J34)</f>
        <v>0</v>
      </c>
      <c r="K36" s="39">
        <f>SUM(K32:K34)</f>
        <v>0</v>
      </c>
      <c r="L36" s="61">
        <f>SUM(L32:L35)</f>
        <v>87461</v>
      </c>
      <c r="M36" s="39">
        <f>SUM(M32:M35)</f>
        <v>158941.20053762317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0">
        <v>2109056</v>
      </c>
      <c r="E39" s="38">
        <v>4713318.3499999996</v>
      </c>
      <c r="F39" s="65">
        <f t="shared" ref="F39:G41" si="13">H39-D39</f>
        <v>0</v>
      </c>
      <c r="G39" s="63">
        <f t="shared" si="13"/>
        <v>0</v>
      </c>
      <c r="H39" s="65">
        <f t="shared" si="12"/>
        <v>2109056</v>
      </c>
      <c r="I39" s="66">
        <f t="shared" si="12"/>
        <v>4713318.3499999996</v>
      </c>
      <c r="J39" s="60"/>
      <c r="K39" s="38"/>
      <c r="L39" s="60">
        <f t="shared" ref="L39:M41" si="14">H39+J39</f>
        <v>2109056</v>
      </c>
      <c r="M39" s="38">
        <f t="shared" si="14"/>
        <v>4713318.3499999996</v>
      </c>
    </row>
    <row r="40" spans="1:13" ht="22.5" customHeight="1" x14ac:dyDescent="0.25">
      <c r="A40" s="9">
        <v>18</v>
      </c>
      <c r="B40" s="7"/>
      <c r="C40" s="18" t="s">
        <v>49</v>
      </c>
      <c r="D40" s="60">
        <v>-927917</v>
      </c>
      <c r="E40" s="38">
        <v>-2073864.9</v>
      </c>
      <c r="F40" s="65">
        <f t="shared" si="13"/>
        <v>0</v>
      </c>
      <c r="G40" s="63">
        <f t="shared" si="13"/>
        <v>0</v>
      </c>
      <c r="H40" s="65">
        <f t="shared" si="12"/>
        <v>-927917</v>
      </c>
      <c r="I40" s="66">
        <f t="shared" si="12"/>
        <v>-2073864.9</v>
      </c>
      <c r="J40" s="60"/>
      <c r="K40" s="38"/>
      <c r="L40" s="60">
        <f t="shared" si="14"/>
        <v>-927917</v>
      </c>
      <c r="M40" s="38">
        <f t="shared" si="14"/>
        <v>-2073864.9</v>
      </c>
    </row>
    <row r="41" spans="1:13" x14ac:dyDescent="0.25">
      <c r="A41" s="9">
        <v>19</v>
      </c>
      <c r="B41" s="7"/>
      <c r="C41" s="18" t="s">
        <v>50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51</v>
      </c>
      <c r="D42" s="61">
        <v>-927917</v>
      </c>
      <c r="E42" s="39">
        <v>-2073864.9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-927917</v>
      </c>
      <c r="I42" s="39">
        <f>SUM(I40:I41)</f>
        <v>-2073864.9</v>
      </c>
      <c r="J42" s="61">
        <f t="shared" si="15"/>
        <v>0</v>
      </c>
      <c r="K42" s="39">
        <f t="shared" si="15"/>
        <v>0</v>
      </c>
      <c r="L42" s="69">
        <f t="shared" si="15"/>
        <v>-927917</v>
      </c>
      <c r="M42" s="70">
        <f t="shared" si="15"/>
        <v>-2073864.9</v>
      </c>
    </row>
    <row r="43" spans="1:13" ht="21" customHeight="1" x14ac:dyDescent="0.25">
      <c r="A43" s="9"/>
      <c r="B43" s="7" t="s">
        <v>52</v>
      </c>
      <c r="C43" s="6"/>
      <c r="D43" s="60">
        <v>1181139</v>
      </c>
      <c r="E43" s="38">
        <v>2639453.4500000002</v>
      </c>
      <c r="F43" s="61">
        <f t="shared" ref="F43:M43" si="16">F42+F39</f>
        <v>0</v>
      </c>
      <c r="G43" s="39">
        <f t="shared" si="16"/>
        <v>0</v>
      </c>
      <c r="H43" s="61">
        <f>H42+H39</f>
        <v>1181139</v>
      </c>
      <c r="I43" s="39">
        <f>I42+I39</f>
        <v>2639453.4499999997</v>
      </c>
      <c r="J43" s="61">
        <f t="shared" si="16"/>
        <v>0</v>
      </c>
      <c r="K43" s="39">
        <f t="shared" si="16"/>
        <v>0</v>
      </c>
      <c r="L43" s="61">
        <f t="shared" si="16"/>
        <v>1181139</v>
      </c>
      <c r="M43" s="39">
        <f t="shared" si="16"/>
        <v>2639453.4499999997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0">
        <v>-15826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-15826</v>
      </c>
      <c r="I51" s="66">
        <f>E51</f>
        <v>-25000</v>
      </c>
      <c r="J51" s="60"/>
      <c r="K51" s="38"/>
      <c r="L51" s="60">
        <f>H51+J51</f>
        <v>-15826</v>
      </c>
      <c r="M51" s="38">
        <f>I51+K51</f>
        <v>-25000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0">
        <v>0</v>
      </c>
      <c r="E54" s="38">
        <v>-977752.72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-977752.72</v>
      </c>
      <c r="J54" s="60"/>
      <c r="K54" s="38"/>
      <c r="L54" s="60">
        <f>H54+J54</f>
        <v>0</v>
      </c>
      <c r="M54" s="38">
        <f>I54+K54</f>
        <v>-977752.72</v>
      </c>
    </row>
    <row r="55" spans="1:15" x14ac:dyDescent="0.25">
      <c r="A55" s="9">
        <v>25</v>
      </c>
      <c r="B55" s="7"/>
      <c r="C55" s="18" t="s">
        <v>59</v>
      </c>
      <c r="D55" s="60">
        <v>0</v>
      </c>
      <c r="E55" s="38">
        <v>-15000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60</v>
      </c>
      <c r="C56" s="6"/>
      <c r="D56" s="61">
        <v>0</v>
      </c>
      <c r="E56" s="39">
        <v>-992752.72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-992752.72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-992752.72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63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70</v>
      </c>
      <c r="D70" s="60">
        <v>0</v>
      </c>
      <c r="E70" s="38">
        <v>722248.91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722248.91</v>
      </c>
      <c r="J70" s="60"/>
      <c r="K70" s="38"/>
      <c r="L70" s="60">
        <f t="shared" si="20"/>
        <v>0</v>
      </c>
      <c r="M70" s="38">
        <f t="shared" si="20"/>
        <v>722248.91</v>
      </c>
    </row>
    <row r="71" spans="1:13" x14ac:dyDescent="0.25">
      <c r="A71" s="9">
        <v>31</v>
      </c>
      <c r="B71" s="3"/>
      <c r="C71" s="10" t="s">
        <v>71</v>
      </c>
      <c r="D71" s="60">
        <v>0</v>
      </c>
      <c r="E71" s="38">
        <v>-250999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-250999</v>
      </c>
      <c r="J71" s="60"/>
      <c r="K71" s="38"/>
      <c r="L71" s="60">
        <f t="shared" si="20"/>
        <v>0</v>
      </c>
      <c r="M71" s="38">
        <f t="shared" si="20"/>
        <v>-250999</v>
      </c>
    </row>
    <row r="72" spans="1:13" x14ac:dyDescent="0.25">
      <c r="A72" s="9"/>
      <c r="B72" s="3"/>
      <c r="C72" s="55" t="s">
        <v>72</v>
      </c>
      <c r="D72" s="61">
        <v>0</v>
      </c>
      <c r="E72" s="39">
        <v>471249.91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471249.91000000003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471249.91000000003</v>
      </c>
    </row>
    <row r="73" spans="1:13" x14ac:dyDescent="0.25">
      <c r="A73" s="9">
        <v>32</v>
      </c>
      <c r="B73" s="3"/>
      <c r="C73" s="10" t="s">
        <v>73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74</v>
      </c>
      <c r="D74" s="60">
        <v>0</v>
      </c>
      <c r="E74" s="38">
        <v>740576.15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740576.15</v>
      </c>
      <c r="J74" s="60"/>
      <c r="K74" s="38"/>
      <c r="L74" s="60">
        <f t="shared" si="23"/>
        <v>0</v>
      </c>
      <c r="M74" s="38">
        <f t="shared" si="23"/>
        <v>740576.15</v>
      </c>
    </row>
    <row r="75" spans="1:13" x14ac:dyDescent="0.25">
      <c r="A75" s="9">
        <v>34</v>
      </c>
      <c r="B75" s="3"/>
      <c r="C75" s="10" t="s">
        <v>75</v>
      </c>
      <c r="D75" s="60">
        <v>0</v>
      </c>
      <c r="E75" s="38">
        <v>126894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126894</v>
      </c>
      <c r="J75" s="60"/>
      <c r="K75" s="38"/>
      <c r="L75" s="60">
        <f t="shared" si="23"/>
        <v>0</v>
      </c>
      <c r="M75" s="38">
        <f t="shared" si="23"/>
        <v>126894</v>
      </c>
    </row>
    <row r="76" spans="1:13" x14ac:dyDescent="0.25">
      <c r="A76" s="9">
        <v>35</v>
      </c>
      <c r="B76" s="3"/>
      <c r="C76" s="10" t="s">
        <v>76</v>
      </c>
      <c r="D76" s="60">
        <v>0</v>
      </c>
      <c r="E76" s="38">
        <v>-22536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-22536</v>
      </c>
      <c r="J76" s="60"/>
      <c r="K76" s="38"/>
      <c r="L76" s="60">
        <f t="shared" si="23"/>
        <v>0</v>
      </c>
      <c r="M76" s="38">
        <f t="shared" si="23"/>
        <v>-22536</v>
      </c>
    </row>
    <row r="77" spans="1:13" x14ac:dyDescent="0.25">
      <c r="A77" s="9">
        <v>36</v>
      </c>
      <c r="B77" s="3"/>
      <c r="C77" s="10" t="s">
        <v>77</v>
      </c>
      <c r="D77" s="60">
        <v>0</v>
      </c>
      <c r="E77" s="38">
        <v>-103300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-103300</v>
      </c>
      <c r="J77" s="60"/>
      <c r="K77" s="38"/>
      <c r="L77" s="60">
        <f t="shared" si="23"/>
        <v>0</v>
      </c>
      <c r="M77" s="38">
        <f t="shared" si="23"/>
        <v>-103300</v>
      </c>
    </row>
    <row r="78" spans="1:13" x14ac:dyDescent="0.25">
      <c r="A78" s="9">
        <v>37</v>
      </c>
      <c r="B78" s="3"/>
      <c r="C78" s="10" t="s">
        <v>78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79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80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81</v>
      </c>
      <c r="D81" s="60">
        <v>0</v>
      </c>
      <c r="E81" s="38">
        <v>166908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166908</v>
      </c>
      <c r="J81" s="60"/>
      <c r="K81" s="38"/>
      <c r="L81" s="60">
        <f t="shared" si="23"/>
        <v>0</v>
      </c>
      <c r="M81" s="38">
        <f t="shared" si="23"/>
        <v>166908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165">
        <f>SUM(E72:E81)+E16+E24+E29+E36+E43+E45+E47+E49+E51+E56+E61+E66</f>
        <v>1905584.2405376181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1905584.2405376181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1905584.2405376181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180</v>
      </c>
      <c r="B85" s="3"/>
      <c r="M85" s="45">
        <f>M82+'TX-HPL-FLSH'!M82</f>
        <v>1999525.6801189326</v>
      </c>
    </row>
    <row r="86" spans="1:67" s="3" customFormat="1" x14ac:dyDescent="0.25">
      <c r="A86" s="172"/>
      <c r="C86" s="10" t="s">
        <v>176</v>
      </c>
      <c r="D86" s="176">
        <v>0</v>
      </c>
      <c r="E86" s="176">
        <v>114066</v>
      </c>
      <c r="F86" s="176">
        <f t="shared" ref="F86:G88" si="25">H86-D86</f>
        <v>0</v>
      </c>
      <c r="G86" s="176">
        <f t="shared" si="25"/>
        <v>0</v>
      </c>
      <c r="H86" s="176">
        <f t="shared" ref="H86:I88" si="26">D86</f>
        <v>0</v>
      </c>
      <c r="I86" s="176">
        <f t="shared" si="26"/>
        <v>114066</v>
      </c>
      <c r="J86" s="176"/>
      <c r="K86" s="176"/>
      <c r="L86" s="176">
        <f t="shared" ref="L86:M88" si="27">H86+J86</f>
        <v>0</v>
      </c>
      <c r="M86" s="176">
        <f t="shared" si="27"/>
        <v>114066</v>
      </c>
    </row>
    <row r="87" spans="1:67" s="3" customFormat="1" x14ac:dyDescent="0.25">
      <c r="A87" s="172"/>
      <c r="C87" s="10" t="s">
        <v>74</v>
      </c>
      <c r="D87" s="177">
        <v>0</v>
      </c>
      <c r="E87" s="177">
        <v>0</v>
      </c>
      <c r="F87" s="177">
        <f t="shared" si="25"/>
        <v>0</v>
      </c>
      <c r="G87" s="177">
        <f t="shared" si="25"/>
        <v>0</v>
      </c>
      <c r="H87" s="177">
        <f t="shared" si="26"/>
        <v>0</v>
      </c>
      <c r="I87" s="177">
        <f t="shared" si="26"/>
        <v>0</v>
      </c>
      <c r="J87" s="177"/>
      <c r="K87" s="177"/>
      <c r="L87" s="177">
        <f t="shared" si="27"/>
        <v>0</v>
      </c>
      <c r="M87" s="177">
        <f t="shared" si="27"/>
        <v>0</v>
      </c>
    </row>
    <row r="88" spans="1:67" s="3" customFormat="1" x14ac:dyDescent="0.25">
      <c r="A88" s="172"/>
      <c r="C88" s="10" t="s">
        <v>75</v>
      </c>
      <c r="D88" s="178">
        <v>0</v>
      </c>
      <c r="E88" s="178">
        <v>-113464</v>
      </c>
      <c r="F88" s="178">
        <f t="shared" si="25"/>
        <v>0</v>
      </c>
      <c r="G88" s="178">
        <f t="shared" si="25"/>
        <v>0</v>
      </c>
      <c r="H88" s="178">
        <f t="shared" si="26"/>
        <v>0</v>
      </c>
      <c r="I88" s="178">
        <f t="shared" si="26"/>
        <v>-113464</v>
      </c>
      <c r="J88" s="178"/>
      <c r="K88" s="178"/>
      <c r="L88" s="178">
        <f t="shared" si="27"/>
        <v>0</v>
      </c>
      <c r="M88" s="178">
        <f t="shared" si="27"/>
        <v>-113464</v>
      </c>
    </row>
    <row r="89" spans="1:67" s="44" customFormat="1" ht="20.25" customHeight="1" x14ac:dyDescent="0.25">
      <c r="A89" s="179"/>
      <c r="B89" s="180"/>
      <c r="C89" s="181" t="s">
        <v>179</v>
      </c>
      <c r="D89" s="183">
        <f>SUM(D86:D88)</f>
        <v>0</v>
      </c>
      <c r="E89" s="183">
        <f t="shared" ref="E89:M89" si="28">SUM(E86:E88)</f>
        <v>602</v>
      </c>
      <c r="F89" s="183">
        <f t="shared" si="28"/>
        <v>0</v>
      </c>
      <c r="G89" s="183">
        <f t="shared" si="28"/>
        <v>0</v>
      </c>
      <c r="H89" s="183">
        <f t="shared" si="28"/>
        <v>0</v>
      </c>
      <c r="I89" s="183">
        <f t="shared" si="28"/>
        <v>602</v>
      </c>
      <c r="J89" s="183">
        <f t="shared" si="28"/>
        <v>0</v>
      </c>
      <c r="K89" s="183">
        <f t="shared" si="28"/>
        <v>0</v>
      </c>
      <c r="L89" s="183">
        <f t="shared" si="28"/>
        <v>0</v>
      </c>
      <c r="M89" s="183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177</v>
      </c>
      <c r="D91" s="183">
        <f>+D82+D89</f>
        <v>0</v>
      </c>
      <c r="E91" s="183">
        <f t="shared" ref="E91:M91" si="29">+E82+E89</f>
        <v>1906186.2405376181</v>
      </c>
      <c r="F91" s="183">
        <f t="shared" si="29"/>
        <v>0</v>
      </c>
      <c r="G91" s="183">
        <f t="shared" si="29"/>
        <v>0</v>
      </c>
      <c r="H91" s="183">
        <f t="shared" si="29"/>
        <v>0</v>
      </c>
      <c r="I91" s="183">
        <f t="shared" si="29"/>
        <v>1906186.2405376181</v>
      </c>
      <c r="J91" s="183">
        <f t="shared" si="29"/>
        <v>0</v>
      </c>
      <c r="K91" s="183">
        <f t="shared" si="29"/>
        <v>0</v>
      </c>
      <c r="L91" s="183">
        <f t="shared" si="29"/>
        <v>0</v>
      </c>
      <c r="M91" s="183">
        <f t="shared" si="29"/>
        <v>1906186.2405376181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24" sqref="D2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0">
        <v>1071329</v>
      </c>
      <c r="E11" s="60">
        <v>2372467.3300000131</v>
      </c>
      <c r="F11" s="60">
        <f>H11-D11</f>
        <v>0</v>
      </c>
      <c r="G11" s="37">
        <f>I11-E11</f>
        <v>0</v>
      </c>
      <c r="H11" s="65">
        <f>D11</f>
        <v>1071329</v>
      </c>
      <c r="I11" s="66">
        <f>E11</f>
        <v>2372467.3300000131</v>
      </c>
      <c r="J11" s="60"/>
      <c r="K11" s="38"/>
      <c r="L11" s="60">
        <f t="shared" ref="L11:M15" si="0">H11+J11</f>
        <v>1071329</v>
      </c>
      <c r="M11" s="38">
        <f t="shared" si="0"/>
        <v>2372467.3300000131</v>
      </c>
    </row>
    <row r="12" spans="1:26" x14ac:dyDescent="0.25">
      <c r="A12" s="9">
        <v>2</v>
      </c>
      <c r="B12" s="7"/>
      <c r="C12" s="18" t="s">
        <v>29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31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v>1071329</v>
      </c>
      <c r="E16" s="39">
        <v>2372467.3300000131</v>
      </c>
      <c r="F16" s="61">
        <f t="shared" ref="F16:M16" si="3">SUM(F11:F15)</f>
        <v>0</v>
      </c>
      <c r="G16" s="39">
        <f t="shared" si="3"/>
        <v>0</v>
      </c>
      <c r="H16" s="61">
        <f>SUM(H11:H15)</f>
        <v>1071329</v>
      </c>
      <c r="I16" s="39">
        <f>SUM(I11:I15)</f>
        <v>2372467.3300000131</v>
      </c>
      <c r="J16" s="61">
        <f t="shared" si="3"/>
        <v>0</v>
      </c>
      <c r="K16" s="39">
        <f t="shared" si="3"/>
        <v>0</v>
      </c>
      <c r="L16" s="61">
        <f t="shared" si="3"/>
        <v>1071329</v>
      </c>
      <c r="M16" s="39">
        <f t="shared" si="3"/>
        <v>2372467.3300000131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0">
        <v>-1143041</v>
      </c>
      <c r="E19" s="60">
        <v>-2493269.1300000101</v>
      </c>
      <c r="F19" s="60">
        <f>H19-D19</f>
        <v>0</v>
      </c>
      <c r="G19" s="37">
        <f>I19-E19</f>
        <v>0</v>
      </c>
      <c r="H19" s="65">
        <f t="shared" si="4"/>
        <v>-1143041</v>
      </c>
      <c r="I19" s="66">
        <f t="shared" si="4"/>
        <v>-2493269.1300000101</v>
      </c>
      <c r="J19" s="60"/>
      <c r="K19" s="38"/>
      <c r="L19" s="60">
        <f t="shared" ref="L19:M23" si="5">H19+J19</f>
        <v>-1143041</v>
      </c>
      <c r="M19" s="38">
        <f t="shared" si="5"/>
        <v>-2493269.1300000101</v>
      </c>
    </row>
    <row r="20" spans="1:13" x14ac:dyDescent="0.25">
      <c r="A20" s="9">
        <v>7</v>
      </c>
      <c r="B20" s="7"/>
      <c r="C20" s="18" t="s">
        <v>29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60">
        <v>0</v>
      </c>
      <c r="E21" s="60">
        <v>1.1299999998882413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1.1299999998882413</v>
      </c>
      <c r="J21" s="60"/>
      <c r="K21" s="38"/>
      <c r="L21" s="60">
        <f t="shared" si="5"/>
        <v>0</v>
      </c>
      <c r="M21" s="38">
        <f t="shared" si="5"/>
        <v>1.1299999998882413</v>
      </c>
    </row>
    <row r="22" spans="1:13" x14ac:dyDescent="0.25">
      <c r="A22" s="9">
        <v>9</v>
      </c>
      <c r="B22" s="7"/>
      <c r="C22" s="18" t="s">
        <v>31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60">
        <v>0</v>
      </c>
      <c r="E23" s="60">
        <v>-1.7399999999979627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-1.7399999999979627</v>
      </c>
      <c r="J23" s="60"/>
      <c r="K23" s="38"/>
      <c r="L23" s="60">
        <f t="shared" si="5"/>
        <v>0</v>
      </c>
      <c r="M23" s="38">
        <f t="shared" si="5"/>
        <v>-1.7399999999979627</v>
      </c>
    </row>
    <row r="24" spans="1:13" x14ac:dyDescent="0.25">
      <c r="A24" s="9"/>
      <c r="B24" s="7" t="s">
        <v>36</v>
      </c>
      <c r="C24" s="6"/>
      <c r="D24" s="61">
        <v>-1143041</v>
      </c>
      <c r="E24" s="39">
        <v>-2493269.7400000105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-1143041</v>
      </c>
      <c r="I24" s="39">
        <f>SUM(I19:I23)</f>
        <v>-2493269.7400000105</v>
      </c>
      <c r="J24" s="61">
        <f t="shared" si="7"/>
        <v>0</v>
      </c>
      <c r="K24" s="39">
        <f t="shared" si="7"/>
        <v>0</v>
      </c>
      <c r="L24" s="61">
        <f t="shared" si="7"/>
        <v>-1143041</v>
      </c>
      <c r="M24" s="39">
        <f t="shared" si="7"/>
        <v>-2493269.7400000105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0">
        <v>25010</v>
      </c>
      <c r="E27" s="60">
        <v>56029.060000002384</v>
      </c>
      <c r="F27" s="60">
        <f>H27-D27</f>
        <v>0</v>
      </c>
      <c r="G27" s="37">
        <f>I27-E27</f>
        <v>0</v>
      </c>
      <c r="H27" s="65">
        <f>D27</f>
        <v>25010</v>
      </c>
      <c r="I27" s="66">
        <f>E27</f>
        <v>56029.060000002384</v>
      </c>
      <c r="J27" s="60"/>
      <c r="K27" s="38"/>
      <c r="L27" s="60">
        <f>H27+J27</f>
        <v>25010</v>
      </c>
      <c r="M27" s="38">
        <f>I27+K27</f>
        <v>56029.060000002384</v>
      </c>
    </row>
    <row r="28" spans="1:13" x14ac:dyDescent="0.25">
      <c r="A28" s="9">
        <v>12</v>
      </c>
      <c r="B28" s="7"/>
      <c r="C28" s="18" t="s">
        <v>39</v>
      </c>
      <c r="D28" s="60">
        <v>0</v>
      </c>
      <c r="E28" s="60">
        <v>-6.8999999985098839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-6.8999999985098839</v>
      </c>
      <c r="J28" s="60"/>
      <c r="K28" s="38"/>
      <c r="L28" s="60">
        <f>H28+J28</f>
        <v>0</v>
      </c>
      <c r="M28" s="38">
        <f>I28+K28</f>
        <v>-6.8999999985098839</v>
      </c>
    </row>
    <row r="29" spans="1:13" x14ac:dyDescent="0.25">
      <c r="A29" s="9"/>
      <c r="B29" s="7" t="s">
        <v>40</v>
      </c>
      <c r="C29" s="6"/>
      <c r="D29" s="61">
        <v>25010</v>
      </c>
      <c r="E29" s="39">
        <v>56022.160000003874</v>
      </c>
      <c r="F29" s="61">
        <f t="shared" ref="F29:M29" si="8">SUM(F27:F28)</f>
        <v>0</v>
      </c>
      <c r="G29" s="39">
        <f t="shared" si="8"/>
        <v>0</v>
      </c>
      <c r="H29" s="61">
        <f>SUM(H27:H28)</f>
        <v>25010</v>
      </c>
      <c r="I29" s="39">
        <f>SUM(I27:I28)</f>
        <v>56022.160000003874</v>
      </c>
      <c r="J29" s="61">
        <f t="shared" si="8"/>
        <v>0</v>
      </c>
      <c r="K29" s="39">
        <f t="shared" si="8"/>
        <v>0</v>
      </c>
      <c r="L29" s="61">
        <f t="shared" si="8"/>
        <v>25010</v>
      </c>
      <c r="M29" s="39">
        <f t="shared" si="8"/>
        <v>56022.160000003874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43</v>
      </c>
      <c r="D33" s="60">
        <v>46702</v>
      </c>
      <c r="E33" s="60">
        <v>133722.13958130774</v>
      </c>
      <c r="F33" s="60">
        <f t="shared" ref="F33:G35" si="11">H33-D33</f>
        <v>0</v>
      </c>
      <c r="G33" s="37">
        <f t="shared" si="11"/>
        <v>0</v>
      </c>
      <c r="H33" s="65">
        <f t="shared" si="9"/>
        <v>46702</v>
      </c>
      <c r="I33" s="66">
        <f t="shared" si="9"/>
        <v>133722.13958130774</v>
      </c>
      <c r="J33" s="60"/>
      <c r="K33" s="38"/>
      <c r="L33" s="60">
        <f t="shared" si="10"/>
        <v>46702</v>
      </c>
      <c r="M33" s="38">
        <f t="shared" si="10"/>
        <v>133722.13958130774</v>
      </c>
    </row>
    <row r="34" spans="1:13" x14ac:dyDescent="0.25">
      <c r="A34" s="9">
        <v>15</v>
      </c>
      <c r="B34" s="7"/>
      <c r="C34" s="18" t="s">
        <v>44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45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46</v>
      </c>
      <c r="C36" s="6"/>
      <c r="D36" s="61">
        <v>46702</v>
      </c>
      <c r="E36" s="39">
        <v>133722.13958130774</v>
      </c>
      <c r="F36" s="61">
        <f>SUM(F32:F35)</f>
        <v>0</v>
      </c>
      <c r="G36" s="39">
        <f>SUM(G32:G35)</f>
        <v>0</v>
      </c>
      <c r="H36" s="61">
        <f>SUM(H32:H35)</f>
        <v>46702</v>
      </c>
      <c r="I36" s="39">
        <f>SUM(I32:I35)</f>
        <v>133722.13958130774</v>
      </c>
      <c r="J36" s="61">
        <f>SUM(J32:J34)</f>
        <v>0</v>
      </c>
      <c r="K36" s="39">
        <f>SUM(K32:K34)</f>
        <v>0</v>
      </c>
      <c r="L36" s="61">
        <f>SUM(L32:L35)</f>
        <v>46702</v>
      </c>
      <c r="M36" s="39">
        <f>SUM(M32:M35)</f>
        <v>133722.13958130774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0">
        <v>0</v>
      </c>
      <c r="E39" s="60">
        <v>-0.34999999962747097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-0.34999999962747097</v>
      </c>
      <c r="J39" s="60"/>
      <c r="K39" s="38"/>
      <c r="L39" s="60">
        <f t="shared" ref="L39:M41" si="14">H39+J39</f>
        <v>0</v>
      </c>
      <c r="M39" s="38">
        <f t="shared" si="14"/>
        <v>-0.34999999962747097</v>
      </c>
    </row>
    <row r="40" spans="1:13" ht="22.5" customHeight="1" x14ac:dyDescent="0.25">
      <c r="A40" s="9">
        <v>18</v>
      </c>
      <c r="B40" s="7"/>
      <c r="C40" s="18" t="s">
        <v>49</v>
      </c>
      <c r="D40" s="60">
        <v>0</v>
      </c>
      <c r="E40" s="60">
        <v>-0.10000000009313226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-0.10000000009313226</v>
      </c>
      <c r="J40" s="60"/>
      <c r="K40" s="38"/>
      <c r="L40" s="60">
        <f t="shared" si="14"/>
        <v>0</v>
      </c>
      <c r="M40" s="38">
        <f t="shared" si="14"/>
        <v>-0.10000000009313226</v>
      </c>
    </row>
    <row r="41" spans="1:13" x14ac:dyDescent="0.25">
      <c r="A41" s="9">
        <v>19</v>
      </c>
      <c r="B41" s="7"/>
      <c r="C41" s="18" t="s">
        <v>50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51</v>
      </c>
      <c r="D42" s="61">
        <v>0</v>
      </c>
      <c r="E42" s="39">
        <v>-0.10000000009313226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-0.10000000009313226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-0.10000000009313226</v>
      </c>
    </row>
    <row r="43" spans="1:13" ht="21" customHeight="1" x14ac:dyDescent="0.25">
      <c r="A43" s="9"/>
      <c r="B43" s="7" t="s">
        <v>52</v>
      </c>
      <c r="C43" s="6"/>
      <c r="D43" s="61">
        <v>0</v>
      </c>
      <c r="E43" s="39">
        <v>-0.44999999972060323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-0.44999999972060323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-0.44999999972060323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0">
        <v>15826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15826</v>
      </c>
      <c r="I51" s="66">
        <f>E51</f>
        <v>25000</v>
      </c>
      <c r="J51" s="60"/>
      <c r="K51" s="38"/>
      <c r="L51" s="60">
        <f>H51+J51</f>
        <v>15826</v>
      </c>
      <c r="M51" s="38">
        <f>I51+K51</f>
        <v>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59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60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63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70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71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72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73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74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75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76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77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78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79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80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81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165">
        <f>SUM(E72:E81)+E16+E24+E29+E36+E43+E45+E47+E49+E51+E56+E61+E66</f>
        <v>93941.439581314538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93941.439581314538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93941.439581314538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0">
        <v>51725492</v>
      </c>
      <c r="E11" s="38">
        <v>120477378</v>
      </c>
      <c r="F11" s="60">
        <f>H11-D11</f>
        <v>-2335223</v>
      </c>
      <c r="G11" s="37">
        <f>I11-E11</f>
        <v>-9948717</v>
      </c>
      <c r="H11" s="60">
        <f>'TX-EGM-FLSH'!H11+'TX-HPL-FLSH'!H11</f>
        <v>49390269</v>
      </c>
      <c r="I11" s="38">
        <f>'TX-EGM-FLSH'!I11+'TX-HPL-FLSH'!I11</f>
        <v>110528661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49390269</v>
      </c>
      <c r="M11" s="38">
        <f t="shared" si="0"/>
        <v>110528661</v>
      </c>
    </row>
    <row r="12" spans="1:26" x14ac:dyDescent="0.25">
      <c r="A12" s="9">
        <v>2</v>
      </c>
      <c r="B12" s="7"/>
      <c r="C12" s="18" t="s">
        <v>29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0">
        <v>71127</v>
      </c>
      <c r="E13" s="38">
        <v>159944</v>
      </c>
      <c r="F13" s="60">
        <f t="shared" si="1"/>
        <v>-71127</v>
      </c>
      <c r="G13" s="37">
        <f t="shared" si="1"/>
        <v>-159944</v>
      </c>
      <c r="H13" s="60">
        <f>'TX-EGM-FLSH'!H13+'TX-HPL-FLSH'!H13</f>
        <v>0</v>
      </c>
      <c r="I13" s="38">
        <f>'TX-EGM-FLSH'!I13+'TX-HPL-FLSH'!I13</f>
        <v>0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31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v>51796619</v>
      </c>
      <c r="E16" s="39">
        <v>120637322</v>
      </c>
      <c r="F16" s="61">
        <f t="shared" ref="F16:M16" si="2">SUM(F11:F15)</f>
        <v>-2406350</v>
      </c>
      <c r="G16" s="39">
        <f t="shared" si="2"/>
        <v>-10108661</v>
      </c>
      <c r="H16" s="61">
        <f t="shared" si="2"/>
        <v>49390269</v>
      </c>
      <c r="I16" s="39">
        <f t="shared" si="2"/>
        <v>110528661</v>
      </c>
      <c r="J16" s="61">
        <f t="shared" si="2"/>
        <v>0</v>
      </c>
      <c r="K16" s="39">
        <f t="shared" si="2"/>
        <v>0</v>
      </c>
      <c r="L16" s="61">
        <f t="shared" si="2"/>
        <v>49390269</v>
      </c>
      <c r="M16" s="39">
        <f t="shared" si="2"/>
        <v>110528661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0">
        <v>-57689353</v>
      </c>
      <c r="E19" s="38">
        <v>-132145289</v>
      </c>
      <c r="F19" s="60">
        <f>H19-D19</f>
        <v>8696688</v>
      </c>
      <c r="G19" s="37">
        <f>I19-E19</f>
        <v>24106769</v>
      </c>
      <c r="H19" s="60">
        <f>'TX-EGM-FLSH'!H19+'TX-HPL-FLSH'!H19</f>
        <v>-48992665</v>
      </c>
      <c r="I19" s="38">
        <f>'TX-EGM-FLSH'!I19+'TX-HPL-FLSH'!I19</f>
        <v>-108038520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-48992665</v>
      </c>
      <c r="M19" s="38">
        <f t="shared" si="3"/>
        <v>-108038520</v>
      </c>
    </row>
    <row r="20" spans="1:13" x14ac:dyDescent="0.25">
      <c r="A20" s="9">
        <v>7</v>
      </c>
      <c r="B20" s="7"/>
      <c r="C20" s="18" t="s">
        <v>29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30</v>
      </c>
      <c r="D21" s="60">
        <v>-2052275</v>
      </c>
      <c r="E21" s="38">
        <v>-4472679</v>
      </c>
      <c r="F21" s="60">
        <f t="shared" si="4"/>
        <v>323543</v>
      </c>
      <c r="G21" s="37">
        <f t="shared" si="4"/>
        <v>627259</v>
      </c>
      <c r="H21" s="60">
        <f>'TX-EGM-FLSH'!H21+'TX-HPL-FLSH'!H21</f>
        <v>-1728732</v>
      </c>
      <c r="I21" s="38">
        <f>'TX-EGM-FLSH'!I21+'TX-HPL-FLSH'!I21</f>
        <v>-3845420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-1728732</v>
      </c>
      <c r="M21" s="38">
        <f t="shared" si="3"/>
        <v>-3845420</v>
      </c>
    </row>
    <row r="22" spans="1:13" x14ac:dyDescent="0.25">
      <c r="A22" s="9">
        <v>9</v>
      </c>
      <c r="B22" s="7"/>
      <c r="C22" s="18" t="s">
        <v>31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35</v>
      </c>
      <c r="D23" s="60">
        <v>0</v>
      </c>
      <c r="E23" s="38">
        <v>0</v>
      </c>
      <c r="F23" s="60">
        <f t="shared" si="4"/>
        <v>15826</v>
      </c>
      <c r="G23" s="37">
        <f t="shared" si="4"/>
        <v>35649</v>
      </c>
      <c r="H23" s="60">
        <f>'TX-EGM-FLSH'!H23+'TX-HPL-FLSH'!H23</f>
        <v>15826</v>
      </c>
      <c r="I23" s="38">
        <f>'TX-EGM-FLSH'!I23+'TX-HPL-FLSH'!I23</f>
        <v>35649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15826</v>
      </c>
      <c r="M23" s="38">
        <f t="shared" si="3"/>
        <v>35649</v>
      </c>
    </row>
    <row r="24" spans="1:13" x14ac:dyDescent="0.25">
      <c r="A24" s="9"/>
      <c r="B24" s="7" t="s">
        <v>36</v>
      </c>
      <c r="C24" s="6"/>
      <c r="D24" s="61">
        <v>-59741628</v>
      </c>
      <c r="E24" s="39">
        <v>-136617968</v>
      </c>
      <c r="F24" s="61">
        <f t="shared" ref="F24:M24" si="5">SUM(F19:F23)</f>
        <v>9036057</v>
      </c>
      <c r="G24" s="39">
        <f t="shared" si="5"/>
        <v>24769677</v>
      </c>
      <c r="H24" s="61">
        <f t="shared" si="5"/>
        <v>-50705571</v>
      </c>
      <c r="I24" s="39">
        <f t="shared" si="5"/>
        <v>-111848291</v>
      </c>
      <c r="J24" s="61">
        <f t="shared" si="5"/>
        <v>0</v>
      </c>
      <c r="K24" s="39">
        <f t="shared" si="5"/>
        <v>0</v>
      </c>
      <c r="L24" s="61">
        <f t="shared" si="5"/>
        <v>-50705571</v>
      </c>
      <c r="M24" s="39">
        <f t="shared" si="5"/>
        <v>-111848291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0">
        <v>32997274</v>
      </c>
      <c r="E27" s="38">
        <v>74244674.739999995</v>
      </c>
      <c r="F27" s="60">
        <f>H27-D27</f>
        <v>-4263782</v>
      </c>
      <c r="G27" s="37">
        <f>I27-E27</f>
        <v>-8843522.7399999946</v>
      </c>
      <c r="H27" s="60">
        <f>'TX-EGM-FLSH'!H27+'TX-HPL-FLSH'!H27</f>
        <v>28733492</v>
      </c>
      <c r="I27" s="38">
        <f>'TX-EGM-FLSH'!I27+'TX-HPL-FLSH'!I27</f>
        <v>65401152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28733492</v>
      </c>
      <c r="M27" s="38">
        <f>I27+K27</f>
        <v>65401152</v>
      </c>
    </row>
    <row r="28" spans="1:13" x14ac:dyDescent="0.25">
      <c r="A28" s="9">
        <v>12</v>
      </c>
      <c r="B28" s="7"/>
      <c r="C28" s="18" t="s">
        <v>39</v>
      </c>
      <c r="D28" s="60">
        <v>-33022074</v>
      </c>
      <c r="E28" s="38">
        <v>-74302953</v>
      </c>
      <c r="F28" s="60">
        <f>H28-D28</f>
        <v>4288582</v>
      </c>
      <c r="G28" s="37">
        <f>I28-E28</f>
        <v>8901801</v>
      </c>
      <c r="H28" s="60">
        <f>'TX-EGM-FLSH'!H28+'TX-HPL-FLSH'!H28</f>
        <v>-28733492</v>
      </c>
      <c r="I28" s="38">
        <f>'TX-EGM-FLSH'!I28+'TX-HPL-FLSH'!I28</f>
        <v>-65401152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-28733492</v>
      </c>
      <c r="M28" s="38">
        <f>I28+K28</f>
        <v>-65401152</v>
      </c>
    </row>
    <row r="29" spans="1:13" x14ac:dyDescent="0.25">
      <c r="A29" s="9"/>
      <c r="B29" s="7" t="s">
        <v>40</v>
      </c>
      <c r="C29" s="6"/>
      <c r="D29" s="61">
        <v>-24800</v>
      </c>
      <c r="E29" s="39">
        <v>-58278.260000005364</v>
      </c>
      <c r="F29" s="61">
        <f t="shared" ref="F29:M29" si="6">SUM(F27:F28)</f>
        <v>24800</v>
      </c>
      <c r="G29" s="39">
        <f t="shared" si="6"/>
        <v>58278.260000005364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43</v>
      </c>
      <c r="D33" s="60">
        <v>1209207</v>
      </c>
      <c r="E33" s="38">
        <v>2766943.1264456199</v>
      </c>
      <c r="F33" s="60">
        <f t="shared" ref="F33:G35" si="8">H33-D33</f>
        <v>-1075044</v>
      </c>
      <c r="G33" s="37">
        <f t="shared" si="8"/>
        <v>-2474279.7863266887</v>
      </c>
      <c r="H33" s="60">
        <f>'TX-EGM-FLSH'!H33+'TX-HPL-FLSH'!H33</f>
        <v>134163</v>
      </c>
      <c r="I33" s="38">
        <f>'TX-EGM-FLSH'!I33+'TX-HPL-FLSH'!I33</f>
        <v>292663.34011893091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134163</v>
      </c>
      <c r="M33" s="38">
        <f t="shared" si="7"/>
        <v>292663.34011893091</v>
      </c>
    </row>
    <row r="34" spans="1:13" x14ac:dyDescent="0.25">
      <c r="A34" s="9">
        <v>15</v>
      </c>
      <c r="B34" s="7"/>
      <c r="C34" s="18" t="s">
        <v>44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45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46</v>
      </c>
      <c r="C36" s="6"/>
      <c r="D36" s="61">
        <v>1209207</v>
      </c>
      <c r="E36" s="39">
        <v>2766943.1264456199</v>
      </c>
      <c r="F36" s="61">
        <f>SUM(F32:F35)</f>
        <v>-1075044</v>
      </c>
      <c r="G36" s="39">
        <f>SUM(G32:G35)</f>
        <v>-2474279.7863266887</v>
      </c>
      <c r="H36" s="61">
        <f>SUM(H32:H35)</f>
        <v>134163</v>
      </c>
      <c r="I36" s="39">
        <f>SUM(I32:I35)</f>
        <v>292663.34011893091</v>
      </c>
      <c r="J36" s="61">
        <f>SUM(J32:J34)</f>
        <v>0</v>
      </c>
      <c r="K36" s="39">
        <f>SUM(K32:K34)</f>
        <v>0</v>
      </c>
      <c r="L36" s="61">
        <f>SUM(L32:L35)</f>
        <v>134163</v>
      </c>
      <c r="M36" s="39">
        <f>SUM(M32:M35)</f>
        <v>292663.34011893091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0">
        <v>7337145</v>
      </c>
      <c r="E39" s="38">
        <v>16945465</v>
      </c>
      <c r="F39" s="60">
        <f t="shared" ref="F39:G41" si="9">H39-D39</f>
        <v>-5228089</v>
      </c>
      <c r="G39" s="37">
        <f t="shared" si="9"/>
        <v>-12232147</v>
      </c>
      <c r="H39" s="60">
        <f>'TX-EGM-FLSH'!H39+'TX-HPL-FLSH'!H39</f>
        <v>2109056</v>
      </c>
      <c r="I39" s="38">
        <f>'TX-EGM-FLSH'!I39+'TX-HPL-FLSH'!I39</f>
        <v>4713318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0">H39+J39</f>
        <v>2109056</v>
      </c>
      <c r="M39" s="38">
        <f t="shared" si="10"/>
        <v>4713318</v>
      </c>
    </row>
    <row r="40" spans="1:13" ht="22.5" customHeight="1" x14ac:dyDescent="0.25">
      <c r="A40" s="9">
        <v>18</v>
      </c>
      <c r="B40" s="7"/>
      <c r="C40" s="18" t="s">
        <v>49</v>
      </c>
      <c r="D40" s="60">
        <v>-576543</v>
      </c>
      <c r="E40" s="38">
        <v>-1293657</v>
      </c>
      <c r="F40" s="60">
        <f t="shared" si="9"/>
        <v>-351374</v>
      </c>
      <c r="G40" s="37">
        <f t="shared" si="9"/>
        <v>-780208</v>
      </c>
      <c r="H40" s="60">
        <f>'TX-EGM-FLSH'!H40+'TX-HPL-FLSH'!H40</f>
        <v>-927917</v>
      </c>
      <c r="I40" s="38">
        <f>'TX-EGM-FLSH'!I40+'TX-HPL-FLSH'!I40</f>
        <v>-2073865</v>
      </c>
      <c r="J40" s="60">
        <f>'TX-EGM-FLSH'!J40+'TX-HPL-FLSH'!J40</f>
        <v>0</v>
      </c>
      <c r="K40" s="38">
        <f>'TX-EGM-FLSH'!K40+'TX-HPL-FLSH'!K40</f>
        <v>0</v>
      </c>
      <c r="L40" s="60">
        <f t="shared" si="10"/>
        <v>-927917</v>
      </c>
      <c r="M40" s="38">
        <f t="shared" si="10"/>
        <v>-2073865</v>
      </c>
    </row>
    <row r="41" spans="1:13" x14ac:dyDescent="0.25">
      <c r="A41" s="9">
        <v>19</v>
      </c>
      <c r="B41" s="7"/>
      <c r="C41" s="18" t="s">
        <v>50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51</v>
      </c>
      <c r="D42" s="61">
        <v>-576543</v>
      </c>
      <c r="E42" s="39">
        <v>-1293657</v>
      </c>
      <c r="F42" s="61">
        <f t="shared" ref="F42:M42" si="11">SUM(F40:F41)</f>
        <v>-351374</v>
      </c>
      <c r="G42" s="39">
        <f t="shared" si="11"/>
        <v>-780208</v>
      </c>
      <c r="H42" s="61">
        <f t="shared" si="11"/>
        <v>-927917</v>
      </c>
      <c r="I42" s="39">
        <f t="shared" si="11"/>
        <v>-2073865</v>
      </c>
      <c r="J42" s="61">
        <f t="shared" si="11"/>
        <v>0</v>
      </c>
      <c r="K42" s="39">
        <f t="shared" si="11"/>
        <v>0</v>
      </c>
      <c r="L42" s="61">
        <f t="shared" si="11"/>
        <v>-927917</v>
      </c>
      <c r="M42" s="39">
        <f t="shared" si="11"/>
        <v>-2073865</v>
      </c>
    </row>
    <row r="43" spans="1:13" ht="21" customHeight="1" x14ac:dyDescent="0.25">
      <c r="A43" s="9"/>
      <c r="B43" s="7" t="s">
        <v>52</v>
      </c>
      <c r="C43" s="6"/>
      <c r="D43" s="61">
        <v>6760602</v>
      </c>
      <c r="E43" s="39">
        <v>15651808</v>
      </c>
      <c r="F43" s="61">
        <f t="shared" ref="F43:M43" si="12">F42+F39</f>
        <v>-5579463</v>
      </c>
      <c r="G43" s="39">
        <f t="shared" si="12"/>
        <v>-13012355</v>
      </c>
      <c r="H43" s="61">
        <f t="shared" si="12"/>
        <v>1181139</v>
      </c>
      <c r="I43" s="39">
        <f t="shared" si="12"/>
        <v>2639453</v>
      </c>
      <c r="J43" s="61">
        <f t="shared" si="12"/>
        <v>0</v>
      </c>
      <c r="K43" s="39">
        <f t="shared" si="12"/>
        <v>0</v>
      </c>
      <c r="L43" s="61">
        <f t="shared" si="12"/>
        <v>1181139</v>
      </c>
      <c r="M43" s="39">
        <f t="shared" si="12"/>
        <v>2639453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0">
        <v>0</v>
      </c>
      <c r="E54" s="38">
        <v>-992568.27</v>
      </c>
      <c r="F54" s="60">
        <f>H54-D54</f>
        <v>0</v>
      </c>
      <c r="G54" s="37">
        <f>I54-E54</f>
        <v>14815.550000000047</v>
      </c>
      <c r="H54" s="60">
        <f>'TX-EGM-FLSH'!H54+'TX-HPL-FLSH'!H54</f>
        <v>0</v>
      </c>
      <c r="I54" s="38">
        <f>'TX-EGM-FLSH'!I54+'TX-HPL-FLSH'!I54</f>
        <v>-977752.72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-977752.72</v>
      </c>
    </row>
    <row r="55" spans="1:15" x14ac:dyDescent="0.25">
      <c r="A55" s="9">
        <v>25</v>
      </c>
      <c r="B55" s="7"/>
      <c r="C55" s="18" t="s">
        <v>59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'TX-EGM-FLSH'!H55+'TX-HPL-FLSH'!H55</f>
        <v>0</v>
      </c>
      <c r="I55" s="38">
        <f>'TX-EGM-FLSH'!I55+'TX-HPL-FLSH'!I55</f>
        <v>-15000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60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-184.44999999995343</v>
      </c>
      <c r="H56" s="61">
        <f t="shared" si="13"/>
        <v>0</v>
      </c>
      <c r="I56" s="39">
        <f t="shared" si="13"/>
        <v>-992752.72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-992752.72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63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70</v>
      </c>
      <c r="D70" s="60">
        <v>0</v>
      </c>
      <c r="E70" s="38">
        <v>250999.06</v>
      </c>
      <c r="F70" s="60">
        <f>H70-D70</f>
        <v>0</v>
      </c>
      <c r="G70" s="37">
        <f>I70-E70</f>
        <v>471249.85000000003</v>
      </c>
      <c r="H70" s="60">
        <f>'TX-EGM-FLSH'!H70+'TX-HPL-FLSH'!H70</f>
        <v>0</v>
      </c>
      <c r="I70" s="38">
        <f>'TX-EGM-FLSH'!I70+'TX-HPL-FLSH'!I70</f>
        <v>722248.91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722248.91</v>
      </c>
    </row>
    <row r="71" spans="1:13" x14ac:dyDescent="0.25">
      <c r="A71" s="9">
        <v>31</v>
      </c>
      <c r="B71" s="3"/>
      <c r="C71" s="10" t="s">
        <v>71</v>
      </c>
      <c r="D71" s="60">
        <v>0</v>
      </c>
      <c r="E71" s="38">
        <v>-1054678</v>
      </c>
      <c r="F71" s="60">
        <f>H71-D71</f>
        <v>0</v>
      </c>
      <c r="G71" s="37">
        <f>I71-E71</f>
        <v>803679</v>
      </c>
      <c r="H71" s="60">
        <f>'TX-EGM-FLSH'!H71+'TX-HPL-FLSH'!H71</f>
        <v>0</v>
      </c>
      <c r="I71" s="38">
        <f>'TX-EGM-FLSH'!I71+'TX-HPL-FLSH'!I71</f>
        <v>-250999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-250999</v>
      </c>
    </row>
    <row r="72" spans="1:13" x14ac:dyDescent="0.25">
      <c r="A72" s="9"/>
      <c r="B72" s="3"/>
      <c r="C72" s="55" t="s">
        <v>72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1274928.8500000001</v>
      </c>
      <c r="H72" s="61">
        <f t="shared" si="16"/>
        <v>0</v>
      </c>
      <c r="I72" s="39">
        <f t="shared" si="16"/>
        <v>471249.91000000003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471249.91000000003</v>
      </c>
    </row>
    <row r="73" spans="1:13" x14ac:dyDescent="0.25">
      <c r="A73" s="9">
        <v>32</v>
      </c>
      <c r="B73" s="3"/>
      <c r="C73" s="10" t="s">
        <v>73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74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-279172.26</v>
      </c>
      <c r="H74" s="60">
        <f>'TX-EGM-FLSH'!H74+'TX-HPL-FLSH'!H74</f>
        <v>0</v>
      </c>
      <c r="I74" s="38">
        <f>'TX-EGM-FLSH'!I74+'TX-HPL-FLSH'!I74</f>
        <v>740576.15</v>
      </c>
      <c r="J74" s="60">
        <f>'TX-EGM-FLSH'!J74+'TX-HPL-FLSH'!J74</f>
        <v>0</v>
      </c>
      <c r="K74" s="38">
        <f>'TX-EGM-FLSH'!K74+'TX-HPL-FLSH'!K74</f>
        <v>0</v>
      </c>
      <c r="L74" s="60">
        <f t="shared" si="17"/>
        <v>0</v>
      </c>
      <c r="M74" s="38">
        <f t="shared" si="17"/>
        <v>740576.15</v>
      </c>
    </row>
    <row r="75" spans="1:13" x14ac:dyDescent="0.25">
      <c r="A75" s="9">
        <v>34</v>
      </c>
      <c r="B75" s="3"/>
      <c r="C75" s="10" t="s">
        <v>75</v>
      </c>
      <c r="D75" s="60">
        <v>0</v>
      </c>
      <c r="E75" s="38">
        <v>81200</v>
      </c>
      <c r="F75" s="60">
        <f t="shared" si="18"/>
        <v>0</v>
      </c>
      <c r="G75" s="37">
        <f t="shared" si="18"/>
        <v>45694</v>
      </c>
      <c r="H75" s="60">
        <f>'TX-EGM-FLSH'!H75+'TX-HPL-FLSH'!H75</f>
        <v>0</v>
      </c>
      <c r="I75" s="38">
        <f>'TX-EGM-FLSH'!I75+'TX-HPL-FLSH'!I75</f>
        <v>126894</v>
      </c>
      <c r="J75" s="60">
        <f>'TX-EGM-FLSH'!J75+'TX-HPL-FLSH'!J75</f>
        <v>0</v>
      </c>
      <c r="K75" s="38">
        <f>'TX-EGM-FLSH'!K75+'TX-HPL-FLSH'!K75</f>
        <v>0</v>
      </c>
      <c r="L75" s="60">
        <f t="shared" si="17"/>
        <v>0</v>
      </c>
      <c r="M75" s="38">
        <f t="shared" si="17"/>
        <v>126894</v>
      </c>
    </row>
    <row r="76" spans="1:13" x14ac:dyDescent="0.25">
      <c r="A76" s="9">
        <v>35</v>
      </c>
      <c r="B76" s="3"/>
      <c r="C76" s="10" t="s">
        <v>76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-18476</v>
      </c>
      <c r="H76" s="60">
        <f>'TX-EGM-FLSH'!H76+'TX-HPL-FLSH'!H76</f>
        <v>0</v>
      </c>
      <c r="I76" s="38">
        <f>'TX-EGM-FLSH'!I76+'TX-HPL-FLSH'!I76</f>
        <v>-22536</v>
      </c>
      <c r="J76" s="60">
        <f>'TX-EGM-FLSH'!J76+'TX-HPL-FLSH'!J76</f>
        <v>0</v>
      </c>
      <c r="K76" s="38">
        <f>'TX-EGM-FLSH'!K76+'TX-HPL-FLSH'!K76</f>
        <v>0</v>
      </c>
      <c r="L76" s="60">
        <f t="shared" si="17"/>
        <v>0</v>
      </c>
      <c r="M76" s="38">
        <f t="shared" si="17"/>
        <v>-22536</v>
      </c>
    </row>
    <row r="77" spans="1:13" x14ac:dyDescent="0.25">
      <c r="A77" s="9">
        <v>36</v>
      </c>
      <c r="B77" s="3"/>
      <c r="C77" s="10" t="s">
        <v>77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5000</v>
      </c>
      <c r="H77" s="60">
        <f>'TX-EGM-FLSH'!H77+'TX-HPL-FLSH'!H77</f>
        <v>0</v>
      </c>
      <c r="I77" s="38">
        <f>'TX-EGM-FLSH'!I77+'TX-HPL-FLSH'!I77</f>
        <v>-103300</v>
      </c>
      <c r="J77" s="60">
        <f>'TX-EGM-FLSH'!J77+'TX-HPL-FLSH'!J77</f>
        <v>0</v>
      </c>
      <c r="K77" s="38">
        <f>'TX-EGM-FLSH'!K77+'TX-HPL-FLSH'!K77</f>
        <v>0</v>
      </c>
      <c r="L77" s="60">
        <f t="shared" si="17"/>
        <v>0</v>
      </c>
      <c r="M77" s="38">
        <f t="shared" si="17"/>
        <v>-103300</v>
      </c>
    </row>
    <row r="78" spans="1:13" x14ac:dyDescent="0.25">
      <c r="A78" s="9">
        <v>37</v>
      </c>
      <c r="B78" s="3"/>
      <c r="C78" s="10" t="s">
        <v>78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79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80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7"/>
        <v>0</v>
      </c>
      <c r="M80" s="38">
        <f t="shared" si="17"/>
        <v>0</v>
      </c>
    </row>
    <row r="81" spans="1:67" x14ac:dyDescent="0.25">
      <c r="A81" s="9">
        <v>40</v>
      </c>
      <c r="B81" s="3"/>
      <c r="C81" s="10" t="s">
        <v>81</v>
      </c>
      <c r="D81" s="60">
        <v>0</v>
      </c>
      <c r="E81" s="38">
        <v>0</v>
      </c>
      <c r="F81" s="60">
        <f t="shared" si="18"/>
        <v>0</v>
      </c>
      <c r="G81" s="37">
        <f t="shared" si="18"/>
        <v>166908</v>
      </c>
      <c r="H81" s="60">
        <f>'TX-EGM-FLSH'!H81+'TX-HPL-FLSH'!H81</f>
        <v>0</v>
      </c>
      <c r="I81" s="38">
        <f>'TX-EGM-FLSH'!I81+'TX-HPL-FLSH'!I81</f>
        <v>166908</v>
      </c>
      <c r="J81" s="60">
        <f>'TX-EGM-FLSH'!J81+'TX-HPL-FLSH'!J81</f>
        <v>0</v>
      </c>
      <c r="K81" s="38">
        <f>'TX-EGM-FLSH'!K81+'TX-HPL-FLSH'!K81</f>
        <v>0</v>
      </c>
      <c r="L81" s="60">
        <f t="shared" si="17"/>
        <v>0</v>
      </c>
      <c r="M81" s="38">
        <f t="shared" si="17"/>
        <v>166908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427357.61367331748</v>
      </c>
      <c r="H82" s="73">
        <f>H16+H24+H29+H36+H43+H45+H47+H49</f>
        <v>0</v>
      </c>
      <c r="I82" s="74">
        <f>SUM(I72:I81)+I16+I24+I29+I36+I43+I45+I47+I49+I51+I56+I61+I66</f>
        <v>1999525.6801189331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1999525.6801189331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174</v>
      </c>
      <c r="B85" s="3"/>
      <c r="E85" s="31">
        <f>+'TX-HPL-FLSH'!E82+'TX-EGM-FLSH'!E82</f>
        <v>1999525.6801189326</v>
      </c>
    </row>
    <row r="86" spans="1:67" s="3" customFormat="1" x14ac:dyDescent="0.25">
      <c r="A86" s="172"/>
      <c r="C86" s="10" t="s">
        <v>176</v>
      </c>
      <c r="D86" s="176">
        <f>'TX-EGM-FLSH'!D86+'TX-HPL-FLSH'!D86</f>
        <v>0</v>
      </c>
      <c r="E86" s="176">
        <f>'TX-EGM-FLSH'!E86+'TX-HPL-FLSH'!E86</f>
        <v>114066</v>
      </c>
      <c r="F86" s="176">
        <f>'TX-EGM-FLSH'!F86+'TX-HPL-FLSH'!F86</f>
        <v>0</v>
      </c>
      <c r="G86" s="176">
        <f>'TX-EGM-FLSH'!G86+'TX-HPL-FLSH'!G86</f>
        <v>0</v>
      </c>
      <c r="H86" s="176">
        <f>'TX-EGM-FLSH'!H86+'TX-HPL-FLSH'!H86</f>
        <v>0</v>
      </c>
      <c r="I86" s="176">
        <f>'TX-EGM-FLSH'!I86+'TX-HPL-FLSH'!I86</f>
        <v>114066</v>
      </c>
      <c r="J86" s="176">
        <f>'TX-EGM-FLSH'!J86+'TX-HPL-FLSH'!J86</f>
        <v>0</v>
      </c>
      <c r="K86" s="176">
        <f>'TX-EGM-FLSH'!K86+'TX-HPL-FLSH'!K86</f>
        <v>0</v>
      </c>
      <c r="L86" s="176">
        <f>'TX-EGM-FLSH'!L86+'TX-HPL-FLSH'!L86</f>
        <v>0</v>
      </c>
      <c r="M86" s="176">
        <f>'TX-EGM-FLSH'!M86+'TX-HPL-FLSH'!M86</f>
        <v>114066</v>
      </c>
    </row>
    <row r="87" spans="1:67" s="3" customFormat="1" x14ac:dyDescent="0.25">
      <c r="A87" s="172"/>
      <c r="C87" s="10" t="s">
        <v>74</v>
      </c>
      <c r="D87" s="177">
        <f>'TX-EGM-FLSH'!D87+'TX-HPL-FLSH'!D87</f>
        <v>0</v>
      </c>
      <c r="E87" s="177">
        <f>'TX-EGM-FLSH'!E87+'TX-HPL-FLSH'!E87</f>
        <v>0</v>
      </c>
      <c r="F87" s="177">
        <f>'TX-EGM-FLSH'!F87+'TX-HPL-FLSH'!F87</f>
        <v>0</v>
      </c>
      <c r="G87" s="177">
        <f>'TX-EGM-FLSH'!G87+'TX-HPL-FLSH'!G87</f>
        <v>0</v>
      </c>
      <c r="H87" s="177">
        <f>'TX-EGM-FLSH'!H87+'TX-HPL-FLSH'!H87</f>
        <v>0</v>
      </c>
      <c r="I87" s="177">
        <f>'TX-EGM-FLSH'!I87+'TX-HPL-FLSH'!I87</f>
        <v>0</v>
      </c>
      <c r="J87" s="177">
        <f>'TX-EGM-FLSH'!J87+'TX-HPL-FLSH'!J87</f>
        <v>0</v>
      </c>
      <c r="K87" s="177">
        <f>'TX-EGM-FLSH'!K87+'TX-HPL-FLSH'!K87</f>
        <v>0</v>
      </c>
      <c r="L87" s="177">
        <f>'TX-EGM-FLSH'!L87+'TX-HPL-FLSH'!L87</f>
        <v>0</v>
      </c>
      <c r="M87" s="177">
        <f>'TX-EGM-FLSH'!M87+'TX-HPL-FLSH'!M87</f>
        <v>0</v>
      </c>
    </row>
    <row r="88" spans="1:67" s="3" customFormat="1" x14ac:dyDescent="0.25">
      <c r="A88" s="172"/>
      <c r="C88" s="10" t="s">
        <v>75</v>
      </c>
      <c r="D88" s="178">
        <f>'TX-EGM-FLSH'!D88+'TX-HPL-FLSH'!D88</f>
        <v>0</v>
      </c>
      <c r="E88" s="178">
        <f>'TX-EGM-FLSH'!E88+'TX-HPL-FLSH'!E88</f>
        <v>-113464</v>
      </c>
      <c r="F88" s="178">
        <f>'TX-EGM-FLSH'!F88+'TX-HPL-FLSH'!F88</f>
        <v>0</v>
      </c>
      <c r="G88" s="178">
        <f>'TX-EGM-FLSH'!G88+'TX-HPL-FLSH'!G88</f>
        <v>0</v>
      </c>
      <c r="H88" s="178">
        <f>'TX-EGM-FLSH'!H88+'TX-HPL-FLSH'!H88</f>
        <v>0</v>
      </c>
      <c r="I88" s="178">
        <f>'TX-EGM-FLSH'!I88+'TX-HPL-FLSH'!I88</f>
        <v>-113464</v>
      </c>
      <c r="J88" s="178">
        <f>'TX-EGM-FLSH'!J88+'TX-HPL-FLSH'!J88</f>
        <v>0</v>
      </c>
      <c r="K88" s="178">
        <f>'TX-EGM-FLSH'!K88+'TX-HPL-FLSH'!K88</f>
        <v>0</v>
      </c>
      <c r="L88" s="178">
        <f>'TX-EGM-FLSH'!L88+'TX-HPL-FLSH'!L88</f>
        <v>0</v>
      </c>
      <c r="M88" s="178">
        <f>'TX-EGM-FLSH'!M88+'TX-HPL-FLSH'!M88</f>
        <v>-113464</v>
      </c>
    </row>
    <row r="89" spans="1:67" s="44" customFormat="1" ht="20.25" customHeight="1" x14ac:dyDescent="0.25">
      <c r="A89" s="179"/>
      <c r="B89" s="180"/>
      <c r="C89" s="181" t="s">
        <v>179</v>
      </c>
      <c r="D89" s="183">
        <f>SUM(D86:D88)</f>
        <v>0</v>
      </c>
      <c r="E89" s="183">
        <f t="shared" ref="E89:M89" si="19">SUM(E86:E88)</f>
        <v>602</v>
      </c>
      <c r="F89" s="183">
        <f t="shared" si="19"/>
        <v>0</v>
      </c>
      <c r="G89" s="183">
        <f t="shared" si="19"/>
        <v>0</v>
      </c>
      <c r="H89" s="183">
        <f t="shared" si="19"/>
        <v>0</v>
      </c>
      <c r="I89" s="183">
        <f t="shared" si="19"/>
        <v>602</v>
      </c>
      <c r="J89" s="183">
        <f t="shared" si="19"/>
        <v>0</v>
      </c>
      <c r="K89" s="183">
        <f t="shared" si="19"/>
        <v>0</v>
      </c>
      <c r="L89" s="183">
        <f t="shared" si="19"/>
        <v>0</v>
      </c>
      <c r="M89" s="183">
        <f t="shared" si="19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177</v>
      </c>
      <c r="D91" s="183">
        <f>+D82+D89</f>
        <v>0</v>
      </c>
      <c r="E91" s="183">
        <f t="shared" ref="E91:M91" si="20">+E82+E89</f>
        <v>1572770.0664456128</v>
      </c>
      <c r="F91" s="183">
        <f t="shared" si="20"/>
        <v>0</v>
      </c>
      <c r="G91" s="183">
        <f t="shared" si="20"/>
        <v>427357.61367331748</v>
      </c>
      <c r="H91" s="183">
        <f t="shared" si="20"/>
        <v>0</v>
      </c>
      <c r="I91" s="183">
        <f t="shared" si="20"/>
        <v>2000127.6801189331</v>
      </c>
      <c r="J91" s="183">
        <f t="shared" si="20"/>
        <v>0</v>
      </c>
      <c r="K91" s="183">
        <f t="shared" si="20"/>
        <v>0</v>
      </c>
      <c r="L91" s="183">
        <f t="shared" si="20"/>
        <v>0</v>
      </c>
      <c r="M91" s="183">
        <f t="shared" si="20"/>
        <v>2000127.6801189331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5">
        <v>25709008</v>
      </c>
      <c r="E11" s="65">
        <v>52991795</v>
      </c>
      <c r="F11" s="60">
        <f>H11-D11</f>
        <v>0</v>
      </c>
      <c r="G11" s="37">
        <f>I11-E11</f>
        <v>0</v>
      </c>
      <c r="H11" s="65">
        <f>D11</f>
        <v>25709008</v>
      </c>
      <c r="I11" s="66">
        <f>E11</f>
        <v>52991795</v>
      </c>
      <c r="J11" s="60"/>
      <c r="K11" s="38"/>
      <c r="L11" s="60">
        <f t="shared" ref="L11:M15" si="0">H11+J11</f>
        <v>25709008</v>
      </c>
      <c r="M11" s="38">
        <f t="shared" si="0"/>
        <v>52991795</v>
      </c>
    </row>
    <row r="12" spans="1:26" x14ac:dyDescent="0.25">
      <c r="A12" s="9">
        <v>2</v>
      </c>
      <c r="B12" s="7"/>
      <c r="C12" s="18" t="s">
        <v>29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5">
        <v>21934545</v>
      </c>
      <c r="E13" s="65">
        <v>46926648</v>
      </c>
      <c r="F13" s="60">
        <f t="shared" si="1"/>
        <v>0</v>
      </c>
      <c r="G13" s="37">
        <f t="shared" si="1"/>
        <v>0</v>
      </c>
      <c r="H13" s="65">
        <f t="shared" si="2"/>
        <v>21934545</v>
      </c>
      <c r="I13" s="66">
        <f t="shared" si="2"/>
        <v>46926648</v>
      </c>
      <c r="J13" s="60"/>
      <c r="K13" s="38"/>
      <c r="L13" s="60">
        <f t="shared" si="0"/>
        <v>21934545</v>
      </c>
      <c r="M13" s="38">
        <f t="shared" si="0"/>
        <v>46926648</v>
      </c>
    </row>
    <row r="14" spans="1:26" x14ac:dyDescent="0.25">
      <c r="A14" s="9">
        <v>4</v>
      </c>
      <c r="B14" s="7"/>
      <c r="C14" s="18" t="s">
        <v>31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v>47643553</v>
      </c>
      <c r="E16" s="39">
        <v>99918443</v>
      </c>
      <c r="F16" s="61">
        <f t="shared" ref="F16:M16" si="3">SUM(F11:F15)</f>
        <v>0</v>
      </c>
      <c r="G16" s="39">
        <f t="shared" si="3"/>
        <v>0</v>
      </c>
      <c r="H16" s="61">
        <f>SUM(H11:H15)</f>
        <v>47643553</v>
      </c>
      <c r="I16" s="39">
        <f>SUM(I11:I15)</f>
        <v>99918443</v>
      </c>
      <c r="J16" s="61">
        <f t="shared" si="3"/>
        <v>0</v>
      </c>
      <c r="K16" s="39">
        <f t="shared" si="3"/>
        <v>0</v>
      </c>
      <c r="L16" s="61">
        <f t="shared" si="3"/>
        <v>47643553</v>
      </c>
      <c r="M16" s="39">
        <f t="shared" si="3"/>
        <v>99918443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5">
        <v>-24975750</v>
      </c>
      <c r="E19" s="65">
        <v>-50478903</v>
      </c>
      <c r="F19" s="60">
        <f>H19-D19</f>
        <v>0</v>
      </c>
      <c r="G19" s="37">
        <f>I19-E19</f>
        <v>0</v>
      </c>
      <c r="H19" s="65">
        <f t="shared" si="4"/>
        <v>-24975750</v>
      </c>
      <c r="I19" s="66">
        <f t="shared" si="4"/>
        <v>-50478903</v>
      </c>
      <c r="J19" s="60"/>
      <c r="K19" s="38"/>
      <c r="L19" s="60">
        <f t="shared" ref="L19:M23" si="5">H19+J19</f>
        <v>-24975750</v>
      </c>
      <c r="M19" s="38">
        <f t="shared" si="5"/>
        <v>-50478903</v>
      </c>
    </row>
    <row r="20" spans="1:13" x14ac:dyDescent="0.25">
      <c r="A20" s="9">
        <v>7</v>
      </c>
      <c r="B20" s="7"/>
      <c r="C20" s="18" t="s">
        <v>29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65">
        <v>-22817932</v>
      </c>
      <c r="E21" s="65">
        <v>-48452350</v>
      </c>
      <c r="F21" s="60">
        <f t="shared" si="6"/>
        <v>0</v>
      </c>
      <c r="G21" s="37">
        <f t="shared" si="6"/>
        <v>0</v>
      </c>
      <c r="H21" s="65">
        <f t="shared" si="4"/>
        <v>-22817932</v>
      </c>
      <c r="I21" s="66">
        <f t="shared" si="4"/>
        <v>-48452350</v>
      </c>
      <c r="J21" s="60"/>
      <c r="K21" s="38"/>
      <c r="L21" s="60">
        <f t="shared" si="5"/>
        <v>-22817932</v>
      </c>
      <c r="M21" s="38">
        <f t="shared" si="5"/>
        <v>-48452350</v>
      </c>
    </row>
    <row r="22" spans="1:13" x14ac:dyDescent="0.25">
      <c r="A22" s="9">
        <v>9</v>
      </c>
      <c r="B22" s="7"/>
      <c r="C22" s="18" t="s">
        <v>31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65">
        <v>295007</v>
      </c>
      <c r="E23" s="65">
        <v>597680</v>
      </c>
      <c r="F23" s="60">
        <f t="shared" si="6"/>
        <v>0</v>
      </c>
      <c r="G23" s="37">
        <f t="shared" si="6"/>
        <v>0</v>
      </c>
      <c r="H23" s="65">
        <f t="shared" si="4"/>
        <v>295007</v>
      </c>
      <c r="I23" s="66">
        <f t="shared" si="4"/>
        <v>597680</v>
      </c>
      <c r="J23" s="60"/>
      <c r="K23" s="38"/>
      <c r="L23" s="60">
        <f t="shared" si="5"/>
        <v>295007</v>
      </c>
      <c r="M23" s="38">
        <f t="shared" si="5"/>
        <v>597680</v>
      </c>
    </row>
    <row r="24" spans="1:13" x14ac:dyDescent="0.25">
      <c r="A24" s="9"/>
      <c r="B24" s="7" t="s">
        <v>36</v>
      </c>
      <c r="C24" s="6"/>
      <c r="D24" s="61">
        <v>-47498675</v>
      </c>
      <c r="E24" s="39">
        <v>-98333573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-47498675</v>
      </c>
      <c r="I24" s="39">
        <f>SUM(I19:I23)</f>
        <v>-98333573</v>
      </c>
      <c r="J24" s="61">
        <f t="shared" si="7"/>
        <v>0</v>
      </c>
      <c r="K24" s="39">
        <f t="shared" si="7"/>
        <v>0</v>
      </c>
      <c r="L24" s="61">
        <f t="shared" si="7"/>
        <v>-47498675</v>
      </c>
      <c r="M24" s="39">
        <f t="shared" si="7"/>
        <v>-98333573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39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5">
        <v>117016</v>
      </c>
      <c r="E32" s="65">
        <v>236652</v>
      </c>
      <c r="F32" s="60">
        <f>H32-D32</f>
        <v>0</v>
      </c>
      <c r="G32" s="37">
        <f>I32-E32</f>
        <v>0</v>
      </c>
      <c r="H32" s="65">
        <f t="shared" ref="H32:I35" si="9">D32</f>
        <v>117016</v>
      </c>
      <c r="I32" s="66">
        <f t="shared" si="9"/>
        <v>236652</v>
      </c>
      <c r="J32" s="60"/>
      <c r="K32" s="38"/>
      <c r="L32" s="60">
        <f t="shared" ref="L32:M35" si="10">H32+J32</f>
        <v>117016</v>
      </c>
      <c r="M32" s="38">
        <f t="shared" si="10"/>
        <v>236652</v>
      </c>
    </row>
    <row r="33" spans="1:13" x14ac:dyDescent="0.25">
      <c r="A33" s="9">
        <v>14</v>
      </c>
      <c r="B33" s="7"/>
      <c r="C33" s="18" t="s">
        <v>43</v>
      </c>
      <c r="D33" s="65">
        <v>-187316</v>
      </c>
      <c r="E33" s="65">
        <v>-375003</v>
      </c>
      <c r="F33" s="60">
        <f t="shared" ref="F33:G35" si="11">H33-D33</f>
        <v>0</v>
      </c>
      <c r="G33" s="37">
        <f t="shared" si="11"/>
        <v>0</v>
      </c>
      <c r="H33" s="65">
        <f t="shared" si="9"/>
        <v>-187316</v>
      </c>
      <c r="I33" s="66">
        <f t="shared" si="9"/>
        <v>-375003</v>
      </c>
      <c r="J33" s="60"/>
      <c r="K33" s="38"/>
      <c r="L33" s="60">
        <f t="shared" si="10"/>
        <v>-187316</v>
      </c>
      <c r="M33" s="38">
        <f t="shared" si="10"/>
        <v>-375003</v>
      </c>
    </row>
    <row r="34" spans="1:13" x14ac:dyDescent="0.25">
      <c r="A34" s="9">
        <v>15</v>
      </c>
      <c r="B34" s="7"/>
      <c r="C34" s="18" t="s">
        <v>44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45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46</v>
      </c>
      <c r="C36" s="6"/>
      <c r="D36" s="61">
        <v>-70300</v>
      </c>
      <c r="E36" s="39">
        <v>-138351</v>
      </c>
      <c r="F36" s="61">
        <f>SUM(F32:F35)</f>
        <v>0</v>
      </c>
      <c r="G36" s="39">
        <f>SUM(G32:G35)</f>
        <v>0</v>
      </c>
      <c r="H36" s="61">
        <f>SUM(H32:H35)</f>
        <v>-70300</v>
      </c>
      <c r="I36" s="39">
        <f>SUM(I32:I35)</f>
        <v>-138351</v>
      </c>
      <c r="J36" s="61">
        <f>SUM(J32:J34)</f>
        <v>0</v>
      </c>
      <c r="K36" s="39">
        <f>SUM(K32:K34)</f>
        <v>0</v>
      </c>
      <c r="L36" s="61">
        <f>SUM(L32:L35)</f>
        <v>-70300</v>
      </c>
      <c r="M36" s="39">
        <f>SUM(M32:M35)</f>
        <v>-138351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5">
        <v>48029</v>
      </c>
      <c r="E39" s="65">
        <v>92436</v>
      </c>
      <c r="F39" s="60">
        <f t="shared" ref="F39:G41" si="13">H39-D39</f>
        <v>0</v>
      </c>
      <c r="G39" s="37">
        <f t="shared" si="13"/>
        <v>0</v>
      </c>
      <c r="H39" s="65">
        <f t="shared" si="12"/>
        <v>48029</v>
      </c>
      <c r="I39" s="66">
        <f t="shared" si="12"/>
        <v>92436</v>
      </c>
      <c r="J39" s="60"/>
      <c r="K39" s="38"/>
      <c r="L39" s="60">
        <f t="shared" ref="L39:M41" si="14">H39+J39</f>
        <v>48029</v>
      </c>
      <c r="M39" s="38">
        <f t="shared" si="14"/>
        <v>92436</v>
      </c>
    </row>
    <row r="40" spans="1:13" ht="22.5" customHeight="1" x14ac:dyDescent="0.25">
      <c r="A40" s="9">
        <v>18</v>
      </c>
      <c r="B40" s="7"/>
      <c r="C40" s="18" t="s">
        <v>49</v>
      </c>
      <c r="D40" s="65">
        <v>-83901</v>
      </c>
      <c r="E40" s="65">
        <v>-160416</v>
      </c>
      <c r="F40" s="60">
        <f t="shared" si="13"/>
        <v>0</v>
      </c>
      <c r="G40" s="37">
        <f t="shared" si="13"/>
        <v>0</v>
      </c>
      <c r="H40" s="65">
        <f t="shared" si="12"/>
        <v>-83901</v>
      </c>
      <c r="I40" s="66">
        <f t="shared" si="12"/>
        <v>-160416</v>
      </c>
      <c r="J40" s="60"/>
      <c r="K40" s="38"/>
      <c r="L40" s="60">
        <f t="shared" si="14"/>
        <v>-83901</v>
      </c>
      <c r="M40" s="38">
        <f t="shared" si="14"/>
        <v>-160416</v>
      </c>
    </row>
    <row r="41" spans="1:13" x14ac:dyDescent="0.25">
      <c r="A41" s="9">
        <v>19</v>
      </c>
      <c r="B41" s="7"/>
      <c r="C41" s="18" t="s">
        <v>50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51</v>
      </c>
      <c r="D42" s="61">
        <v>-83901</v>
      </c>
      <c r="E42" s="39">
        <v>-160416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-83901</v>
      </c>
      <c r="I42" s="39">
        <f>SUM(I40:I41)</f>
        <v>-160416</v>
      </c>
      <c r="J42" s="61">
        <f t="shared" si="15"/>
        <v>0</v>
      </c>
      <c r="K42" s="39">
        <f t="shared" si="15"/>
        <v>0</v>
      </c>
      <c r="L42" s="61">
        <f t="shared" si="15"/>
        <v>-83901</v>
      </c>
      <c r="M42" s="39">
        <f t="shared" si="15"/>
        <v>-160416</v>
      </c>
    </row>
    <row r="43" spans="1:13" ht="21" customHeight="1" x14ac:dyDescent="0.25">
      <c r="A43" s="9"/>
      <c r="B43" s="7" t="s">
        <v>52</v>
      </c>
      <c r="C43" s="6"/>
      <c r="D43" s="61">
        <v>-35872</v>
      </c>
      <c r="E43" s="39">
        <v>-67980</v>
      </c>
      <c r="F43" s="61">
        <f t="shared" ref="F43:M43" si="16">F42+F39</f>
        <v>0</v>
      </c>
      <c r="G43" s="39">
        <f t="shared" si="16"/>
        <v>0</v>
      </c>
      <c r="H43" s="61">
        <f>H42+H39</f>
        <v>-35872</v>
      </c>
      <c r="I43" s="39">
        <f>I42+I39</f>
        <v>-67980</v>
      </c>
      <c r="J43" s="61">
        <f t="shared" si="16"/>
        <v>0</v>
      </c>
      <c r="K43" s="39">
        <f t="shared" si="16"/>
        <v>0</v>
      </c>
      <c r="L43" s="61">
        <f t="shared" si="16"/>
        <v>-35872</v>
      </c>
      <c r="M43" s="39">
        <f t="shared" si="16"/>
        <v>-67980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5">
        <v>-38706</v>
      </c>
      <c r="E49" s="65">
        <v>-80494.023766379614</v>
      </c>
      <c r="F49" s="60">
        <f>H49-D49</f>
        <v>0</v>
      </c>
      <c r="G49" s="37">
        <f>I49-E49</f>
        <v>0</v>
      </c>
      <c r="H49" s="65">
        <f>D49</f>
        <v>-38706</v>
      </c>
      <c r="I49" s="66">
        <f>E49</f>
        <v>-80494.023766379614</v>
      </c>
      <c r="J49" s="60"/>
      <c r="K49" s="38"/>
      <c r="L49" s="60">
        <f>H49+J49</f>
        <v>-38706</v>
      </c>
      <c r="M49" s="38">
        <f>I49+K49</f>
        <v>-80494.023766379614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5">
        <v>-295007</v>
      </c>
      <c r="E51" s="65">
        <v>-597680</v>
      </c>
      <c r="F51" s="60">
        <f>H51-D51</f>
        <v>0</v>
      </c>
      <c r="G51" s="37">
        <f>I51-E51</f>
        <v>0</v>
      </c>
      <c r="H51" s="65">
        <f>D51</f>
        <v>-295007</v>
      </c>
      <c r="I51" s="66">
        <f>E51</f>
        <v>-597680</v>
      </c>
      <c r="J51" s="60"/>
      <c r="K51" s="38"/>
      <c r="L51" s="60">
        <f>H51+J51</f>
        <v>-295007</v>
      </c>
      <c r="M51" s="38">
        <f>I51+K51</f>
        <v>-597680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5">
        <v>0</v>
      </c>
      <c r="E54" s="65">
        <v>-172911.24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-172911.24</v>
      </c>
      <c r="J54" s="60"/>
      <c r="K54" s="38"/>
      <c r="L54" s="60">
        <f>H54+J54</f>
        <v>0</v>
      </c>
      <c r="M54" s="38">
        <f>I54+K54</f>
        <v>-172911.24</v>
      </c>
    </row>
    <row r="55" spans="1:15" x14ac:dyDescent="0.25">
      <c r="A55" s="9">
        <v>25</v>
      </c>
      <c r="B55" s="7"/>
      <c r="C55" s="18" t="s">
        <v>59</v>
      </c>
      <c r="D55" s="65">
        <v>0</v>
      </c>
      <c r="E55" s="65">
        <v>-1321394.46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-1321394.46</v>
      </c>
      <c r="J55" s="60"/>
      <c r="K55" s="38"/>
      <c r="L55" s="60">
        <f>H55+J55</f>
        <v>0</v>
      </c>
      <c r="M55" s="38">
        <f>I55+K55</f>
        <v>-1321394.46</v>
      </c>
    </row>
    <row r="56" spans="1:15" x14ac:dyDescent="0.25">
      <c r="A56" s="9"/>
      <c r="B56" s="7" t="s">
        <v>60</v>
      </c>
      <c r="C56" s="6"/>
      <c r="D56" s="61">
        <v>0</v>
      </c>
      <c r="E56" s="39">
        <v>-1494305.7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-1494305.7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-1494305.7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63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70</v>
      </c>
      <c r="D70" s="65">
        <v>0</v>
      </c>
      <c r="E70" s="65">
        <v>2029682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2029682</v>
      </c>
      <c r="J70" s="60"/>
      <c r="K70" s="38"/>
      <c r="L70" s="60">
        <f>H70+J70</f>
        <v>0</v>
      </c>
      <c r="M70" s="38">
        <f>I70+K70</f>
        <v>2029682</v>
      </c>
    </row>
    <row r="71" spans="1:13" x14ac:dyDescent="0.25">
      <c r="A71" s="9">
        <v>31</v>
      </c>
      <c r="B71" s="3"/>
      <c r="C71" s="10" t="s">
        <v>71</v>
      </c>
      <c r="D71" s="65">
        <v>0</v>
      </c>
      <c r="E71" s="65">
        <v>-1493590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-1493590</v>
      </c>
      <c r="J71" s="60"/>
      <c r="K71" s="38"/>
      <c r="L71" s="60">
        <f>H71+J71</f>
        <v>0</v>
      </c>
      <c r="M71" s="38">
        <f>I71+K71</f>
        <v>-1493590</v>
      </c>
    </row>
    <row r="72" spans="1:13" x14ac:dyDescent="0.25">
      <c r="A72" s="9"/>
      <c r="B72" s="3"/>
      <c r="C72" s="55" t="s">
        <v>72</v>
      </c>
      <c r="D72" s="61">
        <v>0</v>
      </c>
      <c r="E72" s="39">
        <v>536092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536092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536092</v>
      </c>
    </row>
    <row r="73" spans="1:13" x14ac:dyDescent="0.25">
      <c r="A73" s="9">
        <v>32</v>
      </c>
      <c r="B73" s="3"/>
      <c r="C73" s="10" t="s">
        <v>73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74</v>
      </c>
      <c r="D74" s="65">
        <v>0</v>
      </c>
      <c r="E74" s="65">
        <v>20312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20312</v>
      </c>
      <c r="J74" s="60"/>
      <c r="K74" s="38"/>
      <c r="L74" s="60">
        <f t="shared" si="22"/>
        <v>0</v>
      </c>
      <c r="M74" s="38">
        <f t="shared" si="22"/>
        <v>20312</v>
      </c>
    </row>
    <row r="75" spans="1:13" x14ac:dyDescent="0.25">
      <c r="A75" s="9">
        <v>34</v>
      </c>
      <c r="B75" s="3"/>
      <c r="C75" s="10" t="s">
        <v>75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76</v>
      </c>
      <c r="D76" s="65">
        <v>0</v>
      </c>
      <c r="E76" s="65">
        <v>-23097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-23097</v>
      </c>
      <c r="J76" s="60"/>
      <c r="K76" s="38"/>
      <c r="L76" s="60">
        <f t="shared" si="22"/>
        <v>0</v>
      </c>
      <c r="M76" s="38">
        <f t="shared" si="22"/>
        <v>-23097</v>
      </c>
    </row>
    <row r="77" spans="1:13" x14ac:dyDescent="0.25">
      <c r="A77" s="9">
        <v>36</v>
      </c>
      <c r="B77" s="3"/>
      <c r="C77" s="10" t="s">
        <v>77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78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79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80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81</v>
      </c>
      <c r="D81" s="65">
        <v>0</v>
      </c>
      <c r="E81" s="65">
        <v>51876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51876</v>
      </c>
      <c r="J81" s="60"/>
      <c r="K81" s="38"/>
      <c r="L81" s="60">
        <f t="shared" si="22"/>
        <v>0</v>
      </c>
      <c r="M81" s="38">
        <f t="shared" si="22"/>
        <v>51876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-208757.72376637952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-208757.72376637952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-208757.72376637952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181</v>
      </c>
      <c r="B85" s="3"/>
    </row>
    <row r="86" spans="1:67" s="3" customFormat="1" x14ac:dyDescent="0.25">
      <c r="A86" s="172"/>
      <c r="C86" s="10" t="s">
        <v>176</v>
      </c>
      <c r="D86" s="173">
        <v>0</v>
      </c>
      <c r="E86" s="173">
        <v>0</v>
      </c>
      <c r="F86" s="173">
        <v>0</v>
      </c>
      <c r="G86" s="173">
        <v>0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</row>
    <row r="87" spans="1:67" s="3" customFormat="1" x14ac:dyDescent="0.25">
      <c r="A87" s="172"/>
      <c r="C87" s="10" t="s">
        <v>74</v>
      </c>
      <c r="D87" s="174">
        <v>0</v>
      </c>
      <c r="E87" s="174">
        <v>0</v>
      </c>
      <c r="F87" s="174">
        <v>0</v>
      </c>
      <c r="G87" s="174"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</row>
    <row r="88" spans="1:67" s="3" customFormat="1" x14ac:dyDescent="0.25">
      <c r="A88" s="172"/>
      <c r="C88" s="10" t="s">
        <v>75</v>
      </c>
      <c r="D88" s="175">
        <v>0</v>
      </c>
      <c r="E88" s="175">
        <v>0</v>
      </c>
      <c r="F88" s="175">
        <v>0</v>
      </c>
      <c r="G88" s="175"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</row>
    <row r="89" spans="1:67" s="44" customFormat="1" ht="20.25" customHeight="1" x14ac:dyDescent="0.25">
      <c r="A89" s="179"/>
      <c r="B89" s="180"/>
      <c r="C89" s="181" t="s">
        <v>179</v>
      </c>
      <c r="D89" s="183">
        <f>SUM(D86:D88)</f>
        <v>0</v>
      </c>
      <c r="E89" s="183">
        <f t="shared" ref="E89:M89" si="24">SUM(E86:E88)</f>
        <v>0</v>
      </c>
      <c r="F89" s="183">
        <f t="shared" si="24"/>
        <v>0</v>
      </c>
      <c r="G89" s="183">
        <f t="shared" si="24"/>
        <v>0</v>
      </c>
      <c r="H89" s="183">
        <f t="shared" si="24"/>
        <v>0</v>
      </c>
      <c r="I89" s="183">
        <f t="shared" si="24"/>
        <v>0</v>
      </c>
      <c r="J89" s="183">
        <f t="shared" si="24"/>
        <v>0</v>
      </c>
      <c r="K89" s="183">
        <f t="shared" si="24"/>
        <v>0</v>
      </c>
      <c r="L89" s="183">
        <f t="shared" si="24"/>
        <v>0</v>
      </c>
      <c r="M89" s="183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177</v>
      </c>
      <c r="D91" s="183">
        <f>+D82+D89</f>
        <v>0</v>
      </c>
      <c r="E91" s="183">
        <f t="shared" ref="E91:M91" si="25">+E82+E89</f>
        <v>-208757.72376637952</v>
      </c>
      <c r="F91" s="183">
        <f t="shared" si="25"/>
        <v>0</v>
      </c>
      <c r="G91" s="183">
        <f t="shared" si="25"/>
        <v>0</v>
      </c>
      <c r="H91" s="183">
        <f t="shared" si="25"/>
        <v>0</v>
      </c>
      <c r="I91" s="183">
        <f t="shared" si="25"/>
        <v>-208757.72376637952</v>
      </c>
      <c r="J91" s="183">
        <f t="shared" si="25"/>
        <v>0</v>
      </c>
      <c r="K91" s="183">
        <f t="shared" si="25"/>
        <v>0</v>
      </c>
      <c r="L91" s="183">
        <f t="shared" si="25"/>
        <v>0</v>
      </c>
      <c r="M91" s="183">
        <f t="shared" si="25"/>
        <v>-208757.72376637952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H69" activePane="bottomRight" state="frozen"/>
      <selection activeCell="A91" sqref="A91"/>
      <selection pane="topRight" activeCell="A91" sqref="A91"/>
      <selection pane="bottomLeft" activeCell="A91" sqref="A91"/>
      <selection pane="bottomRight" activeCell="I80" sqref="I8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29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31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29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31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36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39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40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43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44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45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46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49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50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51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52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59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60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63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70</v>
      </c>
      <c r="D70" s="60"/>
      <c r="E70" s="38">
        <v>-3633759</v>
      </c>
      <c r="F70" s="60">
        <f>H70-D70</f>
        <v>0</v>
      </c>
      <c r="G70" s="37">
        <f>I70-E70</f>
        <v>3633759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5">
      <c r="A71" s="9">
        <v>31</v>
      </c>
      <c r="B71" s="3"/>
      <c r="C71" s="10" t="s">
        <v>71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72</v>
      </c>
      <c r="D72" s="61">
        <f>SUM(D70:D71)</f>
        <v>0</v>
      </c>
      <c r="E72" s="39">
        <f>SUM(E70:E71)</f>
        <v>-3633759</v>
      </c>
      <c r="F72" s="69">
        <f t="shared" ref="F72:M72" si="22">SUM(F70:F71)</f>
        <v>0</v>
      </c>
      <c r="G72" s="39">
        <f t="shared" si="22"/>
        <v>3633759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5">
      <c r="A73" s="9">
        <v>32</v>
      </c>
      <c r="B73" s="3"/>
      <c r="C73" s="10" t="s">
        <v>73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74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75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76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77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78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79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80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81</v>
      </c>
      <c r="D81" s="60"/>
      <c r="E81" s="38">
        <f>-301000+3633759</f>
        <v>3332759</v>
      </c>
      <c r="F81" s="60">
        <f t="shared" si="25"/>
        <v>0</v>
      </c>
      <c r="G81" s="37">
        <f t="shared" si="25"/>
        <v>-946759</v>
      </c>
      <c r="H81" s="65">
        <f t="shared" si="23"/>
        <v>0</v>
      </c>
      <c r="I81" s="154">
        <v>2386000</v>
      </c>
      <c r="J81" s="60"/>
      <c r="K81" s="38"/>
      <c r="L81" s="60">
        <f t="shared" si="24"/>
        <v>0</v>
      </c>
      <c r="M81" s="38">
        <f t="shared" si="24"/>
        <v>2386000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-301000</v>
      </c>
      <c r="F82" s="73">
        <f>F16+F24+F29+F36+F43+F45+F47+F49</f>
        <v>0</v>
      </c>
      <c r="G82" s="74">
        <f>SUM(G72:G81)+G16+G24+G29+G36+G43+G45+G47+G49+G51+G56+G61+G66</f>
        <v>2687000</v>
      </c>
      <c r="H82" s="73">
        <f>H16+H24+H29+H36+H43+H45+H47+H49</f>
        <v>0</v>
      </c>
      <c r="I82" s="153">
        <f>SUM(I72:I81)+I16+I24+I29+I36+I43+I45+I47+I49+I51+I56+I61+I66</f>
        <v>2386000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2386000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E65" zoomScale="75" workbookViewId="0">
      <selection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5">
        <v>8282439</v>
      </c>
      <c r="E11" s="38">
        <v>19073437</v>
      </c>
      <c r="F11" s="60">
        <f>H11-D11</f>
        <v>0</v>
      </c>
      <c r="G11" s="37">
        <f>I11-E11</f>
        <v>0</v>
      </c>
      <c r="H11" s="65">
        <f>D11</f>
        <v>8282439</v>
      </c>
      <c r="I11" s="66">
        <f>E11</f>
        <v>19073437</v>
      </c>
      <c r="J11" s="60"/>
      <c r="K11" s="38"/>
      <c r="L11" s="60">
        <f t="shared" ref="L11:M15" si="0">H11+J11</f>
        <v>8282439</v>
      </c>
      <c r="M11" s="38">
        <f t="shared" si="0"/>
        <v>19073437</v>
      </c>
    </row>
    <row r="12" spans="1:26" x14ac:dyDescent="0.25">
      <c r="A12" s="9">
        <v>2</v>
      </c>
      <c r="B12" s="7"/>
      <c r="C12" s="18" t="s">
        <v>29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0">
        <v>3928389</v>
      </c>
      <c r="E13" s="38">
        <v>9058926</v>
      </c>
      <c r="F13" s="60">
        <f t="shared" si="1"/>
        <v>0</v>
      </c>
      <c r="G13" s="37">
        <f t="shared" si="1"/>
        <v>0</v>
      </c>
      <c r="H13" s="65">
        <f t="shared" si="2"/>
        <v>3928389</v>
      </c>
      <c r="I13" s="66">
        <f t="shared" si="2"/>
        <v>9058926</v>
      </c>
      <c r="J13" s="60"/>
      <c r="K13" s="38"/>
      <c r="L13" s="60">
        <f t="shared" si="0"/>
        <v>3928389</v>
      </c>
      <c r="M13" s="38">
        <f t="shared" si="0"/>
        <v>9058926</v>
      </c>
    </row>
    <row r="14" spans="1:26" x14ac:dyDescent="0.25">
      <c r="A14" s="9">
        <v>4</v>
      </c>
      <c r="B14" s="7"/>
      <c r="C14" s="18" t="s">
        <v>31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v>12210828</v>
      </c>
      <c r="E16" s="39">
        <v>28132363</v>
      </c>
      <c r="F16" s="61">
        <f t="shared" ref="F16:M16" si="3">SUM(F11:F15)</f>
        <v>0</v>
      </c>
      <c r="G16" s="39">
        <f t="shared" si="3"/>
        <v>0</v>
      </c>
      <c r="H16" s="61">
        <f>SUM(H11:H15)</f>
        <v>12210828</v>
      </c>
      <c r="I16" s="39">
        <f>SUM(I11:I15)</f>
        <v>28132363</v>
      </c>
      <c r="J16" s="61">
        <f t="shared" si="3"/>
        <v>0</v>
      </c>
      <c r="K16" s="39">
        <f t="shared" si="3"/>
        <v>0</v>
      </c>
      <c r="L16" s="61">
        <f t="shared" si="3"/>
        <v>12210828</v>
      </c>
      <c r="M16" s="39">
        <f t="shared" si="3"/>
        <v>28132363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0">
        <v>-7814436</v>
      </c>
      <c r="E19" s="38">
        <v>-17970825</v>
      </c>
      <c r="F19" s="60">
        <f>H19-D19</f>
        <v>0</v>
      </c>
      <c r="G19" s="37">
        <f>I19-E19</f>
        <v>0</v>
      </c>
      <c r="H19" s="65">
        <f t="shared" si="4"/>
        <v>-7814436</v>
      </c>
      <c r="I19" s="66">
        <f t="shared" si="4"/>
        <v>-17970825</v>
      </c>
      <c r="J19" s="60"/>
      <c r="K19" s="38"/>
      <c r="L19" s="60">
        <f t="shared" ref="L19:M23" si="5">H19+J19</f>
        <v>-7814436</v>
      </c>
      <c r="M19" s="38">
        <f t="shared" si="5"/>
        <v>-17970825</v>
      </c>
    </row>
    <row r="20" spans="1:13" x14ac:dyDescent="0.25">
      <c r="A20" s="9">
        <v>7</v>
      </c>
      <c r="B20" s="7"/>
      <c r="C20" s="18" t="s">
        <v>29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60">
        <v>-4391586</v>
      </c>
      <c r="E21" s="38">
        <v>-10165395</v>
      </c>
      <c r="F21" s="60">
        <f t="shared" si="6"/>
        <v>0</v>
      </c>
      <c r="G21" s="37">
        <f t="shared" si="6"/>
        <v>0</v>
      </c>
      <c r="H21" s="65">
        <f t="shared" si="4"/>
        <v>-4391586</v>
      </c>
      <c r="I21" s="66">
        <f t="shared" si="4"/>
        <v>-10165395</v>
      </c>
      <c r="J21" s="60"/>
      <c r="K21" s="38"/>
      <c r="L21" s="60">
        <f t="shared" si="5"/>
        <v>-4391586</v>
      </c>
      <c r="M21" s="38">
        <f t="shared" si="5"/>
        <v>-10165395</v>
      </c>
    </row>
    <row r="22" spans="1:13" x14ac:dyDescent="0.25">
      <c r="A22" s="9">
        <v>9</v>
      </c>
      <c r="B22" s="7"/>
      <c r="C22" s="18" t="s">
        <v>31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36</v>
      </c>
      <c r="C24" s="6"/>
      <c r="D24" s="61">
        <v>-12206022</v>
      </c>
      <c r="E24" s="39">
        <v>-28136220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-12206022</v>
      </c>
      <c r="I24" s="39">
        <f>SUM(I19:I23)</f>
        <v>-28136220</v>
      </c>
      <c r="J24" s="61">
        <f t="shared" si="7"/>
        <v>0</v>
      </c>
      <c r="K24" s="39">
        <f t="shared" si="7"/>
        <v>0</v>
      </c>
      <c r="L24" s="61">
        <f t="shared" si="7"/>
        <v>-12206022</v>
      </c>
      <c r="M24" s="39">
        <f t="shared" si="7"/>
        <v>-28136220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39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43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44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45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46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49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50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51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52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0">
        <v>-4806</v>
      </c>
      <c r="E49" s="38">
        <v>-10957.68</v>
      </c>
      <c r="F49" s="60">
        <f>H49-D49</f>
        <v>0</v>
      </c>
      <c r="G49" s="37">
        <f>I49-E49</f>
        <v>0</v>
      </c>
      <c r="H49" s="65">
        <f>D49</f>
        <v>-4806</v>
      </c>
      <c r="I49" s="66">
        <f>E49</f>
        <v>-10957.68</v>
      </c>
      <c r="J49" s="60"/>
      <c r="K49" s="38"/>
      <c r="L49" s="60">
        <f>H49+J49</f>
        <v>-4806</v>
      </c>
      <c r="M49" s="38">
        <f>I49+K49</f>
        <v>-10957.68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59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60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63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70</v>
      </c>
      <c r="D70" s="60">
        <v>0</v>
      </c>
      <c r="E70" s="38">
        <v>-832910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-832910</v>
      </c>
      <c r="J70" s="65"/>
      <c r="K70" s="38"/>
      <c r="L70" s="60">
        <f t="shared" si="20"/>
        <v>0</v>
      </c>
      <c r="M70" s="38">
        <f t="shared" si="20"/>
        <v>-832910</v>
      </c>
    </row>
    <row r="71" spans="1:13" x14ac:dyDescent="0.25">
      <c r="A71" s="9">
        <v>31</v>
      </c>
      <c r="B71" s="3"/>
      <c r="C71" s="10" t="s">
        <v>71</v>
      </c>
      <c r="D71" s="60">
        <v>0</v>
      </c>
      <c r="E71" s="38">
        <v>775951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775951</v>
      </c>
      <c r="J71" s="65"/>
      <c r="K71" s="38"/>
      <c r="L71" s="60">
        <f t="shared" si="20"/>
        <v>0</v>
      </c>
      <c r="M71" s="38">
        <f t="shared" si="20"/>
        <v>775951</v>
      </c>
    </row>
    <row r="72" spans="1:13" x14ac:dyDescent="0.25">
      <c r="A72" s="9"/>
      <c r="B72" s="3"/>
      <c r="C72" s="55" t="s">
        <v>72</v>
      </c>
      <c r="D72" s="61">
        <v>0</v>
      </c>
      <c r="E72" s="39">
        <v>-56959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-56959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-56959</v>
      </c>
    </row>
    <row r="73" spans="1:13" x14ac:dyDescent="0.25">
      <c r="A73" s="9">
        <v>32</v>
      </c>
      <c r="B73" s="3"/>
      <c r="C73" s="10" t="s">
        <v>73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74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75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76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77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78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79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80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81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3">
      <c r="A82" s="95"/>
      <c r="B82" s="30"/>
      <c r="C82" s="96" t="s">
        <v>178</v>
      </c>
      <c r="D82" s="73">
        <f>D16+D24+D29+D36+D43+D45+D47+D49</f>
        <v>0</v>
      </c>
      <c r="E82" s="74">
        <f>SUM(E72:E81)+E16+E24+E29+E36+E43+E45+E47+E49+E51+E56+E61+E66</f>
        <v>-71773.679999999993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-71773.679999999993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-71773.679999999993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172</v>
      </c>
      <c r="B85" s="3"/>
      <c r="L85" s="45"/>
    </row>
    <row r="86" spans="1:13" s="3" customFormat="1" x14ac:dyDescent="0.25">
      <c r="A86" s="172"/>
      <c r="C86" s="10" t="s">
        <v>176</v>
      </c>
      <c r="D86" s="176">
        <v>0</v>
      </c>
      <c r="E86" s="176">
        <v>26476</v>
      </c>
      <c r="F86" s="176">
        <f t="shared" ref="F86:G88" si="25">H86-D86</f>
        <v>0</v>
      </c>
      <c r="G86" s="176">
        <f t="shared" si="25"/>
        <v>0</v>
      </c>
      <c r="H86" s="176">
        <f t="shared" ref="H86:I88" si="26">D86</f>
        <v>0</v>
      </c>
      <c r="I86" s="176">
        <f t="shared" si="26"/>
        <v>26476</v>
      </c>
      <c r="J86" s="176"/>
      <c r="K86" s="176"/>
      <c r="L86" s="176">
        <f t="shared" ref="L86:M88" si="27">H86+J86</f>
        <v>0</v>
      </c>
      <c r="M86" s="176">
        <f t="shared" si="27"/>
        <v>26476</v>
      </c>
    </row>
    <row r="87" spans="1:13" s="3" customFormat="1" x14ac:dyDescent="0.25">
      <c r="A87" s="172"/>
      <c r="C87" s="10" t="s">
        <v>74</v>
      </c>
      <c r="D87" s="177">
        <v>0</v>
      </c>
      <c r="E87" s="177">
        <v>0</v>
      </c>
      <c r="F87" s="177">
        <f t="shared" si="25"/>
        <v>0</v>
      </c>
      <c r="G87" s="177">
        <f t="shared" si="25"/>
        <v>0</v>
      </c>
      <c r="H87" s="177">
        <f t="shared" si="26"/>
        <v>0</v>
      </c>
      <c r="I87" s="177">
        <f t="shared" si="26"/>
        <v>0</v>
      </c>
      <c r="J87" s="177"/>
      <c r="K87" s="177"/>
      <c r="L87" s="177">
        <f t="shared" si="27"/>
        <v>0</v>
      </c>
      <c r="M87" s="177">
        <f t="shared" si="27"/>
        <v>0</v>
      </c>
    </row>
    <row r="88" spans="1:13" s="3" customFormat="1" x14ac:dyDescent="0.25">
      <c r="A88" s="172"/>
      <c r="C88" s="10" t="s">
        <v>75</v>
      </c>
      <c r="D88" s="178">
        <v>0</v>
      </c>
      <c r="E88" s="178">
        <v>0</v>
      </c>
      <c r="F88" s="178">
        <f t="shared" si="25"/>
        <v>0</v>
      </c>
      <c r="G88" s="178">
        <f t="shared" si="25"/>
        <v>0</v>
      </c>
      <c r="H88" s="178">
        <f t="shared" si="26"/>
        <v>0</v>
      </c>
      <c r="I88" s="178">
        <f t="shared" si="26"/>
        <v>0</v>
      </c>
      <c r="J88" s="178"/>
      <c r="K88" s="178"/>
      <c r="L88" s="178">
        <f t="shared" si="27"/>
        <v>0</v>
      </c>
      <c r="M88" s="178">
        <f t="shared" si="27"/>
        <v>0</v>
      </c>
    </row>
    <row r="89" spans="1:13" s="2" customFormat="1" ht="20.25" customHeight="1" x14ac:dyDescent="0.25">
      <c r="A89" s="172"/>
      <c r="B89" s="4"/>
      <c r="C89" s="182" t="s">
        <v>179</v>
      </c>
      <c r="D89" s="183">
        <f>SUM(D86:D88)</f>
        <v>0</v>
      </c>
      <c r="E89" s="183">
        <f t="shared" ref="E89:M89" si="28">SUM(E86:E88)</f>
        <v>26476</v>
      </c>
      <c r="F89" s="183">
        <f t="shared" si="28"/>
        <v>0</v>
      </c>
      <c r="G89" s="183">
        <f t="shared" si="28"/>
        <v>0</v>
      </c>
      <c r="H89" s="183">
        <f t="shared" si="28"/>
        <v>0</v>
      </c>
      <c r="I89" s="183">
        <f t="shared" si="28"/>
        <v>26476</v>
      </c>
      <c r="J89" s="183">
        <f t="shared" si="28"/>
        <v>0</v>
      </c>
      <c r="K89" s="183">
        <f t="shared" si="28"/>
        <v>0</v>
      </c>
      <c r="L89" s="183">
        <f t="shared" si="28"/>
        <v>0</v>
      </c>
      <c r="M89" s="183">
        <f t="shared" si="28"/>
        <v>26476</v>
      </c>
    </row>
    <row r="90" spans="1:13" x14ac:dyDescent="0.25">
      <c r="A90" s="4"/>
      <c r="B90" s="3"/>
    </row>
    <row r="91" spans="1:13" s="2" customFormat="1" ht="20.25" customHeight="1" x14ac:dyDescent="0.25">
      <c r="A91" s="172"/>
      <c r="B91" s="4"/>
      <c r="C91" s="182" t="s">
        <v>177</v>
      </c>
      <c r="D91" s="183">
        <f>+D82+D89</f>
        <v>0</v>
      </c>
      <c r="E91" s="183">
        <f t="shared" ref="E91:M91" si="29">+E82+E89</f>
        <v>-45297.679999999993</v>
      </c>
      <c r="F91" s="183">
        <f t="shared" si="29"/>
        <v>0</v>
      </c>
      <c r="G91" s="183">
        <f t="shared" si="29"/>
        <v>0</v>
      </c>
      <c r="H91" s="183">
        <f t="shared" si="29"/>
        <v>0</v>
      </c>
      <c r="I91" s="183">
        <f t="shared" si="29"/>
        <v>-45297.679999999993</v>
      </c>
      <c r="J91" s="183">
        <f t="shared" si="29"/>
        <v>0</v>
      </c>
      <c r="K91" s="183">
        <f t="shared" si="29"/>
        <v>0</v>
      </c>
      <c r="L91" s="183">
        <f t="shared" si="29"/>
        <v>0</v>
      </c>
      <c r="M91" s="183">
        <f t="shared" si="29"/>
        <v>-45297.679999999993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G88" sqref="G88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5">
        <v>5743537</v>
      </c>
      <c r="E11" s="65">
        <v>11860606</v>
      </c>
      <c r="F11" s="60">
        <f>H11-D11</f>
        <v>0</v>
      </c>
      <c r="G11" s="37">
        <f>I11-E11</f>
        <v>0</v>
      </c>
      <c r="H11" s="65">
        <f>D11</f>
        <v>5743537</v>
      </c>
      <c r="I11" s="66">
        <f>E11</f>
        <v>11860606</v>
      </c>
      <c r="J11" s="60"/>
      <c r="K11" s="38"/>
      <c r="L11" s="60">
        <f t="shared" ref="L11:M15" si="0">H11+J11</f>
        <v>5743537</v>
      </c>
      <c r="M11" s="38">
        <f t="shared" si="0"/>
        <v>11860606</v>
      </c>
    </row>
    <row r="12" spans="1:26" x14ac:dyDescent="0.25">
      <c r="A12" s="9">
        <v>2</v>
      </c>
      <c r="B12" s="7"/>
      <c r="C12" s="18" t="s">
        <v>29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5">
        <v>19872754</v>
      </c>
      <c r="E13" s="65">
        <v>48750519</v>
      </c>
      <c r="F13" s="60">
        <f t="shared" si="1"/>
        <v>0</v>
      </c>
      <c r="G13" s="37">
        <f t="shared" si="1"/>
        <v>0</v>
      </c>
      <c r="H13" s="65">
        <f t="shared" si="2"/>
        <v>19872754</v>
      </c>
      <c r="I13" s="66">
        <f t="shared" si="2"/>
        <v>48750519</v>
      </c>
      <c r="J13" s="60"/>
      <c r="K13" s="38"/>
      <c r="L13" s="60">
        <f t="shared" si="0"/>
        <v>19872754</v>
      </c>
      <c r="M13" s="38">
        <f t="shared" si="0"/>
        <v>48750519</v>
      </c>
    </row>
    <row r="14" spans="1:26" x14ac:dyDescent="0.25">
      <c r="A14" s="9">
        <v>4</v>
      </c>
      <c r="B14" s="7"/>
      <c r="C14" s="18" t="s">
        <v>31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v>25616291</v>
      </c>
      <c r="E16" s="39">
        <v>60611125</v>
      </c>
      <c r="F16" s="61">
        <f t="shared" ref="F16:M16" si="3">SUM(F11:F15)</f>
        <v>0</v>
      </c>
      <c r="G16" s="39">
        <f t="shared" si="3"/>
        <v>0</v>
      </c>
      <c r="H16" s="61">
        <f>SUM(H11:H15)</f>
        <v>25616291</v>
      </c>
      <c r="I16" s="39">
        <f>SUM(I11:I15)</f>
        <v>60611125</v>
      </c>
      <c r="J16" s="61">
        <f t="shared" si="3"/>
        <v>0</v>
      </c>
      <c r="K16" s="39">
        <f t="shared" si="3"/>
        <v>0</v>
      </c>
      <c r="L16" s="61">
        <f t="shared" si="3"/>
        <v>25616291</v>
      </c>
      <c r="M16" s="39">
        <f t="shared" si="3"/>
        <v>60611125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5">
        <v>-6260114</v>
      </c>
      <c r="E19" s="65">
        <v>-12400647</v>
      </c>
      <c r="F19" s="60">
        <f>H19-D19</f>
        <v>0</v>
      </c>
      <c r="G19" s="37">
        <f>I19-E19</f>
        <v>0</v>
      </c>
      <c r="H19" s="65">
        <f t="shared" si="4"/>
        <v>-6260114</v>
      </c>
      <c r="I19" s="66">
        <f t="shared" si="4"/>
        <v>-12400647</v>
      </c>
      <c r="J19" s="60"/>
      <c r="K19" s="38"/>
      <c r="L19" s="60">
        <f t="shared" ref="L19:M23" si="5">H19+J19</f>
        <v>-6260114</v>
      </c>
      <c r="M19" s="38">
        <f t="shared" si="5"/>
        <v>-12400647</v>
      </c>
    </row>
    <row r="20" spans="1:13" x14ac:dyDescent="0.25">
      <c r="A20" s="9">
        <v>7</v>
      </c>
      <c r="B20" s="7"/>
      <c r="C20" s="18" t="s">
        <v>29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65">
        <v>-25524776</v>
      </c>
      <c r="E21" s="65">
        <v>-60935936</v>
      </c>
      <c r="F21" s="60">
        <f t="shared" si="6"/>
        <v>0</v>
      </c>
      <c r="G21" s="37">
        <f t="shared" si="6"/>
        <v>0</v>
      </c>
      <c r="H21" s="65">
        <f t="shared" si="4"/>
        <v>-25524776</v>
      </c>
      <c r="I21" s="66">
        <f t="shared" si="4"/>
        <v>-60935936</v>
      </c>
      <c r="J21" s="60"/>
      <c r="K21" s="38"/>
      <c r="L21" s="60">
        <f t="shared" si="5"/>
        <v>-25524776</v>
      </c>
      <c r="M21" s="38">
        <f t="shared" si="5"/>
        <v>-60935936</v>
      </c>
    </row>
    <row r="22" spans="1:13" x14ac:dyDescent="0.25">
      <c r="A22" s="9">
        <v>9</v>
      </c>
      <c r="B22" s="7"/>
      <c r="C22" s="18" t="s">
        <v>31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65">
        <v>529347</v>
      </c>
      <c r="E23" s="65">
        <v>1224927</v>
      </c>
      <c r="F23" s="60">
        <f t="shared" si="6"/>
        <v>0</v>
      </c>
      <c r="G23" s="37">
        <f t="shared" si="6"/>
        <v>0</v>
      </c>
      <c r="H23" s="65">
        <f t="shared" si="4"/>
        <v>529347</v>
      </c>
      <c r="I23" s="66">
        <f t="shared" si="4"/>
        <v>1224927</v>
      </c>
      <c r="J23" s="60"/>
      <c r="K23" s="38"/>
      <c r="L23" s="60">
        <f t="shared" si="5"/>
        <v>529347</v>
      </c>
      <c r="M23" s="38">
        <f t="shared" si="5"/>
        <v>1224927</v>
      </c>
    </row>
    <row r="24" spans="1:13" x14ac:dyDescent="0.25">
      <c r="A24" s="9"/>
      <c r="B24" s="7" t="s">
        <v>36</v>
      </c>
      <c r="C24" s="6"/>
      <c r="D24" s="61">
        <v>-31255543</v>
      </c>
      <c r="E24" s="39">
        <v>-72111656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-31255543</v>
      </c>
      <c r="I24" s="39">
        <f>SUM(I19:I23)</f>
        <v>-72111656</v>
      </c>
      <c r="J24" s="61">
        <f t="shared" si="7"/>
        <v>0</v>
      </c>
      <c r="K24" s="39">
        <f t="shared" si="7"/>
        <v>0</v>
      </c>
      <c r="L24" s="61">
        <f t="shared" si="7"/>
        <v>-31255543</v>
      </c>
      <c r="M24" s="39">
        <f t="shared" si="7"/>
        <v>-72111656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39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5">
        <v>17100</v>
      </c>
      <c r="E32" s="65">
        <v>40185</v>
      </c>
      <c r="F32" s="60">
        <f>H32-D32</f>
        <v>0</v>
      </c>
      <c r="G32" s="37">
        <f>I32-E32</f>
        <v>0</v>
      </c>
      <c r="H32" s="65">
        <f t="shared" ref="H32:I35" si="9">D32</f>
        <v>17100</v>
      </c>
      <c r="I32" s="66">
        <f t="shared" si="9"/>
        <v>40185</v>
      </c>
      <c r="J32" s="60"/>
      <c r="K32" s="38"/>
      <c r="L32" s="60">
        <f t="shared" ref="L32:M35" si="10">H32+J32</f>
        <v>17100</v>
      </c>
      <c r="M32" s="38">
        <f t="shared" si="10"/>
        <v>40185</v>
      </c>
    </row>
    <row r="33" spans="1:13" x14ac:dyDescent="0.25">
      <c r="A33" s="9">
        <v>14</v>
      </c>
      <c r="B33" s="7"/>
      <c r="C33" s="18" t="s">
        <v>43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44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45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46</v>
      </c>
      <c r="C36" s="6"/>
      <c r="D36" s="61">
        <v>17100</v>
      </c>
      <c r="E36" s="39">
        <v>40185</v>
      </c>
      <c r="F36" s="61">
        <f>SUM(F32:F35)</f>
        <v>0</v>
      </c>
      <c r="G36" s="39">
        <f>SUM(G32:G35)</f>
        <v>0</v>
      </c>
      <c r="H36" s="61">
        <f>SUM(H32:H35)</f>
        <v>17100</v>
      </c>
      <c r="I36" s="39">
        <f>SUM(I32:I35)</f>
        <v>40185</v>
      </c>
      <c r="J36" s="61">
        <f>SUM(J32:J34)</f>
        <v>0</v>
      </c>
      <c r="K36" s="39">
        <f>SUM(K32:K34)</f>
        <v>0</v>
      </c>
      <c r="L36" s="61">
        <f>SUM(L32:L35)</f>
        <v>17100</v>
      </c>
      <c r="M36" s="39">
        <f>SUM(M32:M35)</f>
        <v>40185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5">
        <v>5659897</v>
      </c>
      <c r="E39" s="65">
        <v>13850098</v>
      </c>
      <c r="F39" s="60">
        <f t="shared" ref="F39:G41" si="13">H39-D39</f>
        <v>0</v>
      </c>
      <c r="G39" s="37">
        <f t="shared" si="13"/>
        <v>0</v>
      </c>
      <c r="H39" s="65">
        <f t="shared" si="12"/>
        <v>5659897</v>
      </c>
      <c r="I39" s="66">
        <f t="shared" si="12"/>
        <v>13850098</v>
      </c>
      <c r="J39" s="60"/>
      <c r="K39" s="38"/>
      <c r="L39" s="60">
        <f t="shared" ref="L39:M41" si="14">H39+J39</f>
        <v>5659897</v>
      </c>
      <c r="M39" s="38">
        <f t="shared" si="14"/>
        <v>13850098</v>
      </c>
    </row>
    <row r="40" spans="1:13" ht="22.5" customHeight="1" x14ac:dyDescent="0.25">
      <c r="A40" s="9">
        <v>18</v>
      </c>
      <c r="B40" s="7"/>
      <c r="C40" s="18" t="s">
        <v>49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50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51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52</v>
      </c>
      <c r="C43" s="6"/>
      <c r="D43" s="61">
        <v>5659897</v>
      </c>
      <c r="E43" s="39">
        <v>13850098</v>
      </c>
      <c r="F43" s="61">
        <f t="shared" ref="F43:M43" si="16">F42+F39</f>
        <v>0</v>
      </c>
      <c r="G43" s="39">
        <f t="shared" si="16"/>
        <v>0</v>
      </c>
      <c r="H43" s="61">
        <f>H42+H39</f>
        <v>5659897</v>
      </c>
      <c r="I43" s="39">
        <f>I42+I39</f>
        <v>13850098</v>
      </c>
      <c r="J43" s="61">
        <f t="shared" si="16"/>
        <v>0</v>
      </c>
      <c r="K43" s="39">
        <f t="shared" si="16"/>
        <v>0</v>
      </c>
      <c r="L43" s="61">
        <f t="shared" si="16"/>
        <v>5659897</v>
      </c>
      <c r="M43" s="39">
        <f t="shared" si="16"/>
        <v>13850098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5">
        <v>-37745</v>
      </c>
      <c r="E49" s="65">
        <v>-84058.114999999991</v>
      </c>
      <c r="F49" s="60">
        <f>H49-D49</f>
        <v>0</v>
      </c>
      <c r="G49" s="37">
        <f>I49-E49</f>
        <v>0</v>
      </c>
      <c r="H49" s="65">
        <f>D49</f>
        <v>-37745</v>
      </c>
      <c r="I49" s="66">
        <f>E49</f>
        <v>-84058.114999999991</v>
      </c>
      <c r="J49" s="60"/>
      <c r="K49" s="38"/>
      <c r="L49" s="60">
        <f>H49+J49</f>
        <v>-37745</v>
      </c>
      <c r="M49" s="38">
        <f>I49+K49</f>
        <v>-84058.114999999991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5">
        <v>-529347</v>
      </c>
      <c r="E51" s="65">
        <v>-1224927</v>
      </c>
      <c r="F51" s="60">
        <f>H51-D51</f>
        <v>0</v>
      </c>
      <c r="G51" s="37">
        <f>I51-E51</f>
        <v>0</v>
      </c>
      <c r="H51" s="65">
        <f>D51</f>
        <v>-529347</v>
      </c>
      <c r="I51" s="66">
        <f>E51</f>
        <v>-1224927</v>
      </c>
      <c r="J51" s="60"/>
      <c r="K51" s="38"/>
      <c r="L51" s="60">
        <f>H51+J51</f>
        <v>-529347</v>
      </c>
      <c r="M51" s="38">
        <f>I51+K51</f>
        <v>-1224927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5">
        <v>0</v>
      </c>
      <c r="E54" s="65">
        <v>-501940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-501940</v>
      </c>
      <c r="J54" s="60"/>
      <c r="K54" s="38"/>
      <c r="L54" s="60">
        <f>H54+J54</f>
        <v>0</v>
      </c>
      <c r="M54" s="38">
        <f>I54+K54</f>
        <v>-501940</v>
      </c>
    </row>
    <row r="55" spans="1:15" x14ac:dyDescent="0.25">
      <c r="A55" s="9">
        <v>25</v>
      </c>
      <c r="B55" s="7"/>
      <c r="C55" s="18" t="s">
        <v>59</v>
      </c>
      <c r="D55" s="65">
        <v>0</v>
      </c>
      <c r="E55" s="65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60</v>
      </c>
      <c r="C56" s="6"/>
      <c r="D56" s="61">
        <v>0</v>
      </c>
      <c r="E56" s="39">
        <v>-501940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-501940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-501940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63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70</v>
      </c>
      <c r="D70" s="65">
        <v>0</v>
      </c>
      <c r="E70" s="65">
        <v>6075072.7361008003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6075072.7361008003</v>
      </c>
      <c r="J70" s="65"/>
      <c r="K70" s="38"/>
      <c r="L70" s="60">
        <f t="shared" si="20"/>
        <v>0</v>
      </c>
      <c r="M70" s="38">
        <f t="shared" si="20"/>
        <v>6075072.7361008003</v>
      </c>
    </row>
    <row r="71" spans="1:13" x14ac:dyDescent="0.25">
      <c r="A71" s="9">
        <v>31</v>
      </c>
      <c r="B71" s="3"/>
      <c r="C71" s="10" t="s">
        <v>71</v>
      </c>
      <c r="D71" s="65">
        <v>0</v>
      </c>
      <c r="E71" s="65">
        <v>-5981502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-5981502</v>
      </c>
      <c r="J71" s="65"/>
      <c r="K71" s="38"/>
      <c r="L71" s="60">
        <f t="shared" si="20"/>
        <v>0</v>
      </c>
      <c r="M71" s="38">
        <f t="shared" si="20"/>
        <v>-5981502</v>
      </c>
    </row>
    <row r="72" spans="1:13" x14ac:dyDescent="0.25">
      <c r="A72" s="9"/>
      <c r="B72" s="3"/>
      <c r="C72" s="55" t="s">
        <v>72</v>
      </c>
      <c r="D72" s="61">
        <v>0</v>
      </c>
      <c r="E72" s="39">
        <v>93570.736100800335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93570.736100800335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93570.736100800335</v>
      </c>
    </row>
    <row r="73" spans="1:13" x14ac:dyDescent="0.25">
      <c r="A73" s="9">
        <v>32</v>
      </c>
      <c r="B73" s="3"/>
      <c r="C73" s="10" t="s">
        <v>73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74</v>
      </c>
      <c r="D74" s="65">
        <v>0</v>
      </c>
      <c r="E74" s="65">
        <v>758806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758806</v>
      </c>
      <c r="J74" s="60"/>
      <c r="K74" s="38"/>
      <c r="L74" s="60">
        <f t="shared" si="23"/>
        <v>0</v>
      </c>
      <c r="M74" s="38">
        <f t="shared" si="23"/>
        <v>758806</v>
      </c>
    </row>
    <row r="75" spans="1:13" x14ac:dyDescent="0.25">
      <c r="A75" s="9">
        <v>34</v>
      </c>
      <c r="B75" s="3"/>
      <c r="C75" s="10" t="s">
        <v>75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76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77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78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79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80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81</v>
      </c>
      <c r="D81" s="65">
        <v>0</v>
      </c>
      <c r="E81" s="65">
        <v>6418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6418</v>
      </c>
      <c r="J81" s="60"/>
      <c r="K81" s="38"/>
      <c r="L81" s="60">
        <f t="shared" si="23"/>
        <v>0</v>
      </c>
      <c r="M81" s="38">
        <f t="shared" si="23"/>
        <v>6418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1437621.6211008001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1437621.6211008001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1437621.6211008001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M179"/>
  <sheetViews>
    <sheetView zoomScale="75" workbookViewId="0">
      <pane xSplit="3" ySplit="9" topLeftCell="AE61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L89" sqref="AL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9" width="15.44140625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">
        <v>187</v>
      </c>
      <c r="I8" s="27"/>
      <c r="J8" s="26" t="s">
        <v>190</v>
      </c>
      <c r="K8" s="27"/>
      <c r="L8" s="26" t="s">
        <v>192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47412133</v>
      </c>
      <c r="E11" s="38">
        <f t="shared" si="0"/>
        <v>110057376.55000001</v>
      </c>
      <c r="F11" s="60">
        <f>'TIE-OUT'!F11+RECLASS!F11</f>
        <v>0</v>
      </c>
      <c r="G11" s="38">
        <f>'TIE-OUT'!G11+RECLASS!G11</f>
        <v>-4106200.99</v>
      </c>
      <c r="H11" s="127">
        <f>+Actuals!E124</f>
        <v>47286363</v>
      </c>
      <c r="I11" s="128">
        <f>+Actuals!F124</f>
        <v>112591766.78999999</v>
      </c>
      <c r="J11" s="127">
        <f>+Actuals!G124</f>
        <v>113276</v>
      </c>
      <c r="K11" s="128">
        <f>+Actuals!H124</f>
        <v>1114369.96</v>
      </c>
      <c r="L11" s="127">
        <f>+Actuals!I124</f>
        <v>26882</v>
      </c>
      <c r="M11" s="128">
        <f>+Actuals!J124</f>
        <v>14873.01</v>
      </c>
      <c r="N11" s="127">
        <f>+Actuals!K124</f>
        <v>-20077</v>
      </c>
      <c r="O11" s="128">
        <f>+Actuals!L124</f>
        <v>-43239.74</v>
      </c>
      <c r="P11" s="127">
        <f>+Actuals!M124</f>
        <v>3723</v>
      </c>
      <c r="Q11" s="128">
        <f>+Actuals!N124</f>
        <v>8479.98</v>
      </c>
      <c r="R11" s="127">
        <f>+Actuals!O124</f>
        <v>4527</v>
      </c>
      <c r="S11" s="128">
        <f>+Actuals!P124</f>
        <v>392106.29</v>
      </c>
      <c r="T11" s="127">
        <f>+Actuals!Q124</f>
        <v>0</v>
      </c>
      <c r="U11" s="128">
        <f>+Actuals!R124</f>
        <v>-370.41</v>
      </c>
      <c r="V11" s="127">
        <f>+Actuals!S164</f>
        <v>-2561</v>
      </c>
      <c r="W11" s="128">
        <f>+Actuals!T164</f>
        <v>-15111.93</v>
      </c>
      <c r="X11" s="127">
        <f>+Actuals!U164</f>
        <v>0</v>
      </c>
      <c r="Y11" s="128">
        <f>+Actuals!V164</f>
        <v>703.59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28">
        <f>+Actuals!Z164</f>
        <v>0</v>
      </c>
      <c r="AD11" s="127">
        <f>+Actuals!AA164</f>
        <v>0</v>
      </c>
      <c r="AE11" s="157">
        <f>+Actuals!AB164+100000</f>
        <v>100000</v>
      </c>
      <c r="AF11" s="127">
        <f>+Actuals!AC164</f>
        <v>0</v>
      </c>
      <c r="AG11" s="157">
        <f>+Actuals!AD164</f>
        <v>0</v>
      </c>
      <c r="AH11" s="127">
        <f>+Actuals!AE164</f>
        <v>0</v>
      </c>
      <c r="AI11" s="157">
        <f>+Actuals!AF164</f>
        <v>0</v>
      </c>
      <c r="AJ11" s="127">
        <f>+Actuals!AG164</f>
        <v>0</v>
      </c>
      <c r="AK11" s="157">
        <f>+Actuals!AH164</f>
        <v>0</v>
      </c>
      <c r="AL11" s="127">
        <f>+Actuals!AI164</f>
        <v>0</v>
      </c>
      <c r="AM11" s="157">
        <f>+Actuals!AJ164</f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-4074325.6799999997</v>
      </c>
      <c r="F12" s="60">
        <f>'TIE-OUT'!F12+RECLASS!F12</f>
        <v>0</v>
      </c>
      <c r="G12" s="38">
        <f>'TIE-OUT'!G12+RECLASS!G12</f>
        <v>-4074325.6799999997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</f>
        <v>0</v>
      </c>
      <c r="L12" s="127">
        <f>+Actuals!I125</f>
        <v>0</v>
      </c>
      <c r="M12" s="128">
        <f>+Actuals!J125</f>
        <v>0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+Actuals!Q125</f>
        <v>0</v>
      </c>
      <c r="U12" s="128">
        <f>+Actuals!R125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  <c r="AL12" s="127">
        <f>+Actuals!AI165</f>
        <v>0</v>
      </c>
      <c r="AM12" s="128">
        <f>+Actuals!AJ165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19316173</v>
      </c>
      <c r="E13" s="38">
        <f t="shared" si="0"/>
        <v>43777409</v>
      </c>
      <c r="F13" s="60">
        <f>'TIE-OUT'!F13+RECLASS!F13</f>
        <v>0</v>
      </c>
      <c r="G13" s="38">
        <f>'TIE-OUT'!G13+RECLASS!G13</f>
        <v>0</v>
      </c>
      <c r="H13" s="127">
        <f>+Actuals!E126</f>
        <v>19316173</v>
      </c>
      <c r="I13" s="128">
        <f>+Actuals!F126</f>
        <v>43777409</v>
      </c>
      <c r="J13" s="127">
        <f>+Actuals!G126</f>
        <v>0</v>
      </c>
      <c r="K13" s="128">
        <f>+Actuals!H126</f>
        <v>0</v>
      </c>
      <c r="L13" s="127">
        <f>+Actuals!I126</f>
        <v>-1290653</v>
      </c>
      <c r="M13" s="128">
        <f>+Actuals!J126</f>
        <v>-2957288</v>
      </c>
      <c r="N13" s="127">
        <f>+Actuals!K126</f>
        <v>0</v>
      </c>
      <c r="O13" s="128">
        <f>+Actuals!L126</f>
        <v>0</v>
      </c>
      <c r="P13" s="127">
        <f>+Actuals!M126</f>
        <v>2104131</v>
      </c>
      <c r="Q13" s="128">
        <f>+Actuals!N126</f>
        <v>4777462</v>
      </c>
      <c r="R13" s="127">
        <f>+Actuals!O126</f>
        <v>2106965</v>
      </c>
      <c r="S13" s="128">
        <f>+Actuals!P126</f>
        <v>4783866</v>
      </c>
      <c r="T13" s="127">
        <f>+Actuals!Q126</f>
        <v>-2920443</v>
      </c>
      <c r="U13" s="128">
        <f>+Actuals!R126</f>
        <v>-6604040</v>
      </c>
      <c r="V13" s="127">
        <f>+Actuals!S166</f>
        <v>2920443</v>
      </c>
      <c r="W13" s="128">
        <f>+Actuals!T166</f>
        <v>6604040</v>
      </c>
      <c r="X13" s="127">
        <f>+Actuals!U166</f>
        <v>0</v>
      </c>
      <c r="Y13" s="128">
        <f>+Actuals!V166</f>
        <v>0</v>
      </c>
      <c r="Z13" s="127">
        <f>+Actuals!W166</f>
        <v>-2920443</v>
      </c>
      <c r="AA13" s="128">
        <f>+Actuals!X166</f>
        <v>-6604040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  <c r="AF13" s="127">
        <f>+Actuals!AC166</f>
        <v>0</v>
      </c>
      <c r="AG13" s="128">
        <f>+Actuals!AD166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  <c r="AL13" s="127">
        <f>+Actuals!AI166</f>
        <v>0</v>
      </c>
      <c r="AM13" s="128">
        <f>+Actuals!AJ166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+Actuals!Q127</f>
        <v>0</v>
      </c>
      <c r="U14" s="128">
        <f>+Actuals!R127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  <c r="AL14" s="127">
        <f>+Actuals!AI167</f>
        <v>0</v>
      </c>
      <c r="AM14" s="128">
        <f>+Actuals!AJ167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-2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0</v>
      </c>
      <c r="R15" s="127">
        <f>+Actuals!O128</f>
        <v>0</v>
      </c>
      <c r="S15" s="129">
        <f>+Actuals!P128</f>
        <v>0</v>
      </c>
      <c r="T15" s="127">
        <f>+Actuals!Q128</f>
        <v>0</v>
      </c>
      <c r="U15" s="129">
        <f>+Actuals!R128</f>
        <v>0</v>
      </c>
      <c r="V15" s="127">
        <f>+Actuals!S168</f>
        <v>0</v>
      </c>
      <c r="W15" s="128">
        <f>+Actuals!T168</f>
        <v>0</v>
      </c>
      <c r="X15" s="127">
        <f>+Actuals!U168</f>
        <v>0</v>
      </c>
      <c r="Y15" s="129">
        <f>+Actuals!V168</f>
        <v>-2</v>
      </c>
      <c r="Z15" s="127">
        <f>+Actuals!W168</f>
        <v>0</v>
      </c>
      <c r="AA15" s="129">
        <f>+Actuals!X168</f>
        <v>0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+Actuals!AE168</f>
        <v>0</v>
      </c>
      <c r="AI15" s="129">
        <f>+Actuals!AF168</f>
        <v>0</v>
      </c>
      <c r="AJ15" s="127">
        <f>+Actuals!AG168</f>
        <v>0</v>
      </c>
      <c r="AK15" s="129">
        <f>+Actuals!AH168</f>
        <v>0</v>
      </c>
      <c r="AL15" s="127">
        <f>+Actuals!AI168</f>
        <v>0</v>
      </c>
      <c r="AM15" s="129">
        <f>+Actuals!AJ168</f>
        <v>0</v>
      </c>
    </row>
    <row r="16" spans="1:39" x14ac:dyDescent="0.25">
      <c r="A16" s="9"/>
      <c r="B16" s="7" t="s">
        <v>33</v>
      </c>
      <c r="C16" s="6"/>
      <c r="D16" s="61">
        <f t="shared" ref="D16:I16" si="1">SUM(D11:D15)</f>
        <v>66728306</v>
      </c>
      <c r="E16" s="39">
        <f t="shared" si="1"/>
        <v>149760457.87</v>
      </c>
      <c r="F16" s="61">
        <f t="shared" si="1"/>
        <v>0</v>
      </c>
      <c r="G16" s="39">
        <f t="shared" si="1"/>
        <v>-8180526.6699999999</v>
      </c>
      <c r="H16" s="61">
        <f t="shared" si="1"/>
        <v>66602536</v>
      </c>
      <c r="I16" s="82">
        <f t="shared" si="1"/>
        <v>156369175.78999999</v>
      </c>
      <c r="J16" s="61">
        <f t="shared" ref="J16:W16" si="2">SUM(J11:J15)</f>
        <v>113276</v>
      </c>
      <c r="K16" s="82">
        <f t="shared" si="2"/>
        <v>1114369.96</v>
      </c>
      <c r="L16" s="61">
        <f t="shared" si="2"/>
        <v>-1263771</v>
      </c>
      <c r="M16" s="82">
        <f t="shared" si="2"/>
        <v>-2942414.99</v>
      </c>
      <c r="N16" s="61">
        <f t="shared" si="2"/>
        <v>-20077</v>
      </c>
      <c r="O16" s="82">
        <f t="shared" si="2"/>
        <v>-43239.74</v>
      </c>
      <c r="P16" s="61">
        <f t="shared" si="2"/>
        <v>2107854</v>
      </c>
      <c r="Q16" s="82">
        <f t="shared" si="2"/>
        <v>4785941.9800000004</v>
      </c>
      <c r="R16" s="61">
        <f t="shared" si="2"/>
        <v>2111492</v>
      </c>
      <c r="S16" s="82">
        <f t="shared" si="2"/>
        <v>5175972.29</v>
      </c>
      <c r="T16" s="61">
        <f t="shared" si="2"/>
        <v>-2920443</v>
      </c>
      <c r="U16" s="82">
        <f t="shared" si="2"/>
        <v>-6604410.4100000001</v>
      </c>
      <c r="V16" s="61">
        <f t="shared" si="2"/>
        <v>2917882</v>
      </c>
      <c r="W16" s="39">
        <f t="shared" si="2"/>
        <v>6588928.0700000003</v>
      </c>
      <c r="X16" s="61">
        <f t="shared" ref="X16:AC16" si="3">SUM(X11:X15)</f>
        <v>0</v>
      </c>
      <c r="Y16" s="82">
        <f t="shared" si="3"/>
        <v>701.59</v>
      </c>
      <c r="Z16" s="61">
        <f t="shared" si="3"/>
        <v>-2920443</v>
      </c>
      <c r="AA16" s="82">
        <f t="shared" si="3"/>
        <v>-6604040</v>
      </c>
      <c r="AB16" s="61">
        <f t="shared" si="3"/>
        <v>0</v>
      </c>
      <c r="AC16" s="82">
        <f t="shared" si="3"/>
        <v>0</v>
      </c>
      <c r="AD16" s="61">
        <f t="shared" ref="AD16:AI16" si="4">SUM(AD11:AD15)</f>
        <v>0</v>
      </c>
      <c r="AE16" s="82">
        <f t="shared" si="4"/>
        <v>100000</v>
      </c>
      <c r="AF16" s="61">
        <f t="shared" si="4"/>
        <v>0</v>
      </c>
      <c r="AG16" s="82">
        <f t="shared" si="4"/>
        <v>0</v>
      </c>
      <c r="AH16" s="61">
        <f t="shared" si="4"/>
        <v>0</v>
      </c>
      <c r="AI16" s="82">
        <f t="shared" si="4"/>
        <v>0</v>
      </c>
      <c r="AJ16" s="61">
        <f>SUM(AJ11:AJ15)</f>
        <v>0</v>
      </c>
      <c r="AK16" s="82">
        <f>SUM(AK11:AK15)</f>
        <v>0</v>
      </c>
      <c r="AL16" s="61">
        <f>SUM(AL11:AL15)</f>
        <v>0</v>
      </c>
      <c r="AM16" s="82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5">SUM(F19,H19,J19,L19,N19,P19,R19,T19,V19,X19,Z19,AB19,AD19,AF19,AH19,AJ19,AL19)</f>
        <v>-47007494</v>
      </c>
      <c r="E19" s="38">
        <f t="shared" si="5"/>
        <v>-102059200.11000003</v>
      </c>
      <c r="F19" s="64">
        <f>'TIE-OUT'!F19+RECLASS!F19</f>
        <v>0</v>
      </c>
      <c r="G19" s="68">
        <f>'TIE-OUT'!G19+RECLASS!G19</f>
        <v>56264</v>
      </c>
      <c r="H19" s="127">
        <f>+Actuals!E129</f>
        <v>-47185521</v>
      </c>
      <c r="I19" s="128">
        <f>+Actuals!F129</f>
        <v>-102895536.85000001</v>
      </c>
      <c r="J19" s="127">
        <f>+Actuals!G129</f>
        <v>344637</v>
      </c>
      <c r="K19" s="128">
        <f>+Actuals!H129</f>
        <v>717128.36</v>
      </c>
      <c r="L19" s="127">
        <f>+Actuals!I129</f>
        <v>-12079</v>
      </c>
      <c r="M19" s="128">
        <f>+Actuals!J129</f>
        <v>-39179.64</v>
      </c>
      <c r="N19" s="127">
        <f>+Actuals!K129</f>
        <v>19452</v>
      </c>
      <c r="O19" s="128">
        <f>+Actuals!L129</f>
        <v>189144.93</v>
      </c>
      <c r="P19" s="127">
        <f>+Actuals!M129</f>
        <v>-161037</v>
      </c>
      <c r="Q19" s="128">
        <f>+Actuals!N129</f>
        <v>-354983.46</v>
      </c>
      <c r="R19" s="127">
        <f>+Actuals!O129</f>
        <v>-26689</v>
      </c>
      <c r="S19" s="128">
        <f>+Actuals!P129</f>
        <v>-57333.04</v>
      </c>
      <c r="T19" s="127">
        <f>+Actuals!Q129</f>
        <v>0</v>
      </c>
      <c r="U19" s="128">
        <f>+Actuals!R129</f>
        <v>202496.46</v>
      </c>
      <c r="V19" s="127">
        <f>+Actuals!S169</f>
        <v>13856</v>
      </c>
      <c r="W19" s="128">
        <f>+Actuals!T169</f>
        <v>80184.039999999994</v>
      </c>
      <c r="X19" s="127">
        <f>+Actuals!U169</f>
        <v>0</v>
      </c>
      <c r="Y19" s="128">
        <f>+Actuals!V169</f>
        <v>7040.69</v>
      </c>
      <c r="Z19" s="127">
        <f>+Actuals!W169</f>
        <v>-128</v>
      </c>
      <c r="AA19" s="128">
        <f>+Actuals!X169</f>
        <v>-3525.73</v>
      </c>
      <c r="AB19" s="127">
        <f>+Actuals!Y169</f>
        <v>0</v>
      </c>
      <c r="AC19" s="128">
        <f>+Actuals!Z169</f>
        <v>22484.240000000002</v>
      </c>
      <c r="AD19" s="127">
        <f>+Actuals!AA169</f>
        <v>0</v>
      </c>
      <c r="AE19" s="128">
        <f>+Actuals!AB169</f>
        <v>12053.7</v>
      </c>
      <c r="AF19" s="127">
        <f>+Actuals!AC169</f>
        <v>15</v>
      </c>
      <c r="AG19" s="128">
        <f>+Actuals!AD169</f>
        <v>-12021.93</v>
      </c>
      <c r="AH19" s="127">
        <f>-232479+225039</f>
        <v>-7440</v>
      </c>
      <c r="AI19" s="128">
        <f>-481705.81+486489.31</f>
        <v>4783.5</v>
      </c>
      <c r="AJ19" s="127">
        <v>7440</v>
      </c>
      <c r="AK19" s="128">
        <v>-10774.09</v>
      </c>
      <c r="AL19" s="127"/>
      <c r="AM19" s="128">
        <v>22574.71</v>
      </c>
    </row>
    <row r="20" spans="1:39" x14ac:dyDescent="0.25">
      <c r="A20" s="9">
        <v>7</v>
      </c>
      <c r="B20" s="7"/>
      <c r="C20" s="18" t="s">
        <v>29</v>
      </c>
      <c r="D20" s="60">
        <f t="shared" si="5"/>
        <v>0</v>
      </c>
      <c r="E20" s="38">
        <f t="shared" si="5"/>
        <v>-433851.42000000004</v>
      </c>
      <c r="F20" s="60">
        <f>'TIE-OUT'!F20+RECLASS!F20</f>
        <v>0</v>
      </c>
      <c r="G20" s="38">
        <f>'TIE-OUT'!G20+RECLASS!G20</f>
        <v>-433851.42000000004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+Actuals!Q130</f>
        <v>0</v>
      </c>
      <c r="U20" s="128">
        <f>+Actuals!R130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  <c r="AL20" s="127">
        <f>+Actuals!AI170</f>
        <v>0</v>
      </c>
      <c r="AM20" s="128">
        <f>+Actuals!AJ170</f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5"/>
        <v>-20543940</v>
      </c>
      <c r="E21" s="38">
        <f t="shared" si="5"/>
        <v>-46460998</v>
      </c>
      <c r="F21" s="60">
        <f>'TIE-OUT'!F21+RECLASS!F21</f>
        <v>0</v>
      </c>
      <c r="G21" s="38">
        <f>'TIE-OUT'!G21+RECLASS!G21</f>
        <v>0</v>
      </c>
      <c r="H21" s="127">
        <f>+Actuals!E131</f>
        <v>-20543940</v>
      </c>
      <c r="I21" s="128">
        <f>+Actuals!F131</f>
        <v>-46460998</v>
      </c>
      <c r="J21" s="127">
        <f>+Actuals!G131</f>
        <v>0</v>
      </c>
      <c r="K21" s="128">
        <f>+Actuals!H131</f>
        <v>0</v>
      </c>
      <c r="L21" s="127">
        <f>+Actuals!I131</f>
        <v>3086211</v>
      </c>
      <c r="M21" s="128">
        <f>+Actuals!J131</f>
        <v>7038927</v>
      </c>
      <c r="N21" s="127">
        <f>+Actuals!K131</f>
        <v>0</v>
      </c>
      <c r="O21" s="128">
        <f>+Actuals!L131</f>
        <v>0</v>
      </c>
      <c r="P21" s="127">
        <f>+Actuals!M131</f>
        <v>-2104131</v>
      </c>
      <c r="Q21" s="128">
        <f>+Actuals!N131</f>
        <v>-4777462</v>
      </c>
      <c r="R21" s="127">
        <f>+Actuals!O131</f>
        <v>-2106965</v>
      </c>
      <c r="S21" s="128">
        <f>+Actuals!P131</f>
        <v>-4783866</v>
      </c>
      <c r="T21" s="127">
        <f>+Actuals!Q131</f>
        <v>1124885</v>
      </c>
      <c r="U21" s="128">
        <f>+Actuals!R131</f>
        <v>2522401</v>
      </c>
      <c r="V21" s="127">
        <f>+Actuals!S171</f>
        <v>-1124885</v>
      </c>
      <c r="W21" s="128">
        <f>+Actuals!T171</f>
        <v>-2522401</v>
      </c>
      <c r="X21" s="127">
        <f>+Actuals!U171</f>
        <v>0</v>
      </c>
      <c r="Y21" s="128">
        <f>+Actuals!V171</f>
        <v>0</v>
      </c>
      <c r="Z21" s="127">
        <f>+Actuals!W171</f>
        <v>1124885</v>
      </c>
      <c r="AA21" s="128">
        <f>+Actuals!X171</f>
        <v>2522401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  <c r="AF21" s="127">
        <f>+Actuals!AC171</f>
        <v>0</v>
      </c>
      <c r="AG21" s="128">
        <f>+Actuals!AD171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  <c r="AL21" s="127">
        <f>+Actuals!AI171</f>
        <v>0</v>
      </c>
      <c r="AM21" s="128">
        <f>+Actuals!AJ171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+Actuals!Q132</f>
        <v>0</v>
      </c>
      <c r="U22" s="128">
        <f>+Actuals!R132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  <c r="AL22" s="127">
        <f>+Actuals!AI172</f>
        <v>0</v>
      </c>
      <c r="AM22" s="128">
        <f>+Actuals!AJ172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5"/>
        <v>289057</v>
      </c>
      <c r="E23" s="38">
        <f t="shared" si="5"/>
        <v>381632.30980000005</v>
      </c>
      <c r="F23" s="81">
        <f>'TIE-OUT'!F23+RECLASS!F23</f>
        <v>0</v>
      </c>
      <c r="G23" s="82">
        <f>'TIE-OUT'!G23+RECLASS!G23</f>
        <v>0</v>
      </c>
      <c r="H23" s="127">
        <f>+Actuals!E133</f>
        <v>546190</v>
      </c>
      <c r="I23" s="129">
        <f>+Actuals!F133</f>
        <v>1180753.54</v>
      </c>
      <c r="J23" s="127">
        <f>+Actuals!G133</f>
        <v>-32255</v>
      </c>
      <c r="K23" s="129">
        <f>+Actuals!H133</f>
        <v>-69735.31</v>
      </c>
      <c r="L23" s="127">
        <f>+Actuals!I133</f>
        <v>0</v>
      </c>
      <c r="M23" s="129">
        <f>+Actuals!J133</f>
        <v>0</v>
      </c>
      <c r="N23" s="127">
        <f>+Actuals!K133</f>
        <v>-6</v>
      </c>
      <c r="O23" s="129">
        <f>+Actuals!L133</f>
        <v>-12.970800000000001</v>
      </c>
      <c r="P23" s="127">
        <f>+Actuals!M133</f>
        <v>0</v>
      </c>
      <c r="Q23" s="129">
        <f>+Actuals!N133</f>
        <v>0</v>
      </c>
      <c r="R23" s="127">
        <f>+Actuals!O133</f>
        <v>84</v>
      </c>
      <c r="S23" s="129">
        <f>+Actuals!P133</f>
        <v>181.59119999999999</v>
      </c>
      <c r="T23" s="127">
        <f>+Actuals!Q133</f>
        <v>-1</v>
      </c>
      <c r="U23" s="129">
        <f>+Actuals!R133</f>
        <v>-2.1617999999999999</v>
      </c>
      <c r="V23" s="127">
        <f>+Actuals!S173</f>
        <v>-69</v>
      </c>
      <c r="W23" s="128">
        <f>+Actuals!T173</f>
        <v>-149.16419999999999</v>
      </c>
      <c r="X23" s="127">
        <f>+Actuals!U173</f>
        <v>0</v>
      </c>
      <c r="Y23" s="129">
        <f>+Actuals!V173</f>
        <v>0</v>
      </c>
      <c r="Z23" s="127">
        <f>+Actuals!W173</f>
        <v>24</v>
      </c>
      <c r="AA23" s="129">
        <f>+Actuals!X173</f>
        <v>51.883200000000002</v>
      </c>
      <c r="AB23" s="127">
        <f>+Actuals!Y173</f>
        <v>0</v>
      </c>
      <c r="AC23" s="129">
        <f>+Actuals!Z173</f>
        <v>0</v>
      </c>
      <c r="AD23" s="127">
        <f>+Actuals!AA173</f>
        <v>0</v>
      </c>
      <c r="AE23" s="129">
        <f>+Actuals!AB173</f>
        <v>0</v>
      </c>
      <c r="AF23" s="127">
        <f>+Actuals!AC173</f>
        <v>129</v>
      </c>
      <c r="AG23" s="129">
        <f>+Actuals!AD173</f>
        <v>278.87220000000002</v>
      </c>
      <c r="AH23" s="127">
        <v>-225039</v>
      </c>
      <c r="AI23" s="129">
        <v>-486489.31</v>
      </c>
      <c r="AJ23" s="127">
        <v>0</v>
      </c>
      <c r="AK23" s="129">
        <v>0</v>
      </c>
      <c r="AL23" s="127">
        <v>0</v>
      </c>
      <c r="AM23" s="129">
        <v>-243244.66</v>
      </c>
    </row>
    <row r="24" spans="1:39" x14ac:dyDescent="0.25">
      <c r="A24" s="9"/>
      <c r="B24" s="7" t="s">
        <v>36</v>
      </c>
      <c r="C24" s="6"/>
      <c r="D24" s="61">
        <f t="shared" ref="D24:I24" si="6">SUM(D19:D23)</f>
        <v>-67262377</v>
      </c>
      <c r="E24" s="39">
        <f t="shared" si="6"/>
        <v>-148572417.22020003</v>
      </c>
      <c r="F24" s="61">
        <f t="shared" si="6"/>
        <v>0</v>
      </c>
      <c r="G24" s="39">
        <f t="shared" si="6"/>
        <v>-377587.42000000004</v>
      </c>
      <c r="H24" s="61">
        <f t="shared" si="6"/>
        <v>-67183271</v>
      </c>
      <c r="I24" s="39">
        <f t="shared" si="6"/>
        <v>-148175781.31000003</v>
      </c>
      <c r="J24" s="61">
        <f t="shared" ref="J24:W24" si="7">SUM(J19:J23)</f>
        <v>312382</v>
      </c>
      <c r="K24" s="39">
        <f t="shared" si="7"/>
        <v>647393.05000000005</v>
      </c>
      <c r="L24" s="61">
        <f t="shared" si="7"/>
        <v>3074132</v>
      </c>
      <c r="M24" s="39">
        <f t="shared" si="7"/>
        <v>6999747.3600000003</v>
      </c>
      <c r="N24" s="61">
        <f t="shared" si="7"/>
        <v>19446</v>
      </c>
      <c r="O24" s="39">
        <f t="shared" si="7"/>
        <v>189131.95919999998</v>
      </c>
      <c r="P24" s="61">
        <f t="shared" si="7"/>
        <v>-2265168</v>
      </c>
      <c r="Q24" s="39">
        <f t="shared" si="7"/>
        <v>-5132445.46</v>
      </c>
      <c r="R24" s="61">
        <f t="shared" si="7"/>
        <v>-2133570</v>
      </c>
      <c r="S24" s="39">
        <f t="shared" si="7"/>
        <v>-4841017.4488000004</v>
      </c>
      <c r="T24" s="61">
        <f t="shared" si="7"/>
        <v>1124884</v>
      </c>
      <c r="U24" s="39">
        <f t="shared" si="7"/>
        <v>2724895.2982000001</v>
      </c>
      <c r="V24" s="61">
        <f t="shared" si="7"/>
        <v>-1111098</v>
      </c>
      <c r="W24" s="39">
        <f t="shared" si="7"/>
        <v>-2442366.1242</v>
      </c>
      <c r="X24" s="61">
        <f t="shared" ref="X24:AC24" si="8">SUM(X19:X23)</f>
        <v>0</v>
      </c>
      <c r="Y24" s="39">
        <f t="shared" si="8"/>
        <v>7040.69</v>
      </c>
      <c r="Z24" s="61">
        <f t="shared" si="8"/>
        <v>1124781</v>
      </c>
      <c r="AA24" s="39">
        <f t="shared" si="8"/>
        <v>2518927.1532000001</v>
      </c>
      <c r="AB24" s="61">
        <f t="shared" si="8"/>
        <v>0</v>
      </c>
      <c r="AC24" s="39">
        <f t="shared" si="8"/>
        <v>22484.240000000002</v>
      </c>
      <c r="AD24" s="61">
        <f t="shared" ref="AD24:AI24" si="9">SUM(AD19:AD23)</f>
        <v>0</v>
      </c>
      <c r="AE24" s="39">
        <f t="shared" si="9"/>
        <v>12053.7</v>
      </c>
      <c r="AF24" s="61">
        <f t="shared" si="9"/>
        <v>144</v>
      </c>
      <c r="AG24" s="39">
        <f t="shared" si="9"/>
        <v>-11743.0578</v>
      </c>
      <c r="AH24" s="61">
        <f t="shared" si="9"/>
        <v>-232479</v>
      </c>
      <c r="AI24" s="39">
        <f t="shared" si="9"/>
        <v>-481705.81</v>
      </c>
      <c r="AJ24" s="61">
        <f>SUM(AJ19:AJ23)</f>
        <v>7440</v>
      </c>
      <c r="AK24" s="39">
        <f>SUM(AK19:AK23)</f>
        <v>-10774.09</v>
      </c>
      <c r="AL24" s="61">
        <f>SUM(AL19:AL23)</f>
        <v>0</v>
      </c>
      <c r="AM24" s="39">
        <f>SUM(AM19:AM23)</f>
        <v>-220669.95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425962</v>
      </c>
      <c r="E27" s="38">
        <f>SUM(G27,I27,K27,M27,O27,Q27,S27,U27,W27,Y27,AA27,AC27,AE27,AG27,AI27,AK27,AM27)</f>
        <v>982897.53</v>
      </c>
      <c r="F27" s="64">
        <f>'TIE-OUT'!F27+RECLASS!F27</f>
        <v>0</v>
      </c>
      <c r="G27" s="68">
        <f>'TIE-OUT'!G27+RECLASS!G27</f>
        <v>0</v>
      </c>
      <c r="H27" s="127">
        <f>+Actuals!E134</f>
        <v>425962</v>
      </c>
      <c r="I27" s="128">
        <f>+Actuals!F134</f>
        <v>982897.53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+Actuals!Q134</f>
        <v>0</v>
      </c>
      <c r="U27" s="128">
        <f>+Actuals!R134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  <c r="AL27" s="127">
        <f>+Actuals!AI174</f>
        <v>0</v>
      </c>
      <c r="AM27" s="128">
        <f>+Actuals!AJ174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-2380</v>
      </c>
      <c r="E28" s="38">
        <f>SUM(G28,I28,K28,M28,O28,Q28,S28,U28,W28,Y28,AA28,AC28,AE28,AG28,AI28,AK28,AM28)</f>
        <v>-5144.6099999999997</v>
      </c>
      <c r="F28" s="81">
        <f>'TIE-OUT'!F28+RECLASS!F28</f>
        <v>0</v>
      </c>
      <c r="G28" s="82">
        <f>'TIE-OUT'!G28+RECLASS!G28</f>
        <v>0</v>
      </c>
      <c r="H28" s="127">
        <f>+Actuals!E135</f>
        <v>-2380</v>
      </c>
      <c r="I28" s="128">
        <f>+Actuals!F135</f>
        <v>-5144.6099999999997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+Actuals!Q135</f>
        <v>0</v>
      </c>
      <c r="U28" s="128">
        <f>+Actuals!R135</f>
        <v>0</v>
      </c>
      <c r="V28" s="127">
        <f>+Actuals!S175</f>
        <v>0</v>
      </c>
      <c r="W28" s="128">
        <f>+Actuals!T175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  <c r="AL28" s="127">
        <f>+Actuals!AI175</f>
        <v>0</v>
      </c>
      <c r="AM28" s="128">
        <f>+Actuals!AJ175</f>
        <v>0</v>
      </c>
    </row>
    <row r="29" spans="1:39" x14ac:dyDescent="0.25">
      <c r="A29" s="9"/>
      <c r="B29" s="7" t="s">
        <v>40</v>
      </c>
      <c r="C29" s="18"/>
      <c r="D29" s="61">
        <f t="shared" ref="D29:I29" si="10">SUM(D27:D28)</f>
        <v>423582</v>
      </c>
      <c r="E29" s="39">
        <f t="shared" si="10"/>
        <v>977752.92</v>
      </c>
      <c r="F29" s="61">
        <f t="shared" si="10"/>
        <v>0</v>
      </c>
      <c r="G29" s="39">
        <f t="shared" si="10"/>
        <v>0</v>
      </c>
      <c r="H29" s="61">
        <f t="shared" si="10"/>
        <v>423582</v>
      </c>
      <c r="I29" s="39">
        <f t="shared" si="10"/>
        <v>977752.92</v>
      </c>
      <c r="J29" s="61">
        <f t="shared" ref="J29:W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si="11"/>
        <v>0</v>
      </c>
      <c r="W29" s="39">
        <f t="shared" si="11"/>
        <v>0</v>
      </c>
      <c r="X29" s="61">
        <f t="shared" ref="X29:AC29" si="12">SUM(X27:X28)</f>
        <v>0</v>
      </c>
      <c r="Y29" s="39">
        <f t="shared" si="12"/>
        <v>0</v>
      </c>
      <c r="Z29" s="61">
        <f t="shared" si="12"/>
        <v>0</v>
      </c>
      <c r="AA29" s="39">
        <f t="shared" si="12"/>
        <v>0</v>
      </c>
      <c r="AB29" s="61">
        <f t="shared" si="12"/>
        <v>0</v>
      </c>
      <c r="AC29" s="39">
        <f t="shared" si="12"/>
        <v>0</v>
      </c>
      <c r="AD29" s="61">
        <f t="shared" ref="AD29:AI29" si="13">SUM(AD27:AD28)</f>
        <v>0</v>
      </c>
      <c r="AE29" s="39">
        <f t="shared" si="13"/>
        <v>0</v>
      </c>
      <c r="AF29" s="61">
        <f t="shared" si="13"/>
        <v>0</v>
      </c>
      <c r="AG29" s="39">
        <f t="shared" si="13"/>
        <v>0</v>
      </c>
      <c r="AH29" s="61">
        <f t="shared" si="13"/>
        <v>0</v>
      </c>
      <c r="AI29" s="39">
        <f t="shared" si="13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4">SUM(F32,H32,J32,L32,N32,P32,R32,T32,V32,X32,Z32,AB32,AD32,AF32,AH32,AJ32,AL32)</f>
        <v>-24378</v>
      </c>
      <c r="E32" s="38">
        <f t="shared" si="14"/>
        <v>-52748.675199999998</v>
      </c>
      <c r="F32" s="64">
        <f>'TIE-OUT'!F32+RECLASS!F32</f>
        <v>0</v>
      </c>
      <c r="G32" s="68">
        <f>'TIE-OUT'!G32+RECLASS!G32</f>
        <v>0</v>
      </c>
      <c r="H32" s="127">
        <f>+Actuals!E136</f>
        <v>31172</v>
      </c>
      <c r="I32" s="128">
        <f>+Actuals!F136</f>
        <v>67387.63</v>
      </c>
      <c r="J32" s="127">
        <f>+Actuals!G136</f>
        <v>-47906</v>
      </c>
      <c r="K32" s="128">
        <f>+Actuals!H136</f>
        <v>-106638.76</v>
      </c>
      <c r="L32" s="127">
        <f>+Actuals!I136</f>
        <v>59775</v>
      </c>
      <c r="M32" s="128">
        <f>+Actuals!J136</f>
        <v>149413.85</v>
      </c>
      <c r="N32" s="127">
        <f>+Actuals!K136</f>
        <v>-11863</v>
      </c>
      <c r="O32" s="128">
        <f>+Actuals!L136</f>
        <v>-42759.59</v>
      </c>
      <c r="P32" s="127">
        <f>+Actuals!M136</f>
        <v>-11173</v>
      </c>
      <c r="Q32" s="128">
        <f>+Actuals!N136</f>
        <v>-24158.12</v>
      </c>
      <c r="R32" s="127">
        <f>+Actuals!O136</f>
        <v>-232566</v>
      </c>
      <c r="S32" s="128">
        <f>+Actuals!P136</f>
        <v>-502807.69400000002</v>
      </c>
      <c r="T32" s="127">
        <f>+Actuals!Q136</f>
        <v>-3209</v>
      </c>
      <c r="U32" s="128">
        <f>+Actuals!R136</f>
        <v>-6937.2161999999998</v>
      </c>
      <c r="V32" s="127">
        <f>+Actuals!S176</f>
        <v>-6001</v>
      </c>
      <c r="W32" s="128">
        <f>+Actuals!T176</f>
        <v>-12972.961799999999</v>
      </c>
      <c r="X32" s="127">
        <f>+Actuals!U176</f>
        <v>-31172</v>
      </c>
      <c r="Y32" s="128">
        <f>+Actuals!V176</f>
        <v>-67387.63</v>
      </c>
      <c r="Z32" s="127">
        <f>+Actuals!W176</f>
        <v>4614</v>
      </c>
      <c r="AA32" s="128">
        <f>+Actuals!X176</f>
        <v>9974.5452000000005</v>
      </c>
      <c r="AB32" s="127">
        <f>+Actuals!Y176</f>
        <v>0</v>
      </c>
      <c r="AC32" s="128">
        <f>+Actuals!Z176</f>
        <v>0</v>
      </c>
      <c r="AD32" s="127">
        <f>+Actuals!AA176</f>
        <v>-943</v>
      </c>
      <c r="AE32" s="128">
        <f>+Actuals!AB176</f>
        <v>-2038.5773999999999</v>
      </c>
      <c r="AF32" s="127">
        <f>+Actuals!AC176</f>
        <v>-145</v>
      </c>
      <c r="AG32" s="128">
        <f>+Actuals!AD176</f>
        <v>-313.46100000000001</v>
      </c>
      <c r="AH32" s="127">
        <v>225039</v>
      </c>
      <c r="AI32" s="128">
        <v>486489.31</v>
      </c>
      <c r="AJ32" s="127">
        <v>0</v>
      </c>
      <c r="AK32" s="128">
        <v>0</v>
      </c>
      <c r="AL32" s="127">
        <v>0</v>
      </c>
      <c r="AM32" s="128">
        <v>0</v>
      </c>
    </row>
    <row r="33" spans="1:39" x14ac:dyDescent="0.25">
      <c r="A33" s="9">
        <v>14</v>
      </c>
      <c r="B33" s="7"/>
      <c r="C33" s="18" t="s">
        <v>43</v>
      </c>
      <c r="D33" s="60">
        <f t="shared" si="14"/>
        <v>-18636</v>
      </c>
      <c r="E33" s="38">
        <f t="shared" si="14"/>
        <v>-41604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0</v>
      </c>
      <c r="O33" s="128">
        <f>+Actuals!L137</f>
        <v>0</v>
      </c>
      <c r="P33" s="127">
        <f>+Actuals!M137</f>
        <v>-13885</v>
      </c>
      <c r="Q33" s="128">
        <f>+Actuals!N137</f>
        <v>-31337.65</v>
      </c>
      <c r="R33" s="127">
        <f>+Actuals!O137</f>
        <v>0</v>
      </c>
      <c r="S33" s="128">
        <f>+Actuals!P137</f>
        <v>0</v>
      </c>
      <c r="T33" s="127">
        <f>+Actuals!Q137</f>
        <v>-2</v>
      </c>
      <c r="U33" s="128">
        <f>+Actuals!R137</f>
        <v>-4.43</v>
      </c>
      <c r="V33" s="127">
        <f>+Actuals!S177</f>
        <v>0</v>
      </c>
      <c r="W33" s="128">
        <f>+Actuals!T177</f>
        <v>0</v>
      </c>
      <c r="X33" s="127">
        <f>+Actuals!U177</f>
        <v>0</v>
      </c>
      <c r="Y33" s="128">
        <f>+Actuals!V177</f>
        <v>0</v>
      </c>
      <c r="Z33" s="127">
        <f>+Actuals!W177</f>
        <v>-4749</v>
      </c>
      <c r="AA33" s="128">
        <f>+Actuals!X177</f>
        <v>-10261.92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  <c r="AF33" s="127">
        <f>+Actuals!AC177</f>
        <v>0</v>
      </c>
      <c r="AG33" s="128">
        <f>+Actuals!AD177</f>
        <v>0</v>
      </c>
      <c r="AH33" s="127">
        <f>+Actuals!AE177</f>
        <v>0</v>
      </c>
      <c r="AI33" s="128">
        <f>+Actuals!AF177</f>
        <v>0</v>
      </c>
      <c r="AJ33" s="127">
        <f>+Actuals!AG177</f>
        <v>0</v>
      </c>
      <c r="AK33" s="128">
        <f>+Actuals!AH177</f>
        <v>0</v>
      </c>
      <c r="AL33" s="127">
        <f>+Actuals!AI177</f>
        <v>0</v>
      </c>
      <c r="AM33" s="128">
        <f>+Actuals!AJ177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4"/>
        <v>6125</v>
      </c>
      <c r="E34" s="38">
        <f t="shared" si="14"/>
        <v>13434.849999999999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0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0</v>
      </c>
      <c r="O34" s="128">
        <f>+Actuals!L138</f>
        <v>0</v>
      </c>
      <c r="P34" s="127">
        <f>+Actuals!M138</f>
        <v>0</v>
      </c>
      <c r="Q34" s="128">
        <f>+Actuals!N138</f>
        <v>0</v>
      </c>
      <c r="R34" s="127">
        <f>+Actuals!O138</f>
        <v>0</v>
      </c>
      <c r="S34" s="128">
        <f>+Actuals!P138</f>
        <v>0</v>
      </c>
      <c r="T34" s="127">
        <f>+Actuals!Q138</f>
        <v>3637</v>
      </c>
      <c r="U34" s="128">
        <f>+Actuals!R138</f>
        <v>8131.28</v>
      </c>
      <c r="V34" s="127">
        <f>+Actuals!S178</f>
        <v>0</v>
      </c>
      <c r="W34" s="128">
        <f>+Actuals!T178</f>
        <v>0</v>
      </c>
      <c r="X34" s="127">
        <f>+Actuals!U178</f>
        <v>0</v>
      </c>
      <c r="Y34" s="128">
        <f>+Actuals!V178</f>
        <v>0</v>
      </c>
      <c r="Z34" s="127">
        <f>+Actuals!W178</f>
        <v>2488</v>
      </c>
      <c r="AA34" s="128">
        <f>+Actuals!X178</f>
        <v>5303.57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  <c r="AF34" s="127">
        <f>+Actuals!AC178</f>
        <v>0</v>
      </c>
      <c r="AG34" s="128">
        <f>+Actuals!AD178</f>
        <v>0</v>
      </c>
      <c r="AH34" s="127">
        <f>+Actuals!AE178</f>
        <v>0</v>
      </c>
      <c r="AI34" s="128">
        <f>+Actuals!AF178</f>
        <v>0</v>
      </c>
      <c r="AJ34" s="127">
        <f>+Actuals!AG178</f>
        <v>0</v>
      </c>
      <c r="AK34" s="128">
        <f>+Actuals!AH178</f>
        <v>0</v>
      </c>
      <c r="AL34" s="127">
        <f>+Actuals!AI178</f>
        <v>0</v>
      </c>
      <c r="AM34" s="128">
        <f>+Actuals!AJ178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4"/>
        <v>0</v>
      </c>
      <c r="E35" s="38">
        <f t="shared" si="14"/>
        <v>-0.02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-0.01</v>
      </c>
      <c r="J35" s="127">
        <f>+Actuals!G139</f>
        <v>26915</v>
      </c>
      <c r="K35" s="128">
        <f>+Actuals!H139</f>
        <v>0</v>
      </c>
      <c r="L35" s="127">
        <f>+Actuals!I139</f>
        <v>-26915</v>
      </c>
      <c r="M35" s="128">
        <f>+Actuals!J139</f>
        <v>-0.01</v>
      </c>
      <c r="N35" s="127">
        <f>+Actuals!K139</f>
        <v>0</v>
      </c>
      <c r="O35" s="128">
        <f>+Actuals!L139</f>
        <v>0</v>
      </c>
      <c r="P35" s="127">
        <f>+Actuals!M139</f>
        <v>0</v>
      </c>
      <c r="Q35" s="128">
        <f>+Actuals!N139</f>
        <v>0</v>
      </c>
      <c r="R35" s="127">
        <f>+Actuals!O139</f>
        <v>0</v>
      </c>
      <c r="S35" s="128">
        <f>+Actuals!P139</f>
        <v>0</v>
      </c>
      <c r="T35" s="127">
        <f>+Actuals!Q139</f>
        <v>0</v>
      </c>
      <c r="U35" s="128">
        <f>+Actuals!R139</f>
        <v>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  <c r="AL35" s="127">
        <f>+Actuals!AI179</f>
        <v>0</v>
      </c>
      <c r="AM35" s="128">
        <f>+Actuals!AJ179</f>
        <v>0</v>
      </c>
    </row>
    <row r="36" spans="1:39" x14ac:dyDescent="0.25">
      <c r="A36" s="9"/>
      <c r="B36" s="7" t="s">
        <v>46</v>
      </c>
      <c r="C36" s="6"/>
      <c r="D36" s="61">
        <f t="shared" ref="D36:I36" si="15">SUM(D32:D35)</f>
        <v>-36889</v>
      </c>
      <c r="E36" s="39">
        <f t="shared" si="15"/>
        <v>-80917.845199999996</v>
      </c>
      <c r="F36" s="61">
        <f t="shared" si="15"/>
        <v>0</v>
      </c>
      <c r="G36" s="39">
        <f t="shared" si="15"/>
        <v>0</v>
      </c>
      <c r="H36" s="61">
        <f t="shared" si="15"/>
        <v>31172</v>
      </c>
      <c r="I36" s="39">
        <f t="shared" si="15"/>
        <v>67387.62000000001</v>
      </c>
      <c r="J36" s="61">
        <f t="shared" ref="J36:W36" si="16">SUM(J32:J35)</f>
        <v>-20991</v>
      </c>
      <c r="K36" s="39">
        <f t="shared" si="16"/>
        <v>-106638.76</v>
      </c>
      <c r="L36" s="61">
        <f t="shared" si="16"/>
        <v>32860</v>
      </c>
      <c r="M36" s="39">
        <f t="shared" si="16"/>
        <v>149413.84</v>
      </c>
      <c r="N36" s="61">
        <f t="shared" si="16"/>
        <v>-11863</v>
      </c>
      <c r="O36" s="39">
        <f t="shared" si="16"/>
        <v>-42759.59</v>
      </c>
      <c r="P36" s="61">
        <f t="shared" si="16"/>
        <v>-25058</v>
      </c>
      <c r="Q36" s="39">
        <f t="shared" si="16"/>
        <v>-55495.770000000004</v>
      </c>
      <c r="R36" s="61">
        <f t="shared" si="16"/>
        <v>-232566</v>
      </c>
      <c r="S36" s="39">
        <f t="shared" si="16"/>
        <v>-502807.69400000002</v>
      </c>
      <c r="T36" s="61">
        <f t="shared" si="16"/>
        <v>426</v>
      </c>
      <c r="U36" s="39">
        <f t="shared" si="16"/>
        <v>1189.6337999999996</v>
      </c>
      <c r="V36" s="61">
        <f t="shared" si="16"/>
        <v>-6001</v>
      </c>
      <c r="W36" s="39">
        <f t="shared" si="16"/>
        <v>-12972.961799999999</v>
      </c>
      <c r="X36" s="61">
        <f t="shared" ref="X36:AC36" si="17">SUM(X32:X35)</f>
        <v>-31172</v>
      </c>
      <c r="Y36" s="39">
        <f t="shared" si="17"/>
        <v>-67387.63</v>
      </c>
      <c r="Z36" s="61">
        <f t="shared" si="17"/>
        <v>2353</v>
      </c>
      <c r="AA36" s="39">
        <f t="shared" si="17"/>
        <v>5016.1952000000001</v>
      </c>
      <c r="AB36" s="61">
        <f t="shared" si="17"/>
        <v>0</v>
      </c>
      <c r="AC36" s="39">
        <f t="shared" si="17"/>
        <v>0</v>
      </c>
      <c r="AD36" s="61">
        <f t="shared" ref="AD36:AI36" si="18">SUM(AD32:AD35)</f>
        <v>-943</v>
      </c>
      <c r="AE36" s="39">
        <f t="shared" si="18"/>
        <v>-2038.5773999999999</v>
      </c>
      <c r="AF36" s="61">
        <f t="shared" si="18"/>
        <v>-145</v>
      </c>
      <c r="AG36" s="39">
        <f t="shared" si="18"/>
        <v>-313.46100000000001</v>
      </c>
      <c r="AH36" s="61">
        <f t="shared" si="18"/>
        <v>225039</v>
      </c>
      <c r="AI36" s="39">
        <f t="shared" si="18"/>
        <v>486489.31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9">SUM(F39,H39,J39,L39,N39,P39,R39,T39,V39,X39,Z39,AB39,AD39,AF39,AH39,AJ39,AL39)</f>
        <v>475679</v>
      </c>
      <c r="E39" s="38">
        <f t="shared" si="19"/>
        <v>1028332.6399999999</v>
      </c>
      <c r="F39" s="64">
        <f>'TIE-OUT'!F39+RECLASS!F39</f>
        <v>0</v>
      </c>
      <c r="G39" s="68">
        <f>'TIE-OUT'!G39+RECLASS!G39</f>
        <v>0</v>
      </c>
      <c r="H39" s="127">
        <f>+Actuals!E140</f>
        <v>418153</v>
      </c>
      <c r="I39" s="128">
        <f>+Actuals!F140</f>
        <v>903963.15</v>
      </c>
      <c r="J39" s="127">
        <f>+Actuals!G140</f>
        <v>8586</v>
      </c>
      <c r="K39" s="128">
        <f>+Actuals!H140</f>
        <v>18561.21</v>
      </c>
      <c r="L39" s="127">
        <f>+Actuals!I140</f>
        <v>-1</v>
      </c>
      <c r="M39" s="128">
        <f>+Actuals!J140</f>
        <v>-2.16</v>
      </c>
      <c r="N39" s="127">
        <f>+Actuals!K140</f>
        <v>0</v>
      </c>
      <c r="O39" s="128">
        <f>+Actuals!L140</f>
        <v>0</v>
      </c>
      <c r="P39" s="127">
        <f>+Actuals!M140</f>
        <v>0</v>
      </c>
      <c r="Q39" s="128">
        <f>+Actuals!N140</f>
        <v>0</v>
      </c>
      <c r="R39" s="127">
        <f>+Actuals!O140</f>
        <v>0</v>
      </c>
      <c r="S39" s="128">
        <f>+Actuals!P140</f>
        <v>0</v>
      </c>
      <c r="T39" s="127">
        <f>+Actuals!Q140</f>
        <v>0</v>
      </c>
      <c r="U39" s="128">
        <f>+Actuals!R140</f>
        <v>0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  <c r="AL39" s="127">
        <v>48941</v>
      </c>
      <c r="AM39" s="128">
        <v>105810.44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9"/>
        <v>-15004</v>
      </c>
      <c r="E40" s="38">
        <f t="shared" si="19"/>
        <v>-33999.19</v>
      </c>
      <c r="F40" s="60">
        <f>'TIE-OUT'!F40+RECLASS!F40</f>
        <v>0</v>
      </c>
      <c r="G40" s="38">
        <f>'TIE-OUT'!G40+RECLASS!G40</f>
        <v>0</v>
      </c>
      <c r="H40" s="127">
        <f>+Actuals!E141</f>
        <v>-15283</v>
      </c>
      <c r="I40" s="128">
        <f>+Actuals!F141</f>
        <v>-34678.410000000003</v>
      </c>
      <c r="J40" s="127">
        <f>+Actuals!G141</f>
        <v>1237</v>
      </c>
      <c r="K40" s="128">
        <f>+Actuals!H141</f>
        <v>2850.02</v>
      </c>
      <c r="L40" s="127">
        <f>+Actuals!I141</f>
        <v>0</v>
      </c>
      <c r="M40" s="128">
        <f>+Actuals!J141</f>
        <v>0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+Actuals!Q141</f>
        <v>0</v>
      </c>
      <c r="U40" s="128">
        <f>+Actuals!R141</f>
        <v>0</v>
      </c>
      <c r="V40" s="127">
        <f>+Actuals!S181</f>
        <v>-958</v>
      </c>
      <c r="W40" s="128">
        <f>+Actuals!T181</f>
        <v>-2170.8000000000002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+Actuals!AE181</f>
        <v>0</v>
      </c>
      <c r="AI40" s="128">
        <f>+Actuals!AF181</f>
        <v>0</v>
      </c>
      <c r="AJ40" s="127">
        <f>+Actuals!AG181</f>
        <v>0</v>
      </c>
      <c r="AK40" s="128">
        <f>+Actuals!AH181</f>
        <v>0</v>
      </c>
      <c r="AL40" s="127">
        <f>+Actuals!AI181</f>
        <v>0</v>
      </c>
      <c r="AM40" s="128">
        <f>+Actuals!AJ181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+Actuals!Q142</f>
        <v>0</v>
      </c>
      <c r="U41" s="128">
        <f>+Actuals!R142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  <c r="AL41" s="127">
        <f>+Actuals!AI182</f>
        <v>0</v>
      </c>
      <c r="AM41" s="128">
        <f>+Actuals!AJ182</f>
        <v>0</v>
      </c>
    </row>
    <row r="42" spans="1:39" x14ac:dyDescent="0.25">
      <c r="A42" s="9"/>
      <c r="B42" s="7"/>
      <c r="C42" s="53" t="s">
        <v>51</v>
      </c>
      <c r="D42" s="61">
        <f t="shared" ref="D42:I42" si="20">SUM(D40:D41)</f>
        <v>-15004</v>
      </c>
      <c r="E42" s="39">
        <f t="shared" si="20"/>
        <v>-33999.19</v>
      </c>
      <c r="F42" s="61">
        <f t="shared" si="20"/>
        <v>0</v>
      </c>
      <c r="G42" s="39">
        <f t="shared" si="20"/>
        <v>0</v>
      </c>
      <c r="H42" s="61">
        <f t="shared" si="20"/>
        <v>-15283</v>
      </c>
      <c r="I42" s="39">
        <f t="shared" si="20"/>
        <v>-34678.410000000003</v>
      </c>
      <c r="J42" s="61">
        <f t="shared" ref="J42:W42" si="21">SUM(J40:J41)</f>
        <v>1237</v>
      </c>
      <c r="K42" s="39">
        <f t="shared" si="21"/>
        <v>2850.02</v>
      </c>
      <c r="L42" s="61">
        <f t="shared" si="21"/>
        <v>0</v>
      </c>
      <c r="M42" s="39">
        <f t="shared" si="21"/>
        <v>0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si="21"/>
        <v>-958</v>
      </c>
      <c r="W42" s="39">
        <f t="shared" si="21"/>
        <v>-2170.8000000000002</v>
      </c>
      <c r="X42" s="61">
        <f t="shared" ref="X42:AC42" si="22">SUM(X40:X41)</f>
        <v>0</v>
      </c>
      <c r="Y42" s="39">
        <f t="shared" si="22"/>
        <v>0</v>
      </c>
      <c r="Z42" s="61">
        <f t="shared" si="22"/>
        <v>0</v>
      </c>
      <c r="AA42" s="39">
        <f t="shared" si="22"/>
        <v>0</v>
      </c>
      <c r="AB42" s="61">
        <f t="shared" si="22"/>
        <v>0</v>
      </c>
      <c r="AC42" s="39">
        <f t="shared" si="22"/>
        <v>0</v>
      </c>
      <c r="AD42" s="61">
        <f t="shared" ref="AD42:AI42" si="23">SUM(AD40:AD41)</f>
        <v>0</v>
      </c>
      <c r="AE42" s="39">
        <f t="shared" si="23"/>
        <v>0</v>
      </c>
      <c r="AF42" s="61">
        <f t="shared" si="23"/>
        <v>0</v>
      </c>
      <c r="AG42" s="39">
        <f t="shared" si="23"/>
        <v>0</v>
      </c>
      <c r="AH42" s="61">
        <f t="shared" si="23"/>
        <v>0</v>
      </c>
      <c r="AI42" s="39">
        <f t="shared" si="23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 t="shared" ref="D43:I43" si="24">D42+D39</f>
        <v>460675</v>
      </c>
      <c r="E43" s="39">
        <f t="shared" si="24"/>
        <v>994333.45</v>
      </c>
      <c r="F43" s="61">
        <f t="shared" si="24"/>
        <v>0</v>
      </c>
      <c r="G43" s="39">
        <f t="shared" si="24"/>
        <v>0</v>
      </c>
      <c r="H43" s="61">
        <f t="shared" si="24"/>
        <v>402870</v>
      </c>
      <c r="I43" s="39">
        <f t="shared" si="24"/>
        <v>869284.74</v>
      </c>
      <c r="J43" s="61">
        <f t="shared" ref="J43:W43" si="25">J42+J39</f>
        <v>9823</v>
      </c>
      <c r="K43" s="39">
        <f t="shared" si="25"/>
        <v>21411.23</v>
      </c>
      <c r="L43" s="61">
        <f t="shared" si="25"/>
        <v>-1</v>
      </c>
      <c r="M43" s="39">
        <f t="shared" si="25"/>
        <v>-2.16</v>
      </c>
      <c r="N43" s="61">
        <f t="shared" si="25"/>
        <v>0</v>
      </c>
      <c r="O43" s="39">
        <f t="shared" si="25"/>
        <v>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si="25"/>
        <v>-958</v>
      </c>
      <c r="W43" s="39">
        <f t="shared" si="25"/>
        <v>-2170.8000000000002</v>
      </c>
      <c r="X43" s="61">
        <f t="shared" ref="X43:AC43" si="26">X42+X39</f>
        <v>0</v>
      </c>
      <c r="Y43" s="39">
        <f t="shared" si="26"/>
        <v>0</v>
      </c>
      <c r="Z43" s="61">
        <f t="shared" si="26"/>
        <v>0</v>
      </c>
      <c r="AA43" s="39">
        <f t="shared" si="26"/>
        <v>0</v>
      </c>
      <c r="AB43" s="61">
        <f t="shared" si="26"/>
        <v>0</v>
      </c>
      <c r="AC43" s="39">
        <f t="shared" si="26"/>
        <v>0</v>
      </c>
      <c r="AD43" s="61">
        <f t="shared" ref="AD43:AI43" si="27">AD42+AD39</f>
        <v>0</v>
      </c>
      <c r="AE43" s="39">
        <f t="shared" si="27"/>
        <v>0</v>
      </c>
      <c r="AF43" s="61">
        <f t="shared" si="27"/>
        <v>0</v>
      </c>
      <c r="AG43" s="39">
        <f t="shared" si="27"/>
        <v>0</v>
      </c>
      <c r="AH43" s="61">
        <f t="shared" si="27"/>
        <v>0</v>
      </c>
      <c r="AI43" s="39">
        <f t="shared" si="27"/>
        <v>0</v>
      </c>
      <c r="AJ43" s="61">
        <f>AJ42+AJ39</f>
        <v>0</v>
      </c>
      <c r="AK43" s="39">
        <f>AK42+AK39</f>
        <v>0</v>
      </c>
      <c r="AL43" s="61">
        <f>AL42+AL39</f>
        <v>48941</v>
      </c>
      <c r="AM43" s="39">
        <f>AM42+AM39</f>
        <v>105810.44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+Actuals!Q143</f>
        <v>0</v>
      </c>
      <c r="U45" s="128">
        <f>+Actuals!R143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  <c r="AL45" s="127">
        <f>+Actuals!AI183</f>
        <v>0</v>
      </c>
      <c r="AM45" s="128">
        <f>+Actuals!AJ183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+Actuals!Q144</f>
        <v>0</v>
      </c>
      <c r="U47" s="128">
        <f>+Actuals!R144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  <c r="AL47" s="127">
        <f>+Actuals!AI184</f>
        <v>0</v>
      </c>
      <c r="AM47" s="128">
        <f>+Actuals!AJ184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-313297</v>
      </c>
      <c r="E49" s="38">
        <f>SUM(G49,I49,K49,M49,O49,Q49,S49,U49,W49,Y49,AA49,AC49,AE49,AG49,AI49,AK49,AM49)</f>
        <v>-677285.4508000015</v>
      </c>
      <c r="F49" s="60">
        <f>'TIE-OUT'!F49+RECLASS!F49</f>
        <v>0</v>
      </c>
      <c r="G49" s="38">
        <f>'TIE-OUT'!G49+RECLASS!G49</f>
        <v>0</v>
      </c>
      <c r="H49" s="127">
        <f>+Actuals!E145</f>
        <v>-276889</v>
      </c>
      <c r="I49" s="128">
        <f>+Actuals!F145</f>
        <v>-598578.64020000002</v>
      </c>
      <c r="J49" s="127">
        <f>+Actuals!G145</f>
        <v>-414490</v>
      </c>
      <c r="K49" s="128">
        <f>+Actuals!H145</f>
        <v>-896044.48200000008</v>
      </c>
      <c r="L49" s="127">
        <f>+Actuals!I145</f>
        <v>-1843220</v>
      </c>
      <c r="M49" s="128">
        <f>+Actuals!J145</f>
        <v>-3984672.9959999998</v>
      </c>
      <c r="N49" s="127">
        <f>+Actuals!K145</f>
        <v>12494</v>
      </c>
      <c r="O49" s="128">
        <f>+Actuals!L145</f>
        <v>27009.529200000001</v>
      </c>
      <c r="P49" s="127">
        <f>+Actuals!M145</f>
        <v>182372</v>
      </c>
      <c r="Q49" s="128">
        <f>+Actuals!N145</f>
        <v>394251.78960000002</v>
      </c>
      <c r="R49" s="127">
        <f>+Actuals!O145</f>
        <v>254644</v>
      </c>
      <c r="S49" s="128">
        <f>+Actuals!P145</f>
        <v>550489.39919999999</v>
      </c>
      <c r="T49" s="127">
        <f>+Actuals!Q145</f>
        <v>1795133</v>
      </c>
      <c r="U49" s="128">
        <f>+Actuals!R145</f>
        <v>3880718.5194000001</v>
      </c>
      <c r="V49" s="127">
        <f>+Actuals!S185</f>
        <v>-1799825</v>
      </c>
      <c r="W49" s="128">
        <f>+Actuals!T185</f>
        <v>-3890861.6850000001</v>
      </c>
      <c r="X49" s="127">
        <f>+Actuals!U185</f>
        <v>31172</v>
      </c>
      <c r="Y49" s="128">
        <f>+Actuals!V185</f>
        <v>67387.6296</v>
      </c>
      <c r="Z49" s="127">
        <f>+Actuals!W185</f>
        <v>1793309</v>
      </c>
      <c r="AA49" s="128">
        <f>+Actuals!X185</f>
        <v>3876775.3961999998</v>
      </c>
      <c r="AB49" s="127">
        <f>+Actuals!Y185</f>
        <v>0</v>
      </c>
      <c r="AC49" s="128">
        <f>+Actuals!Z185</f>
        <v>0</v>
      </c>
      <c r="AD49" s="127">
        <f>+Actuals!AA185</f>
        <v>943</v>
      </c>
      <c r="AE49" s="128">
        <f>+Actuals!AB185</f>
        <v>2038.5773999999999</v>
      </c>
      <c r="AF49" s="127">
        <f>+Actuals!AC185</f>
        <v>1</v>
      </c>
      <c r="AG49" s="128">
        <f>+Actuals!AD185</f>
        <v>2.1617999999999999</v>
      </c>
      <c r="AH49" s="127">
        <v>7440</v>
      </c>
      <c r="AI49" s="128">
        <v>16083.79</v>
      </c>
      <c r="AJ49" s="127">
        <v>-7440</v>
      </c>
      <c r="AK49" s="128">
        <v>-16083.79</v>
      </c>
      <c r="AL49" s="127">
        <v>-48941</v>
      </c>
      <c r="AM49" s="128">
        <v>-105800.65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-289057</v>
      </c>
      <c r="E51" s="38">
        <f>SUM(G51,I51,K51,M51,O51,Q51,S51,U51,W51,Y51,AA51,AC51,AE51,AG51,AI51,AK51,AM51)</f>
        <v>-624876.96980000008</v>
      </c>
      <c r="F51" s="60">
        <f>'TIE-OUT'!F51+RECLASS!F51</f>
        <v>0</v>
      </c>
      <c r="G51" s="38">
        <f>'TIE-OUT'!G51+RECLASS!G51</f>
        <v>0</v>
      </c>
      <c r="H51" s="127">
        <f>+Actuals!E146</f>
        <v>-546190</v>
      </c>
      <c r="I51" s="128">
        <f>+Actuals!F146</f>
        <v>-1180753.54</v>
      </c>
      <c r="J51" s="127">
        <f>+Actuals!G146</f>
        <v>32255</v>
      </c>
      <c r="K51" s="128">
        <f>+Actuals!H146</f>
        <v>69735.31</v>
      </c>
      <c r="L51" s="127">
        <f>+Actuals!I146</f>
        <v>0</v>
      </c>
      <c r="M51" s="128">
        <f>+Actuals!J146</f>
        <v>0</v>
      </c>
      <c r="N51" s="127">
        <f>+Actuals!K146</f>
        <v>6</v>
      </c>
      <c r="O51" s="128">
        <f>+Actuals!L146</f>
        <v>12.970800000000001</v>
      </c>
      <c r="P51" s="127">
        <f>+Actuals!M146</f>
        <v>0</v>
      </c>
      <c r="Q51" s="128">
        <f>+Actuals!N146</f>
        <v>0</v>
      </c>
      <c r="R51" s="127">
        <f>+Actuals!O146</f>
        <v>-84</v>
      </c>
      <c r="S51" s="128">
        <f>+Actuals!P146</f>
        <v>-181.59119999999999</v>
      </c>
      <c r="T51" s="127">
        <f>+Actuals!Q146</f>
        <v>1</v>
      </c>
      <c r="U51" s="128">
        <f>+Actuals!R146</f>
        <v>2.1617999999999999</v>
      </c>
      <c r="V51" s="127">
        <f>+Actuals!S186</f>
        <v>69</v>
      </c>
      <c r="W51" s="128">
        <f>+Actuals!T186</f>
        <v>149.16419999999999</v>
      </c>
      <c r="X51" s="127">
        <f>+Actuals!U186</f>
        <v>0</v>
      </c>
      <c r="Y51" s="128">
        <f>+Actuals!V186</f>
        <v>0</v>
      </c>
      <c r="Z51" s="127">
        <f>+Actuals!W186</f>
        <v>-24</v>
      </c>
      <c r="AA51" s="128">
        <f>+Actuals!X186</f>
        <v>-51.883200000000002</v>
      </c>
      <c r="AB51" s="127">
        <f>+Actuals!Y186</f>
        <v>0</v>
      </c>
      <c r="AC51" s="128">
        <f>+Actuals!Z186</f>
        <v>0</v>
      </c>
      <c r="AD51" s="127">
        <f>+Actuals!AA186</f>
        <v>0</v>
      </c>
      <c r="AE51" s="128">
        <f>+Actuals!AB186</f>
        <v>0</v>
      </c>
      <c r="AF51" s="127">
        <f>+Actuals!AC186</f>
        <v>-129</v>
      </c>
      <c r="AG51" s="128">
        <f>+Actuals!AD186</f>
        <v>-278.87220000000002</v>
      </c>
      <c r="AH51" s="127">
        <v>225039</v>
      </c>
      <c r="AI51" s="128">
        <v>486489.31</v>
      </c>
      <c r="AJ51" s="127">
        <v>0</v>
      </c>
      <c r="AK51" s="128">
        <v>0</v>
      </c>
      <c r="AL51" s="127">
        <v>0</v>
      </c>
      <c r="AM51" s="128"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-27193637</v>
      </c>
      <c r="E54" s="38">
        <f>SUM(G54,I54,K54,M54,O54,Q54,S54,U54,W54,Y54,AA54,AC54,AE54,AG54,AI54,AK54,AM54)</f>
        <v>-53959.340000000098</v>
      </c>
      <c r="F54" s="64">
        <f>'TIE-OUT'!F54+RECLASS!F54</f>
        <v>0</v>
      </c>
      <c r="G54" s="68">
        <f>'TIE-OUT'!G54+RECLASS!G54</f>
        <v>2205137</v>
      </c>
      <c r="H54" s="127">
        <f>+Actuals!E147</f>
        <v>-24869057</v>
      </c>
      <c r="I54" s="128">
        <f>+Actuals!F147</f>
        <v>-3311236.31</v>
      </c>
      <c r="J54" s="127">
        <f>+Actuals!G147</f>
        <v>2818026</v>
      </c>
      <c r="K54" s="128">
        <f>+Actuals!H147</f>
        <v>435152.35</v>
      </c>
      <c r="L54" s="127">
        <f>+Actuals!I147</f>
        <v>-6087407</v>
      </c>
      <c r="M54" s="128">
        <f>+Actuals!J147</f>
        <v>511807.35</v>
      </c>
      <c r="N54" s="127">
        <f>+Actuals!K147</f>
        <v>2024274</v>
      </c>
      <c r="O54" s="128">
        <f>+Actuals!L147</f>
        <v>75385.55</v>
      </c>
      <c r="P54" s="127">
        <f>+Actuals!M147</f>
        <v>-53226</v>
      </c>
      <c r="Q54" s="128">
        <f>+Actuals!N147</f>
        <v>8963.2199999999993</v>
      </c>
      <c r="R54" s="127">
        <f>+Actuals!O147</f>
        <v>87928</v>
      </c>
      <c r="S54" s="128">
        <f>+Actuals!P147</f>
        <v>21509.94</v>
      </c>
      <c r="T54" s="127">
        <f>+Actuals!Q147</f>
        <v>-18058</v>
      </c>
      <c r="U54" s="128">
        <f>+Actuals!R147</f>
        <v>33.1</v>
      </c>
      <c r="V54" s="127">
        <f>+Actuals!S187</f>
        <v>-257103</v>
      </c>
      <c r="W54" s="128">
        <f>+Actuals!T187</f>
        <v>-546.78</v>
      </c>
      <c r="X54" s="127">
        <f>+Actuals!U187</f>
        <v>0</v>
      </c>
      <c r="Y54" s="128">
        <f>+Actuals!V187</f>
        <v>-180.69</v>
      </c>
      <c r="Z54" s="127">
        <f>+Actuals!W187</f>
        <v>-2366</v>
      </c>
      <c r="AA54" s="128">
        <f>+Actuals!X187</f>
        <v>15.93</v>
      </c>
      <c r="AB54" s="127">
        <f>+Actuals!Y187</f>
        <v>-304233</v>
      </c>
      <c r="AC54" s="128">
        <f>+Actuals!Z187</f>
        <v>13425.85</v>
      </c>
      <c r="AD54" s="127">
        <f>+Actuals!AA187</f>
        <v>-761700</v>
      </c>
      <c r="AE54" s="128">
        <f>+Actuals!AB187</f>
        <v>-13425.85</v>
      </c>
      <c r="AF54" s="127">
        <f>+Actuals!AC187</f>
        <v>-2891</v>
      </c>
      <c r="AG54" s="128">
        <f>+Actuals!AD187</f>
        <v>0</v>
      </c>
      <c r="AH54" s="127">
        <f>+Actuals!AE187</f>
        <v>0</v>
      </c>
      <c r="AI54" s="128">
        <f>+Actuals!AF187</f>
        <v>0</v>
      </c>
      <c r="AJ54" s="127">
        <f>+Actuals!AG187</f>
        <v>0</v>
      </c>
      <c r="AK54" s="128">
        <f>+Actuals!AH187</f>
        <v>0</v>
      </c>
      <c r="AL54" s="127">
        <v>232176</v>
      </c>
      <c r="AM54" s="128">
        <f>+Actuals!AJ187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-2210691.6</v>
      </c>
      <c r="F55" s="81">
        <f>'TIE-OUT'!F55+RECLASS!F55</f>
        <v>0</v>
      </c>
      <c r="G55" s="82">
        <f>'TIE-OUT'!G55+RECLASS!G55</f>
        <v>-2213443</v>
      </c>
      <c r="H55" s="127">
        <f>+Actuals!E148</f>
        <v>0</v>
      </c>
      <c r="I55" s="128">
        <f>+Actuals!F148</f>
        <v>0</v>
      </c>
      <c r="J55" s="127">
        <f>+Actuals!G148</f>
        <v>0</v>
      </c>
      <c r="K55" s="128">
        <f>+Actuals!H148</f>
        <v>0</v>
      </c>
      <c r="L55" s="127">
        <f>+Actuals!I148</f>
        <v>0</v>
      </c>
      <c r="M55" s="128">
        <f>+Actuals!J148</f>
        <v>0</v>
      </c>
      <c r="N55" s="127">
        <f>+Actuals!K148</f>
        <v>0</v>
      </c>
      <c r="O55" s="128">
        <f>+Actuals!L148</f>
        <v>17475</v>
      </c>
      <c r="P55" s="127">
        <f>+Actuals!M148</f>
        <v>0</v>
      </c>
      <c r="Q55" s="128">
        <f>+Actuals!N148</f>
        <v>-44250</v>
      </c>
      <c r="R55" s="127">
        <f>+Actuals!O148</f>
        <v>0</v>
      </c>
      <c r="S55" s="128">
        <f>+Actuals!P148</f>
        <v>30450</v>
      </c>
      <c r="T55" s="127">
        <f>+Actuals!Q148</f>
        <v>0</v>
      </c>
      <c r="U55" s="128">
        <f>+Actuals!R148</f>
        <v>316.44</v>
      </c>
      <c r="V55" s="127">
        <f>+Actuals!S188</f>
        <v>0</v>
      </c>
      <c r="W55" s="128">
        <f>+Actuals!T188</f>
        <v>11467.96</v>
      </c>
      <c r="X55" s="127">
        <f>+Actuals!U188</f>
        <v>0</v>
      </c>
      <c r="Y55" s="128">
        <f>+Actuals!V188</f>
        <v>-12708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  <c r="AL55" s="127">
        <f>+Actuals!AI188</f>
        <v>0</v>
      </c>
      <c r="AM55" s="128">
        <f>+Actuals!AJ188</f>
        <v>0</v>
      </c>
    </row>
    <row r="56" spans="1:39" x14ac:dyDescent="0.25">
      <c r="A56" s="9"/>
      <c r="B56" s="7" t="s">
        <v>60</v>
      </c>
      <c r="C56" s="6"/>
      <c r="D56" s="61">
        <f t="shared" ref="D56:I56" si="28">SUM(D54:D55)</f>
        <v>-27193637</v>
      </c>
      <c r="E56" s="39">
        <f t="shared" si="28"/>
        <v>-2264650.9400000004</v>
      </c>
      <c r="F56" s="61">
        <f t="shared" si="28"/>
        <v>0</v>
      </c>
      <c r="G56" s="39">
        <f t="shared" si="28"/>
        <v>-8306</v>
      </c>
      <c r="H56" s="61">
        <f t="shared" si="28"/>
        <v>-24869057</v>
      </c>
      <c r="I56" s="39">
        <f t="shared" si="28"/>
        <v>-3311236.31</v>
      </c>
      <c r="J56" s="61">
        <f t="shared" ref="J56:W56" si="29">SUM(J54:J55)</f>
        <v>2818026</v>
      </c>
      <c r="K56" s="39">
        <f t="shared" si="29"/>
        <v>435152.35</v>
      </c>
      <c r="L56" s="61">
        <f t="shared" si="29"/>
        <v>-6087407</v>
      </c>
      <c r="M56" s="39">
        <f t="shared" si="29"/>
        <v>511807.35</v>
      </c>
      <c r="N56" s="61">
        <f t="shared" si="29"/>
        <v>2024274</v>
      </c>
      <c r="O56" s="39">
        <f t="shared" si="29"/>
        <v>92860.55</v>
      </c>
      <c r="P56" s="61">
        <f t="shared" si="29"/>
        <v>-53226</v>
      </c>
      <c r="Q56" s="39">
        <f t="shared" si="29"/>
        <v>-35286.78</v>
      </c>
      <c r="R56" s="61">
        <f t="shared" si="29"/>
        <v>87928</v>
      </c>
      <c r="S56" s="39">
        <f t="shared" si="29"/>
        <v>51959.94</v>
      </c>
      <c r="T56" s="61">
        <f t="shared" si="29"/>
        <v>-18058</v>
      </c>
      <c r="U56" s="39">
        <f t="shared" si="29"/>
        <v>349.54</v>
      </c>
      <c r="V56" s="61">
        <f t="shared" si="29"/>
        <v>-257103</v>
      </c>
      <c r="W56" s="39">
        <f t="shared" si="29"/>
        <v>10921.179999999998</v>
      </c>
      <c r="X56" s="61">
        <f t="shared" ref="X56:AC56" si="30">SUM(X54:X55)</f>
        <v>0</v>
      </c>
      <c r="Y56" s="39">
        <f t="shared" si="30"/>
        <v>-12888.69</v>
      </c>
      <c r="Z56" s="61">
        <f t="shared" si="30"/>
        <v>-2366</v>
      </c>
      <c r="AA56" s="39">
        <f t="shared" si="30"/>
        <v>15.93</v>
      </c>
      <c r="AB56" s="61">
        <f t="shared" si="30"/>
        <v>-304233</v>
      </c>
      <c r="AC56" s="39">
        <f t="shared" si="30"/>
        <v>13425.85</v>
      </c>
      <c r="AD56" s="61">
        <f t="shared" ref="AD56:AI56" si="31">SUM(AD54:AD55)</f>
        <v>-761700</v>
      </c>
      <c r="AE56" s="39">
        <f t="shared" si="31"/>
        <v>-13425.85</v>
      </c>
      <c r="AF56" s="61">
        <f t="shared" si="31"/>
        <v>-2891</v>
      </c>
      <c r="AG56" s="39">
        <f t="shared" si="31"/>
        <v>0</v>
      </c>
      <c r="AH56" s="61">
        <f t="shared" si="31"/>
        <v>0</v>
      </c>
      <c r="AI56" s="39">
        <f t="shared" si="31"/>
        <v>0</v>
      </c>
      <c r="AJ56" s="61">
        <f>SUM(AJ54:AJ55)</f>
        <v>0</v>
      </c>
      <c r="AK56" s="39">
        <f>SUM(AK54:AK55)</f>
        <v>0</v>
      </c>
      <c r="AL56" s="61">
        <f>SUM(AL54:AL55)</f>
        <v>232176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+Actuals!Q149</f>
        <v>0</v>
      </c>
      <c r="U59" s="128">
        <f>+Actuals!R149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  <c r="AL59" s="127">
        <f>+Actuals!AI189</f>
        <v>0</v>
      </c>
      <c r="AM59" s="128">
        <f>+Actuals!AJ189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+Actuals!Q150</f>
        <v>0</v>
      </c>
      <c r="U60" s="128">
        <f>+Actuals!R150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  <c r="AL60" s="127">
        <f>+Actuals!AI190</f>
        <v>0</v>
      </c>
      <c r="AM60" s="128">
        <f>+Actuals!AJ190</f>
        <v>0</v>
      </c>
    </row>
    <row r="61" spans="1:39" x14ac:dyDescent="0.25">
      <c r="A61" s="9"/>
      <c r="B61" s="62" t="s">
        <v>64</v>
      </c>
      <c r="C61" s="6"/>
      <c r="D61" s="61">
        <f t="shared" ref="D61:I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ref="J61:W61" si="33">SUM(J59:J60)</f>
        <v>0</v>
      </c>
      <c r="K61" s="39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si="33"/>
        <v>0</v>
      </c>
      <c r="V61" s="61">
        <f t="shared" si="33"/>
        <v>0</v>
      </c>
      <c r="W61" s="39">
        <f t="shared" si="33"/>
        <v>0</v>
      </c>
      <c r="X61" s="61">
        <f t="shared" ref="X61:AC61" si="34">SUM(X59:X60)</f>
        <v>0</v>
      </c>
      <c r="Y61" s="39">
        <f t="shared" si="34"/>
        <v>0</v>
      </c>
      <c r="Z61" s="61">
        <f t="shared" si="34"/>
        <v>0</v>
      </c>
      <c r="AA61" s="39">
        <f t="shared" si="34"/>
        <v>0</v>
      </c>
      <c r="AB61" s="61">
        <f t="shared" si="34"/>
        <v>0</v>
      </c>
      <c r="AC61" s="39">
        <f t="shared" si="34"/>
        <v>0</v>
      </c>
      <c r="AD61" s="61">
        <f t="shared" ref="AD61:AI61" si="35">SUM(AD59:AD60)</f>
        <v>0</v>
      </c>
      <c r="AE61" s="39">
        <f t="shared" si="35"/>
        <v>0</v>
      </c>
      <c r="AF61" s="61">
        <f t="shared" si="35"/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+Actuals!Q151</f>
        <v>0</v>
      </c>
      <c r="U64" s="128">
        <f>+Actuals!R151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  <c r="AL64" s="127">
        <f>+Actuals!AI191</f>
        <v>0</v>
      </c>
      <c r="AM64" s="128">
        <f>+Actuals!AJ191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+Actuals!Q152</f>
        <v>0</v>
      </c>
      <c r="U65" s="128">
        <f>+Actuals!R152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  <c r="AL65" s="127">
        <f>+Actuals!AI192</f>
        <v>0</v>
      </c>
      <c r="AM65" s="128">
        <f>+Actuals!AJ192</f>
        <v>0</v>
      </c>
    </row>
    <row r="66" spans="1:39" x14ac:dyDescent="0.25">
      <c r="A66" s="9"/>
      <c r="B66" s="7" t="s">
        <v>67</v>
      </c>
      <c r="C66" s="6"/>
      <c r="D66" s="61">
        <f t="shared" ref="D66:I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ref="J66:W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si="37"/>
        <v>0</v>
      </c>
      <c r="W66" s="39">
        <f t="shared" si="37"/>
        <v>0</v>
      </c>
      <c r="X66" s="61">
        <f t="shared" ref="X66:AC66" si="38">SUM(X64:X65)</f>
        <v>0</v>
      </c>
      <c r="Y66" s="39">
        <f t="shared" si="38"/>
        <v>0</v>
      </c>
      <c r="Z66" s="61">
        <f t="shared" si="38"/>
        <v>0</v>
      </c>
      <c r="AA66" s="39">
        <f t="shared" si="38"/>
        <v>0</v>
      </c>
      <c r="AB66" s="61">
        <f t="shared" si="38"/>
        <v>0</v>
      </c>
      <c r="AC66" s="39">
        <f t="shared" si="38"/>
        <v>0</v>
      </c>
      <c r="AD66" s="61">
        <f t="shared" ref="AD66:AI66" si="39">SUM(AD64:AD65)</f>
        <v>0</v>
      </c>
      <c r="AE66" s="39">
        <f t="shared" si="39"/>
        <v>0</v>
      </c>
      <c r="AF66" s="61">
        <f t="shared" si="39"/>
        <v>0</v>
      </c>
      <c r="AG66" s="39">
        <f t="shared" si="39"/>
        <v>0</v>
      </c>
      <c r="AH66" s="61">
        <f t="shared" si="39"/>
        <v>0</v>
      </c>
      <c r="AI66" s="39">
        <f t="shared" si="39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1955927.12</v>
      </c>
      <c r="F70" s="64">
        <f>'TIE-OUT'!F70+RECLASS!F70</f>
        <v>0</v>
      </c>
      <c r="G70" s="68">
        <f>'TIE-OUT'!G70+RECLASS!G70</f>
        <v>1955927.12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+Actuals!Q153</f>
        <v>0</v>
      </c>
      <c r="U70" s="128">
        <f>+Actuals!R153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  <c r="AL70" s="127">
        <f>+Actuals!AI193</f>
        <v>0</v>
      </c>
      <c r="AM70" s="128">
        <f>+Actuals!AJ193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-1107837</v>
      </c>
      <c r="F71" s="81">
        <f>'TIE-OUT'!F71+RECLASS!F71</f>
        <v>0</v>
      </c>
      <c r="G71" s="82">
        <f>'TIE-OUT'!G71+RECLASS!G71</f>
        <v>-1107837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+Actuals!Q154</f>
        <v>0</v>
      </c>
      <c r="U71" s="128">
        <f>+Actuals!R154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  <c r="AL71" s="127">
        <f>+Actuals!AI194</f>
        <v>0</v>
      </c>
      <c r="AM71" s="128">
        <f>+Actuals!AJ194</f>
        <v>0</v>
      </c>
    </row>
    <row r="72" spans="1:39" x14ac:dyDescent="0.25">
      <c r="A72" s="9"/>
      <c r="B72" s="3"/>
      <c r="C72" s="55" t="s">
        <v>72</v>
      </c>
      <c r="D72" s="61">
        <f t="shared" ref="D72:I72" si="40">SUM(D70:D71)</f>
        <v>0</v>
      </c>
      <c r="E72" s="39">
        <f t="shared" si="40"/>
        <v>848090.12000000011</v>
      </c>
      <c r="F72" s="61">
        <f t="shared" si="40"/>
        <v>0</v>
      </c>
      <c r="G72" s="39">
        <f t="shared" si="40"/>
        <v>848090.12000000011</v>
      </c>
      <c r="H72" s="61">
        <f t="shared" si="40"/>
        <v>0</v>
      </c>
      <c r="I72" s="39">
        <f t="shared" si="40"/>
        <v>0</v>
      </c>
      <c r="J72" s="61">
        <f t="shared" ref="J72:W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si="41"/>
        <v>0</v>
      </c>
      <c r="W72" s="39">
        <f t="shared" si="41"/>
        <v>0</v>
      </c>
      <c r="X72" s="61">
        <f t="shared" ref="X72:AC72" si="42">SUM(X70:X71)</f>
        <v>0</v>
      </c>
      <c r="Y72" s="39">
        <f t="shared" si="42"/>
        <v>0</v>
      </c>
      <c r="Z72" s="61">
        <f t="shared" si="42"/>
        <v>0</v>
      </c>
      <c r="AA72" s="39">
        <f t="shared" si="42"/>
        <v>0</v>
      </c>
      <c r="AB72" s="61">
        <f t="shared" si="42"/>
        <v>0</v>
      </c>
      <c r="AC72" s="39">
        <f t="shared" si="42"/>
        <v>0</v>
      </c>
      <c r="AD72" s="61">
        <f t="shared" ref="AD72:AI72" si="43">SUM(AD70:AD71)</f>
        <v>0</v>
      </c>
      <c r="AE72" s="39">
        <f t="shared" si="43"/>
        <v>0</v>
      </c>
      <c r="AF72" s="61">
        <f t="shared" si="43"/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44">SUM(F73,H73,J73,L73,N73,P73,R73,T73,V73,X73,Z73,AB73,AD73,AF73,AH73,AJ73,AL73)</f>
        <v>0</v>
      </c>
      <c r="E73" s="38">
        <f t="shared" ref="E73:E81" si="45">SUM(G73,I73,K73,M73,O73,Q73,S73,U73,W73,Y73,AA73,AC73,AE73,AG73,AI73,AK73,AM73)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+Actuals!Q155</f>
        <v>0</v>
      </c>
      <c r="U73" s="128">
        <f>+Actuals!R155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  <c r="AL73" s="127">
        <f>+Actuals!AI195</f>
        <v>0</v>
      </c>
      <c r="AM73" s="128">
        <f>+Actuals!AJ195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44"/>
        <v>0</v>
      </c>
      <c r="E74" s="38">
        <f t="shared" si="45"/>
        <v>590210</v>
      </c>
      <c r="F74" s="60">
        <f>'TIE-OUT'!F74+RECLASS!F74</f>
        <v>0</v>
      </c>
      <c r="G74" s="60">
        <f>'TIE-OUT'!G74+RECLASS!G74</f>
        <v>581960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v>8250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28">
        <f>+Actuals!L156</f>
        <v>0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+Actuals!Q156</f>
        <v>0</v>
      </c>
      <c r="U74" s="128">
        <f>+Actuals!R156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  <c r="AL74" s="127">
        <f>+Actuals!AI196</f>
        <v>0</v>
      </c>
      <c r="AM74" s="128">
        <f>+Actuals!AJ196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44"/>
        <v>0</v>
      </c>
      <c r="E75" s="38">
        <f t="shared" si="45"/>
        <v>46100</v>
      </c>
      <c r="F75" s="60">
        <f>'TIE-OUT'!F75+RECLASS!F75</f>
        <v>0</v>
      </c>
      <c r="G75" s="60">
        <f>'TIE-OUT'!G75+RECLASS!G75</f>
        <v>46100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+Actuals!Q157</f>
        <v>0</v>
      </c>
      <c r="U75" s="128">
        <f>+Actuals!R157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  <c r="AL75" s="127">
        <f>+Actuals!AI197</f>
        <v>0</v>
      </c>
      <c r="AM75" s="128">
        <f>+Actuals!AJ197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44"/>
        <v>0</v>
      </c>
      <c r="E76" s="38">
        <f t="shared" si="45"/>
        <v>-19269.13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0</v>
      </c>
      <c r="J76" s="127">
        <f>+Actuals!G158</f>
        <v>0</v>
      </c>
      <c r="K76" s="128">
        <f>+Actuals!H158</f>
        <v>-31571.33</v>
      </c>
      <c r="L76" s="127">
        <f>+Actuals!I158</f>
        <v>0</v>
      </c>
      <c r="M76" s="128">
        <f>+Actuals!J158</f>
        <v>0</v>
      </c>
      <c r="N76" s="127">
        <f>+Actuals!K158</f>
        <v>0</v>
      </c>
      <c r="O76" s="128">
        <f>+Actuals!L158</f>
        <v>12302.2</v>
      </c>
      <c r="P76" s="127">
        <f>+Actuals!M158</f>
        <v>0</v>
      </c>
      <c r="Q76" s="128">
        <f>+Actuals!N158</f>
        <v>0</v>
      </c>
      <c r="R76" s="127">
        <f>+Actuals!O158</f>
        <v>0</v>
      </c>
      <c r="S76" s="128">
        <f>+Actuals!P158</f>
        <v>0</v>
      </c>
      <c r="T76" s="127">
        <f>+Actuals!Q158</f>
        <v>0</v>
      </c>
      <c r="U76" s="128">
        <f>+Actuals!R158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  <c r="AL76" s="127">
        <f>+Actuals!AI198</f>
        <v>0</v>
      </c>
      <c r="AM76" s="128">
        <f>+Actuals!AJ198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44"/>
        <v>0</v>
      </c>
      <c r="E77" s="38">
        <f t="shared" si="45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+Actuals!Q159</f>
        <v>0</v>
      </c>
      <c r="U77" s="128">
        <f>+Actuals!R159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  <c r="AL77" s="127">
        <f>+Actuals!AI199</f>
        <v>0</v>
      </c>
      <c r="AM77" s="128">
        <f>+Actuals!AJ199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+Actuals!Q160</f>
        <v>0</v>
      </c>
      <c r="U78" s="128">
        <f>+Actuals!R160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  <c r="AL78" s="127">
        <f>+Actuals!AI200</f>
        <v>0</v>
      </c>
      <c r="AM78" s="128">
        <f>+Actuals!AJ200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44"/>
        <v>0</v>
      </c>
      <c r="E79" s="38">
        <f t="shared" si="45"/>
        <v>1307284</v>
      </c>
      <c r="F79" s="60">
        <f>'TIE-OUT'!F79+RECLASS!F79</f>
        <v>0</v>
      </c>
      <c r="G79" s="60">
        <f>'TIE-OUT'!G79+RECLASS!G79</f>
        <v>1307284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+Actuals!Q161</f>
        <v>0</v>
      </c>
      <c r="U79" s="128">
        <f>+Actuals!R161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  <c r="AL79" s="127">
        <f>+Actuals!AI201</f>
        <v>0</v>
      </c>
      <c r="AM79" s="128">
        <f>+Actuals!AJ201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+Actuals!Q162</f>
        <v>0</v>
      </c>
      <c r="U80" s="128">
        <f>+Actuals!R162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  <c r="AL80" s="127">
        <f>+Actuals!AI202</f>
        <v>0</v>
      </c>
      <c r="AM80" s="128">
        <f>+Actuals!AJ202</f>
        <v>0</v>
      </c>
    </row>
    <row r="81" spans="1:39" x14ac:dyDescent="0.25">
      <c r="A81" s="9">
        <v>40</v>
      </c>
      <c r="B81" s="3"/>
      <c r="C81" s="10" t="s">
        <v>81</v>
      </c>
      <c r="D81" s="60">
        <f t="shared" si="44"/>
        <v>0</v>
      </c>
      <c r="E81" s="38">
        <f t="shared" si="45"/>
        <v>0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+Actuals!Q163</f>
        <v>0</v>
      </c>
      <c r="U81" s="128">
        <f>+Actuals!R163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  <c r="AL81" s="127">
        <f>+Actuals!AI203</f>
        <v>0</v>
      </c>
      <c r="AM81" s="128">
        <f>+Actuals!AJ203</f>
        <v>0</v>
      </c>
    </row>
    <row r="82" spans="1:39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2284810.80399998</v>
      </c>
      <c r="F82" s="92">
        <f>F16+F24+F29+F36+F43+F45+F47+F49</f>
        <v>0</v>
      </c>
      <c r="G82" s="93">
        <f>SUM(G72:G81)+G16+G24+G29+G36+G43+G45+G47+G49+G51+G56+G61+G66</f>
        <v>-5782985.9699999997</v>
      </c>
      <c r="H82" s="92">
        <f>H16+H24+H29+H36+H43+H45+H47+H49</f>
        <v>0</v>
      </c>
      <c r="I82" s="158">
        <f>SUM(I72:I81)+I16+I24+I29+I36+I43+I45+I47+I49+I51+I56+I61+I66</f>
        <v>5017251.2697999589</v>
      </c>
      <c r="J82" s="92">
        <f>J16+J24+J29+J36+J43+J45+J47+J49</f>
        <v>0</v>
      </c>
      <c r="K82" s="158">
        <f>SUM(K72:K81)+K16+K24+K29+K36+K43+K45+K47+K49+K51+K56+K61+K66</f>
        <v>1262057.3279999997</v>
      </c>
      <c r="L82" s="92">
        <f>L16+L24+L29+L36+L43+L45+L47+L49</f>
        <v>0</v>
      </c>
      <c r="M82" s="93">
        <f>SUM(M72:M81)+M16+M24+M29+M36+M43+M45+M47+M49+M51+M56+M61+M66</f>
        <v>733878.40399999998</v>
      </c>
      <c r="N82" s="92">
        <f>N16+N24+N29+N36+N43+N45+N47+N49</f>
        <v>0</v>
      </c>
      <c r="O82" s="93">
        <f>SUM(O72:O81)+O16+O24+O29+O36+O43+O45+O47+O49+O51+O56+O61+O66</f>
        <v>235317.87919999997</v>
      </c>
      <c r="P82" s="92">
        <f>P16+P24+P29+P36+P43+P45+P47+P49</f>
        <v>0</v>
      </c>
      <c r="Q82" s="93">
        <f>SUM(Q72:Q81)+Q16+Q24+Q29+Q36+Q43+Q45+Q47+Q49+Q51+Q56+Q61+Q66</f>
        <v>-43034.240399999515</v>
      </c>
      <c r="R82" s="92">
        <f>R16+R24+R29+R36+R43+R45+R47+R49</f>
        <v>0</v>
      </c>
      <c r="S82" s="93">
        <f>SUM(S72:S81)+S16+S24+S29+S36+S43+S45+S47+S49+S51+S56+S61+S66</f>
        <v>434414.89519999962</v>
      </c>
      <c r="T82" s="92">
        <f>T16+T24+T29+T36+T43+T45+T47+T49</f>
        <v>0</v>
      </c>
      <c r="U82" s="93">
        <f>SUM(U72:U81)+U16+U24+U29+U36+U43+U45+U47+U49+U51+U56+U61+U66</f>
        <v>2744.7431999999872</v>
      </c>
      <c r="V82" s="92">
        <f>V16+V24+V29+V36+V43+V45+V47+V49</f>
        <v>0</v>
      </c>
      <c r="W82" s="93">
        <f>SUM(W72:W81)+W16+W24+W29+W36+W43+W45+W47+W49+W51+W56+W61+W66</f>
        <v>251626.84320000029</v>
      </c>
      <c r="X82" s="92">
        <f>X16+X24+X29+X36+X43+X45+X47+X49</f>
        <v>0</v>
      </c>
      <c r="Y82" s="93">
        <f>SUM(Y72:Y81)+Y16+Y24+Y29+Y36+Y43+Y45+Y47+Y49+Y51+Y56+Y61+Y66</f>
        <v>-5146.4104000000061</v>
      </c>
      <c r="Z82" s="92">
        <f>Z16+Z24+Z29+Z36+Z43+Z45+Z47+Z49</f>
        <v>0</v>
      </c>
      <c r="AA82" s="93">
        <f>SUM(AA72:AA81)+AA16+AA24+AA29+AA36+AA43+AA45+AA47+AA49+AA51+AA56+AA61+AA66</f>
        <v>-203357.20860000016</v>
      </c>
      <c r="AB82" s="92">
        <f>AB16+AB24+AB29+AB36+AB43+AB45+AB47+AB49</f>
        <v>0</v>
      </c>
      <c r="AC82" s="93">
        <f>SUM(AC72:AC81)+AC16+AC24+AC29+AC36+AC43+AC45+AC47+AC49+AC51+AC56+AC61+AC66</f>
        <v>35910.090000000004</v>
      </c>
      <c r="AD82" s="92">
        <f>AD16+AD24+AD29+AD36+AD43+AD45+AD47+AD49</f>
        <v>0</v>
      </c>
      <c r="AE82" s="93">
        <f>SUM(AE72:AE81)+AE16+AE24+AE29+AE36+AE43+AE45+AE47+AE49+AE51+AE56+AE61+AE66</f>
        <v>98627.849999999991</v>
      </c>
      <c r="AF82" s="92">
        <f>AF16+AF24+AF29+AF36+AF43+AF45+AF47+AF49</f>
        <v>0</v>
      </c>
      <c r="AG82" s="93">
        <f>SUM(AG72:AG81)+AG16+AG24+AG29+AG36+AG43+AG45+AG47+AG49+AG51+AG56+AG61+AG66</f>
        <v>-12333.2292</v>
      </c>
      <c r="AH82" s="92">
        <f>AH16+AH24+AH29+AH36+AH43+AH45+AH47+AH49</f>
        <v>0</v>
      </c>
      <c r="AI82" s="93">
        <f>SUM(AI72:AI81)+AI16+AI24+AI29+AI36+AI43+AI45+AI47+AI49+AI51+AI56+AI61+AI66</f>
        <v>507356.6</v>
      </c>
      <c r="AJ82" s="92">
        <f>AJ16+AJ24+AJ29+AJ36+AJ43+AJ45+AJ47+AJ49</f>
        <v>0</v>
      </c>
      <c r="AK82" s="93">
        <f>SUM(AK72:AK81)+AK16+AK24+AK29+AK36+AK43+AK45+AK47+AK49+AK51+AK56+AK61+AK66</f>
        <v>-26857.88</v>
      </c>
      <c r="AL82" s="92">
        <f>AL16+AL24+AL29+AL36+AL43+AL45+AL47+AL49</f>
        <v>0</v>
      </c>
      <c r="AM82" s="93">
        <f>SUM(AM72:AM81)+AM16+AM24+AM29+AM36+AM43+AM45+AM47+AM49+AM51+AM56+AM61+AM66</f>
        <v>-220660.16</v>
      </c>
    </row>
    <row r="83" spans="1:39" ht="13.8" thickTop="1" x14ac:dyDescent="0.25">
      <c r="A83" s="4"/>
      <c r="B83" s="3"/>
    </row>
    <row r="84" spans="1:39" x14ac:dyDescent="0.25">
      <c r="A84" s="4"/>
      <c r="B84" s="3"/>
    </row>
    <row r="85" spans="1:39" x14ac:dyDescent="0.25">
      <c r="A85" s="4"/>
      <c r="B85" s="3"/>
    </row>
    <row r="86" spans="1:39" x14ac:dyDescent="0.25">
      <c r="A86" s="4"/>
      <c r="B86" s="3"/>
    </row>
    <row r="87" spans="1:39" x14ac:dyDescent="0.25">
      <c r="A87" s="4"/>
      <c r="B87" s="3"/>
    </row>
    <row r="88" spans="1:39" x14ac:dyDescent="0.25">
      <c r="A88" s="4"/>
      <c r="B88" s="3"/>
    </row>
    <row r="89" spans="1:39" x14ac:dyDescent="0.25">
      <c r="A89" s="4"/>
      <c r="B89" s="3"/>
    </row>
    <row r="90" spans="1:39" x14ac:dyDescent="0.25">
      <c r="A90" s="4"/>
      <c r="B90" s="3"/>
    </row>
    <row r="91" spans="1:39" x14ac:dyDescent="0.25">
      <c r="A91" s="4"/>
      <c r="B91" s="3"/>
    </row>
    <row r="92" spans="1:39" x14ac:dyDescent="0.25">
      <c r="A92" s="4"/>
      <c r="B92" s="3"/>
    </row>
    <row r="93" spans="1:39" x14ac:dyDescent="0.25">
      <c r="A93" s="4"/>
      <c r="B93" s="3"/>
    </row>
    <row r="94" spans="1:39" x14ac:dyDescent="0.25">
      <c r="A94" s="4"/>
      <c r="B94" s="3"/>
    </row>
    <row r="95" spans="1:39" x14ac:dyDescent="0.25">
      <c r="A95" s="4"/>
      <c r="B95" s="3"/>
    </row>
    <row r="96" spans="1:3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M187"/>
  <sheetViews>
    <sheetView zoomScale="75" workbookViewId="0">
      <pane xSplit="3" ySplit="9" topLeftCell="AF61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L89" sqref="AL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9" width="15.44140625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78739942</v>
      </c>
      <c r="E11" s="38">
        <f t="shared" si="0"/>
        <v>184960054.87</v>
      </c>
      <c r="F11" s="60">
        <f>'TIE-OUT'!H11+RECLASS!H11</f>
        <v>0</v>
      </c>
      <c r="G11" s="38">
        <f>'TIE-OUT'!I11+RECLASS!I11</f>
        <v>-1602620</v>
      </c>
      <c r="H11" s="127">
        <f>+Actuals!E164</f>
        <v>78678516</v>
      </c>
      <c r="I11" s="128">
        <f>+Actuals!F164</f>
        <v>180535535.84999999</v>
      </c>
      <c r="J11" s="127">
        <f>+Actuals!G164</f>
        <v>66948</v>
      </c>
      <c r="K11" s="147">
        <f>+Actuals!H164</f>
        <v>20529677.590000004</v>
      </c>
      <c r="L11" s="127">
        <f>+Actuals!I164</f>
        <v>-722</v>
      </c>
      <c r="M11" s="128">
        <f>+Actuals!J164</f>
        <v>126813.9</v>
      </c>
      <c r="N11" s="127">
        <f>+Actuals!K164</f>
        <v>0</v>
      </c>
      <c r="O11" s="128">
        <f>+Actuals!L164</f>
        <v>0</v>
      </c>
      <c r="P11" s="127">
        <f>+Actuals!M164</f>
        <v>-10675</v>
      </c>
      <c r="Q11" s="128">
        <f>+Actuals!N164</f>
        <v>-14646532.470000001</v>
      </c>
      <c r="R11" s="127">
        <f>+Actuals!O164</f>
        <v>0</v>
      </c>
      <c r="S11" s="128">
        <f>+Actuals!P164</f>
        <v>0</v>
      </c>
      <c r="T11" s="127">
        <f>+Actuals!Q164</f>
        <v>0</v>
      </c>
      <c r="U11" s="128">
        <f>+Actuals!R164</f>
        <v>0</v>
      </c>
      <c r="V11" s="127">
        <f>+Actuals!S244</f>
        <v>0</v>
      </c>
      <c r="W11" s="128">
        <f>+Actuals!T244</f>
        <v>0</v>
      </c>
      <c r="X11" s="127">
        <f>+Actuals!U244</f>
        <v>0</v>
      </c>
      <c r="Y11" s="128">
        <f>+Actuals!V244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5875</v>
      </c>
      <c r="AE11" s="128">
        <f>+Actuals!AB244</f>
        <v>21630.2</v>
      </c>
      <c r="AF11" s="127">
        <f>+Actuals!AC244</f>
        <v>0</v>
      </c>
      <c r="AG11" s="128">
        <f>+Actuals!AD244</f>
        <v>-4450.2</v>
      </c>
      <c r="AH11" s="127">
        <f>+Actuals!AE244</f>
        <v>0</v>
      </c>
      <c r="AI11" s="128">
        <f>+Actuals!AF244</f>
        <v>0</v>
      </c>
      <c r="AJ11" s="127">
        <f>+Actuals!AG244</f>
        <v>0</v>
      </c>
      <c r="AK11" s="128">
        <f>+Actuals!AH244</f>
        <v>0</v>
      </c>
      <c r="AL11" s="127">
        <f>+Actuals!AI244</f>
        <v>0</v>
      </c>
      <c r="AM11" s="128">
        <f>+Actuals!AJ244</f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-1505387.0199999998</v>
      </c>
      <c r="F12" s="60">
        <f>'TIE-OUT'!H12+RECLASS!H12</f>
        <v>0</v>
      </c>
      <c r="G12" s="38">
        <f>'TIE-OUT'!I12+RECLASS!I12</f>
        <v>-1505387.0199999998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</f>
        <v>0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  <c r="AL12" s="127">
        <f>+Actuals!AI245</f>
        <v>0</v>
      </c>
      <c r="AM12" s="128">
        <f>+Actuals!AJ245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37219120</v>
      </c>
      <c r="E13" s="38">
        <f t="shared" si="0"/>
        <v>85375528</v>
      </c>
      <c r="F13" s="60">
        <f>'TIE-OUT'!H13+RECLASS!H13</f>
        <v>0</v>
      </c>
      <c r="G13" s="38">
        <f>'TIE-OUT'!I13+RECLASS!I13</f>
        <v>0</v>
      </c>
      <c r="H13" s="127">
        <f>+Actuals!E166</f>
        <v>37219120</v>
      </c>
      <c r="I13" s="128">
        <f>+Actuals!F166</f>
        <v>85375528</v>
      </c>
      <c r="J13" s="127">
        <f>+Actuals!G166</f>
        <v>0</v>
      </c>
      <c r="K13" s="147">
        <f>+Actuals!H166</f>
        <v>0</v>
      </c>
      <c r="L13" s="127">
        <f>+Actuals!I166</f>
        <v>-146210</v>
      </c>
      <c r="M13" s="128">
        <f>+Actuals!J166</f>
        <v>-326153</v>
      </c>
      <c r="N13" s="127">
        <f>+Actuals!K166</f>
        <v>0</v>
      </c>
      <c r="O13" s="128">
        <f>+Actuals!L166</f>
        <v>0</v>
      </c>
      <c r="P13" s="127">
        <f>+Actuals!M166</f>
        <v>0</v>
      </c>
      <c r="Q13" s="128">
        <f>+Actuals!N166</f>
        <v>0</v>
      </c>
      <c r="R13" s="127">
        <f>+Actuals!O166</f>
        <v>465278</v>
      </c>
      <c r="S13" s="128">
        <f>+Actuals!P166</f>
        <v>1052380</v>
      </c>
      <c r="T13" s="127">
        <f>+Actuals!Q166</f>
        <v>-319068</v>
      </c>
      <c r="U13" s="128">
        <f>+Actuals!R166</f>
        <v>-726227</v>
      </c>
      <c r="V13" s="127">
        <f>+Actuals!S246</f>
        <v>319068</v>
      </c>
      <c r="W13" s="128">
        <f>+Actuals!T246</f>
        <v>726227</v>
      </c>
      <c r="X13" s="127">
        <f>+Actuals!U246</f>
        <v>0</v>
      </c>
      <c r="Y13" s="128">
        <f>+Actuals!V246</f>
        <v>0</v>
      </c>
      <c r="Z13" s="127">
        <f>+Actuals!W246</f>
        <v>-319068</v>
      </c>
      <c r="AA13" s="128">
        <f>+Actuals!X246</f>
        <v>-726227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  <c r="AF13" s="127">
        <f>+Actuals!AC246</f>
        <v>0</v>
      </c>
      <c r="AG13" s="128">
        <f>+Actuals!AD246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  <c r="AL13" s="127">
        <f>+Actuals!AI246</f>
        <v>0</v>
      </c>
      <c r="AM13" s="128">
        <f>+Actuals!AJ246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  <c r="AL14" s="127">
        <f>+Actuals!AI247</f>
        <v>0</v>
      </c>
      <c r="AM14" s="128">
        <f>+Actuals!AJ247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15000</v>
      </c>
      <c r="F15" s="81">
        <f>'TIE-OUT'!H15+RECLASS!H15</f>
        <v>0</v>
      </c>
      <c r="G15" s="82">
        <f>'TIE-OUT'!I15+RECLASS!I15</f>
        <v>15000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0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+Actuals!Q168</f>
        <v>0</v>
      </c>
      <c r="U15" s="128">
        <f>+Actuals!R168</f>
        <v>0</v>
      </c>
      <c r="V15" s="127">
        <f>+Actuals!S248</f>
        <v>0</v>
      </c>
      <c r="W15" s="128">
        <f>+Actuals!T248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  <c r="AL15" s="127">
        <f>+Actuals!AI248</f>
        <v>0</v>
      </c>
      <c r="AM15" s="128">
        <f>+Actuals!AJ248</f>
        <v>0</v>
      </c>
    </row>
    <row r="16" spans="1:39" x14ac:dyDescent="0.25">
      <c r="A16" s="9"/>
      <c r="B16" s="7" t="s">
        <v>33</v>
      </c>
      <c r="C16" s="6"/>
      <c r="D16" s="61">
        <f t="shared" ref="D16:W16" si="1">SUM(D11:D15)</f>
        <v>115959062</v>
      </c>
      <c r="E16" s="39">
        <f t="shared" si="1"/>
        <v>268845195.85000002</v>
      </c>
      <c r="F16" s="61">
        <f t="shared" si="1"/>
        <v>0</v>
      </c>
      <c r="G16" s="39">
        <f t="shared" si="1"/>
        <v>-3093007.0199999996</v>
      </c>
      <c r="H16" s="61">
        <f t="shared" si="1"/>
        <v>115897636</v>
      </c>
      <c r="I16" s="39">
        <f t="shared" si="1"/>
        <v>265911063.84999999</v>
      </c>
      <c r="J16" s="61">
        <f t="shared" si="1"/>
        <v>66948</v>
      </c>
      <c r="K16" s="148">
        <f t="shared" si="1"/>
        <v>20529677.590000004</v>
      </c>
      <c r="L16" s="61">
        <f t="shared" si="1"/>
        <v>-146932</v>
      </c>
      <c r="M16" s="39">
        <f t="shared" si="1"/>
        <v>-199339.1</v>
      </c>
      <c r="N16" s="61">
        <f t="shared" si="1"/>
        <v>0</v>
      </c>
      <c r="O16" s="39">
        <f t="shared" si="1"/>
        <v>0</v>
      </c>
      <c r="P16" s="61">
        <f t="shared" si="1"/>
        <v>-10675</v>
      </c>
      <c r="Q16" s="39">
        <f t="shared" si="1"/>
        <v>-14646532.470000001</v>
      </c>
      <c r="R16" s="61">
        <f t="shared" si="1"/>
        <v>465278</v>
      </c>
      <c r="S16" s="39">
        <f t="shared" si="1"/>
        <v>1052380</v>
      </c>
      <c r="T16" s="61">
        <f t="shared" si="1"/>
        <v>-319068</v>
      </c>
      <c r="U16" s="39">
        <f t="shared" si="1"/>
        <v>-726227</v>
      </c>
      <c r="V16" s="61">
        <f t="shared" si="1"/>
        <v>319068</v>
      </c>
      <c r="W16" s="39">
        <f t="shared" si="1"/>
        <v>726227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-319068</v>
      </c>
      <c r="AA16" s="39">
        <f t="shared" si="2"/>
        <v>-726227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5875</v>
      </c>
      <c r="AE16" s="39">
        <f t="shared" si="3"/>
        <v>21630.2</v>
      </c>
      <c r="AF16" s="61">
        <f t="shared" si="3"/>
        <v>0</v>
      </c>
      <c r="AG16" s="39">
        <f t="shared" si="3"/>
        <v>-4450.2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-83005038</v>
      </c>
      <c r="E19" s="38">
        <f t="shared" si="4"/>
        <v>-188753775.04999998</v>
      </c>
      <c r="F19" s="64">
        <f>'TIE-OUT'!H19+RECLASS!H19</f>
        <v>0</v>
      </c>
      <c r="G19" s="68">
        <f>'TIE-OUT'!I19+RECLASS!I19</f>
        <v>0</v>
      </c>
      <c r="H19" s="127">
        <f>+Actuals!E169</f>
        <v>-90815512</v>
      </c>
      <c r="I19" s="128">
        <f>+Actuals!F169</f>
        <v>-201449130.89999998</v>
      </c>
      <c r="J19" s="127">
        <f>+Actuals!G169</f>
        <v>162017</v>
      </c>
      <c r="K19" s="147">
        <f>+Actuals!H169</f>
        <v>-2413312.63</v>
      </c>
      <c r="L19" s="127">
        <f>+Actuals!I169</f>
        <v>1385179</v>
      </c>
      <c r="M19" s="128">
        <f>+Actuals!J169</f>
        <v>3050908.38</v>
      </c>
      <c r="N19" s="127">
        <f>+Actuals!K169</f>
        <v>-7794</v>
      </c>
      <c r="O19" s="128">
        <f>+Actuals!L169</f>
        <v>-150009.76999999999</v>
      </c>
      <c r="P19" s="127">
        <f>+Actuals!M169</f>
        <v>6272998</v>
      </c>
      <c r="Q19" s="128">
        <f>+Actuals!N169</f>
        <v>12212774.470000001</v>
      </c>
      <c r="R19" s="127">
        <f>+Actuals!O169</f>
        <v>0</v>
      </c>
      <c r="S19" s="128">
        <f>+Actuals!P169</f>
        <v>0</v>
      </c>
      <c r="T19" s="127">
        <f>+Actuals!Q169</f>
        <v>0</v>
      </c>
      <c r="U19" s="128">
        <f>+Actuals!R169</f>
        <v>0</v>
      </c>
      <c r="V19" s="127">
        <f>+Actuals!S249</f>
        <v>-1598</v>
      </c>
      <c r="W19" s="128">
        <f>+Actuals!T249</f>
        <v>-3607.64</v>
      </c>
      <c r="X19" s="127">
        <f>+Actuals!U249</f>
        <v>0</v>
      </c>
      <c r="Y19" s="128">
        <f>+Actuals!V249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-328</v>
      </c>
      <c r="AE19" s="128">
        <f>+Actuals!AB249</f>
        <v>-1396.96</v>
      </c>
      <c r="AF19" s="127">
        <f>+Actuals!AC249</f>
        <v>0</v>
      </c>
      <c r="AG19" s="128">
        <f>+Actuals!AD249</f>
        <v>0</v>
      </c>
      <c r="AH19" s="127">
        <f>+Actuals!AE249</f>
        <v>0</v>
      </c>
      <c r="AI19" s="128">
        <f>+Actuals!AF249</f>
        <v>0</v>
      </c>
      <c r="AJ19" s="127">
        <f>+Actuals!AG249</f>
        <v>0</v>
      </c>
      <c r="AK19" s="128">
        <f>+Actuals!AH249</f>
        <v>0</v>
      </c>
      <c r="AL19" s="127">
        <f>+Actuals!AI249</f>
        <v>0</v>
      </c>
      <c r="AM19" s="128">
        <f>+Actuals!AJ249</f>
        <v>0</v>
      </c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-385025.32</v>
      </c>
      <c r="F20" s="60">
        <f>'TIE-OUT'!H20+RECLASS!H20</f>
        <v>0</v>
      </c>
      <c r="G20" s="38">
        <f>'TIE-OUT'!I20+RECLASS!I20</f>
        <v>-385025.32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+Actuals!S250</f>
        <v>0</v>
      </c>
      <c r="W20" s="157">
        <v>0</v>
      </c>
      <c r="X20" s="127">
        <f>+Actuals!U250</f>
        <v>0</v>
      </c>
      <c r="Y20" s="128">
        <v>0</v>
      </c>
      <c r="Z20" s="127">
        <f>+Actuals!W250</f>
        <v>0</v>
      </c>
      <c r="AA20" s="128">
        <v>0</v>
      </c>
      <c r="AB20" s="127">
        <f>+Actuals!Y250</f>
        <v>0</v>
      </c>
      <c r="AC20" s="128">
        <v>0</v>
      </c>
      <c r="AD20" s="127">
        <f>+Actuals!AA250</f>
        <v>0</v>
      </c>
      <c r="AE20" s="128">
        <v>0</v>
      </c>
      <c r="AF20" s="127">
        <f>+Actuals!AC250</f>
        <v>0</v>
      </c>
      <c r="AG20" s="128">
        <v>0</v>
      </c>
      <c r="AH20" s="127">
        <f>+Actuals!AE250</f>
        <v>0</v>
      </c>
      <c r="AI20" s="128">
        <v>0</v>
      </c>
      <c r="AJ20" s="127">
        <f>+Actuals!AG250</f>
        <v>0</v>
      </c>
      <c r="AK20" s="128">
        <v>0</v>
      </c>
      <c r="AL20" s="127">
        <f>+Actuals!AI250</f>
        <v>0</v>
      </c>
      <c r="AM20" s="128"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-32629494</v>
      </c>
      <c r="E21" s="38">
        <f t="shared" si="4"/>
        <v>-75619749</v>
      </c>
      <c r="F21" s="60">
        <f>'TIE-OUT'!H21+RECLASS!H21</f>
        <v>0</v>
      </c>
      <c r="G21" s="38">
        <f>'TIE-OUT'!I21+RECLASS!I21</f>
        <v>0</v>
      </c>
      <c r="H21" s="127">
        <f>+Actuals!E171</f>
        <v>-32629494</v>
      </c>
      <c r="I21" s="128">
        <f>+Actuals!F171</f>
        <v>-75619749</v>
      </c>
      <c r="J21" s="127">
        <f>+Actuals!G171</f>
        <v>0</v>
      </c>
      <c r="K21" s="147">
        <f>+Actuals!H171</f>
        <v>0</v>
      </c>
      <c r="L21" s="127">
        <f>+Actuals!I171</f>
        <v>181781</v>
      </c>
      <c r="M21" s="128">
        <f>+Actuals!J171</f>
        <v>402259</v>
      </c>
      <c r="N21" s="127">
        <f>+Actuals!K171</f>
        <v>0</v>
      </c>
      <c r="O21" s="128">
        <f>+Actuals!L171</f>
        <v>0</v>
      </c>
      <c r="P21" s="127">
        <f>+Actuals!M171</f>
        <v>0</v>
      </c>
      <c r="Q21" s="128">
        <f>+Actuals!N171</f>
        <v>0</v>
      </c>
      <c r="R21" s="127">
        <f>+Actuals!O171</f>
        <v>-465278</v>
      </c>
      <c r="S21" s="128">
        <f>+Actuals!P171</f>
        <v>-1052380</v>
      </c>
      <c r="T21" s="127">
        <f>+Actuals!Q171</f>
        <v>283497</v>
      </c>
      <c r="U21" s="128">
        <f>+Actuals!R171</f>
        <v>650121</v>
      </c>
      <c r="V21" s="127">
        <f>+Actuals!S251</f>
        <v>-283497</v>
      </c>
      <c r="W21" s="128">
        <f>+Actuals!T251</f>
        <v>-650121</v>
      </c>
      <c r="X21" s="127">
        <f>+Actuals!U251</f>
        <v>0</v>
      </c>
      <c r="Y21" s="128">
        <f>+Actuals!V251</f>
        <v>0</v>
      </c>
      <c r="Z21" s="127">
        <f>+Actuals!W251</f>
        <v>283497</v>
      </c>
      <c r="AA21" s="128">
        <f>+Actuals!X251</f>
        <v>650121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  <c r="AF21" s="127">
        <f>+Actuals!AC251</f>
        <v>0</v>
      </c>
      <c r="AG21" s="128">
        <f>+Actuals!AD251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  <c r="AL21" s="127">
        <f>+Actuals!AI251</f>
        <v>0</v>
      </c>
      <c r="AM21" s="128">
        <f>+Actuals!AJ251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  <c r="AL22" s="127">
        <f>+Actuals!AI252</f>
        <v>0</v>
      </c>
      <c r="AM22" s="128">
        <f>+Actuals!AJ252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107508</v>
      </c>
      <c r="E23" s="38">
        <f t="shared" si="4"/>
        <v>239690.27099999998</v>
      </c>
      <c r="F23" s="81">
        <f>'TIE-OUT'!H23+RECLASS!H23</f>
        <v>0</v>
      </c>
      <c r="G23" s="82">
        <f>'TIE-OUT'!I23+RECLASS!I23</f>
        <v>0</v>
      </c>
      <c r="H23" s="127">
        <f>+Actuals!E173</f>
        <v>136325</v>
      </c>
      <c r="I23" s="128">
        <f>+Actuals!F173</f>
        <v>303868.43</v>
      </c>
      <c r="J23" s="127">
        <f>+Actuals!G173</f>
        <v>-23362</v>
      </c>
      <c r="K23" s="147">
        <f>+Actuals!H173</f>
        <v>-52019.326000000001</v>
      </c>
      <c r="L23" s="127">
        <f>+Actuals!I173</f>
        <v>-5455</v>
      </c>
      <c r="M23" s="128">
        <f>+Actuals!J173</f>
        <v>-12158.833000000001</v>
      </c>
      <c r="N23" s="127">
        <f>+Actuals!K173</f>
        <v>0</v>
      </c>
      <c r="O23" s="128">
        <f>+Actuals!L173</f>
        <v>0</v>
      </c>
      <c r="P23" s="127">
        <f>+Actuals!M173</f>
        <v>0</v>
      </c>
      <c r="Q23" s="128">
        <f>+Actuals!N173</f>
        <v>0</v>
      </c>
      <c r="R23" s="127">
        <f>+Actuals!O173</f>
        <v>0</v>
      </c>
      <c r="S23" s="128">
        <f>+Actuals!P173</f>
        <v>0</v>
      </c>
      <c r="T23" s="127">
        <f>+Actuals!Q173</f>
        <v>0</v>
      </c>
      <c r="U23" s="128">
        <f>+Actuals!R173</f>
        <v>0</v>
      </c>
      <c r="V23" s="127">
        <f>+Actuals!S253</f>
        <v>0</v>
      </c>
      <c r="W23" s="128">
        <f>+Actuals!T253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f>+Actuals!AE253</f>
        <v>0</v>
      </c>
      <c r="AI23" s="128">
        <f>+Actuals!AF253</f>
        <v>0</v>
      </c>
      <c r="AJ23" s="127">
        <f>+Actuals!AG253</f>
        <v>0</v>
      </c>
      <c r="AK23" s="128">
        <f>+Actuals!AH253</f>
        <v>0</v>
      </c>
      <c r="AL23" s="127">
        <f>+Actuals!AI253</f>
        <v>0</v>
      </c>
      <c r="AM23" s="128">
        <f>+Actuals!AJ253</f>
        <v>0</v>
      </c>
    </row>
    <row r="24" spans="1:39" x14ac:dyDescent="0.25">
      <c r="A24" s="9"/>
      <c r="B24" s="7" t="s">
        <v>36</v>
      </c>
      <c r="C24" s="6"/>
      <c r="D24" s="61">
        <f t="shared" ref="D24:W24" si="5">SUM(D19:D23)</f>
        <v>-115527024</v>
      </c>
      <c r="E24" s="39">
        <f t="shared" si="5"/>
        <v>-264518859.09899998</v>
      </c>
      <c r="F24" s="61">
        <f t="shared" si="5"/>
        <v>0</v>
      </c>
      <c r="G24" s="39">
        <f t="shared" si="5"/>
        <v>-385025.32</v>
      </c>
      <c r="H24" s="61">
        <f t="shared" si="5"/>
        <v>-123308681</v>
      </c>
      <c r="I24" s="39">
        <f t="shared" si="5"/>
        <v>-276765011.46999997</v>
      </c>
      <c r="J24" s="61">
        <f t="shared" si="5"/>
        <v>138655</v>
      </c>
      <c r="K24" s="148">
        <f t="shared" si="5"/>
        <v>-2465331.9559999998</v>
      </c>
      <c r="L24" s="61">
        <f t="shared" si="5"/>
        <v>1561505</v>
      </c>
      <c r="M24" s="39">
        <f t="shared" si="5"/>
        <v>3441008.5469999998</v>
      </c>
      <c r="N24" s="61">
        <f t="shared" si="5"/>
        <v>-7794</v>
      </c>
      <c r="O24" s="39">
        <f t="shared" si="5"/>
        <v>-150009.76999999999</v>
      </c>
      <c r="P24" s="61">
        <f t="shared" si="5"/>
        <v>6272998</v>
      </c>
      <c r="Q24" s="39">
        <f t="shared" si="5"/>
        <v>12212774.470000001</v>
      </c>
      <c r="R24" s="61">
        <f t="shared" si="5"/>
        <v>-465278</v>
      </c>
      <c r="S24" s="39">
        <f t="shared" si="5"/>
        <v>-1052380</v>
      </c>
      <c r="T24" s="61">
        <f t="shared" si="5"/>
        <v>283497</v>
      </c>
      <c r="U24" s="39">
        <f t="shared" si="5"/>
        <v>650121</v>
      </c>
      <c r="V24" s="61">
        <f t="shared" si="5"/>
        <v>-285095</v>
      </c>
      <c r="W24" s="39">
        <f t="shared" si="5"/>
        <v>-653728.64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283497</v>
      </c>
      <c r="AA24" s="39">
        <f t="shared" si="6"/>
        <v>650121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-328</v>
      </c>
      <c r="AE24" s="39">
        <f t="shared" si="7"/>
        <v>-1396.96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67000</v>
      </c>
      <c r="E27" s="38">
        <f>SUM(G27,I27,K27,M27,O27,Q27,S27,U27,W27,Y27,AA27,AC27,AE27,AG27,AI27,AK27,AM27)</f>
        <v>155075.79</v>
      </c>
      <c r="F27" s="64">
        <f>'TIE-OUT'!H27+RECLASS!H27</f>
        <v>0</v>
      </c>
      <c r="G27" s="68">
        <f>'TIE-OUT'!I27+RECLASS!I27</f>
        <v>0</v>
      </c>
      <c r="H27" s="127">
        <f>+Actuals!E174</f>
        <v>0</v>
      </c>
      <c r="I27" s="128">
        <f>+Actuals!F174</f>
        <v>0</v>
      </c>
      <c r="J27" s="127">
        <f>+Actuals!G174</f>
        <v>67000</v>
      </c>
      <c r="K27" s="147">
        <f>+Actuals!H174</f>
        <v>155075.79</v>
      </c>
      <c r="L27" s="127">
        <f>+Actuals!I174</f>
        <v>0</v>
      </c>
      <c r="M27" s="128">
        <f>+Actuals!J174</f>
        <v>0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+Actuals!S254</f>
        <v>0</v>
      </c>
      <c r="W27" s="128">
        <f>+Actuals!T254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  <c r="AL27" s="127">
        <f>+Actuals!AI254</f>
        <v>0</v>
      </c>
      <c r="AM27" s="128">
        <f>+Actuals!AJ254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-1181054</v>
      </c>
      <c r="E28" s="38">
        <f>SUM(G28,I28,K28,M28,O28,Q28,S28,U28,W28,Y28,AA28,AC28,AE28,AG28,AI28,AK28,AM28)</f>
        <v>-2727008.2800000003</v>
      </c>
      <c r="F28" s="81">
        <f>'TIE-OUT'!H28+RECLASS!H28</f>
        <v>0</v>
      </c>
      <c r="G28" s="82">
        <f>'TIE-OUT'!I28+RECLASS!I28</f>
        <v>0</v>
      </c>
      <c r="H28" s="127">
        <f>+Actuals!E175</f>
        <v>-1181054</v>
      </c>
      <c r="I28" s="128">
        <f>+Actuals!F175</f>
        <v>-2726884.02</v>
      </c>
      <c r="J28" s="127">
        <f>+Actuals!G175</f>
        <v>0</v>
      </c>
      <c r="K28" s="147">
        <f>+Actuals!H175</f>
        <v>0.01</v>
      </c>
      <c r="L28" s="127">
        <f>+Actuals!I175</f>
        <v>0</v>
      </c>
      <c r="M28" s="128">
        <f>+Actuals!J175</f>
        <v>0</v>
      </c>
      <c r="N28" s="127">
        <f>+Actuals!K175</f>
        <v>0</v>
      </c>
      <c r="O28" s="128">
        <f>+Actuals!L175</f>
        <v>-124.27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+Actuals!S255</f>
        <v>0</v>
      </c>
      <c r="W28" s="128">
        <f>+Actuals!T255</f>
        <v>0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  <c r="AL28" s="127">
        <f>+Actuals!AI255</f>
        <v>0</v>
      </c>
      <c r="AM28" s="128">
        <f>+Actuals!AJ255</f>
        <v>0</v>
      </c>
    </row>
    <row r="29" spans="1:39" x14ac:dyDescent="0.25">
      <c r="A29" s="9"/>
      <c r="B29" s="7" t="s">
        <v>40</v>
      </c>
      <c r="C29" s="18"/>
      <c r="D29" s="61">
        <f t="shared" ref="D29:W29" si="8">SUM(D27:D28)</f>
        <v>-1114054</v>
      </c>
      <c r="E29" s="39">
        <f t="shared" si="8"/>
        <v>-2571932.4900000002</v>
      </c>
      <c r="F29" s="61">
        <f t="shared" si="8"/>
        <v>0</v>
      </c>
      <c r="G29" s="39">
        <f t="shared" si="8"/>
        <v>0</v>
      </c>
      <c r="H29" s="61">
        <f t="shared" si="8"/>
        <v>-1181054</v>
      </c>
      <c r="I29" s="39">
        <f t="shared" si="8"/>
        <v>-2726884.02</v>
      </c>
      <c r="J29" s="61">
        <f t="shared" si="8"/>
        <v>67000</v>
      </c>
      <c r="K29" s="148">
        <f t="shared" si="8"/>
        <v>155075.80000000002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-124.27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-198836</v>
      </c>
      <c r="E32" s="38">
        <f t="shared" si="11"/>
        <v>-1149705.51</v>
      </c>
      <c r="F32" s="64">
        <f>'TIE-OUT'!H32+RECLASS!H32</f>
        <v>0</v>
      </c>
      <c r="G32" s="68">
        <f>'TIE-OUT'!I32+RECLASS!I32</f>
        <v>0</v>
      </c>
      <c r="H32" s="127">
        <f>+Actuals!E176</f>
        <v>237412</v>
      </c>
      <c r="I32" s="128">
        <f>+Actuals!F176</f>
        <v>529191.35</v>
      </c>
      <c r="J32" s="127">
        <f>+Actuals!G176</f>
        <v>-645371</v>
      </c>
      <c r="K32" s="147">
        <f>+Actuals!H176</f>
        <v>-1453218.4850000001</v>
      </c>
      <c r="L32" s="127">
        <f>+Actuals!I176</f>
        <v>225182</v>
      </c>
      <c r="M32" s="128">
        <f>+Actuals!J176</f>
        <v>375878.91200000001</v>
      </c>
      <c r="N32" s="127">
        <f>+Actuals!K176</f>
        <v>1840</v>
      </c>
      <c r="O32" s="128">
        <f>+Actuals!L176</f>
        <v>23792.651999999998</v>
      </c>
      <c r="P32" s="127">
        <f>+Actuals!M176</f>
        <v>-7848</v>
      </c>
      <c r="Q32" s="128">
        <f>+Actuals!N176</f>
        <v>-602946.25899999996</v>
      </c>
      <c r="R32" s="127">
        <f>+Actuals!O176</f>
        <v>0</v>
      </c>
      <c r="S32" s="128">
        <f>+Actuals!P176</f>
        <v>0</v>
      </c>
      <c r="T32" s="127">
        <f>+Actuals!Q176</f>
        <v>0</v>
      </c>
      <c r="U32" s="128">
        <f>+Actuals!R176</f>
        <v>0</v>
      </c>
      <c r="V32" s="127">
        <f>+Actuals!S256</f>
        <v>0</v>
      </c>
      <c r="W32" s="128">
        <f>+Actuals!T256</f>
        <v>0</v>
      </c>
      <c r="X32" s="127">
        <f>+Actuals!U256</f>
        <v>0</v>
      </c>
      <c r="Y32" s="128">
        <f>+Actuals!V256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  <c r="AF32" s="127">
        <f>+Actuals!AC256</f>
        <v>0</v>
      </c>
      <c r="AG32" s="128">
        <f>+Actuals!AD256</f>
        <v>0</v>
      </c>
      <c r="AH32" s="127">
        <f>+Actuals!AE256</f>
        <v>0</v>
      </c>
      <c r="AI32" s="128">
        <f>+Actuals!AF256</f>
        <v>0</v>
      </c>
      <c r="AJ32" s="127">
        <f>+Actuals!AG256</f>
        <v>0</v>
      </c>
      <c r="AK32" s="128">
        <f>+Actuals!AH256</f>
        <v>0</v>
      </c>
      <c r="AL32" s="127">
        <v>-10051</v>
      </c>
      <c r="AM32" s="128">
        <v>-22403.68</v>
      </c>
    </row>
    <row r="33" spans="1:39" x14ac:dyDescent="0.25">
      <c r="A33" s="9">
        <v>14</v>
      </c>
      <c r="B33" s="7"/>
      <c r="C33" s="18" t="s">
        <v>43</v>
      </c>
      <c r="D33" s="60">
        <f t="shared" si="11"/>
        <v>-30095</v>
      </c>
      <c r="E33" s="38">
        <f t="shared" si="11"/>
        <v>-66744.39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-29794</v>
      </c>
      <c r="K33" s="147">
        <f>+Actuals!H177</f>
        <v>-66068.19</v>
      </c>
      <c r="L33" s="127">
        <f>+Actuals!I177</f>
        <v>0</v>
      </c>
      <c r="M33" s="128">
        <f>+Actuals!J177</f>
        <v>0</v>
      </c>
      <c r="N33" s="127">
        <f>+Actuals!K177</f>
        <v>-301</v>
      </c>
      <c r="O33" s="128">
        <f>+Actuals!L177</f>
        <v>-676.2</v>
      </c>
      <c r="P33" s="127">
        <f>+Actuals!M177</f>
        <v>0</v>
      </c>
      <c r="Q33" s="128">
        <f>+Actuals!N177</f>
        <v>0</v>
      </c>
      <c r="R33" s="127">
        <f>+Actuals!O177</f>
        <v>0</v>
      </c>
      <c r="S33" s="128">
        <f>+Actuals!P177</f>
        <v>0</v>
      </c>
      <c r="T33" s="127">
        <f>+Actuals!Q177</f>
        <v>0</v>
      </c>
      <c r="U33" s="128">
        <f>+Actuals!R177</f>
        <v>0</v>
      </c>
      <c r="V33" s="127">
        <f>+Actuals!S257</f>
        <v>0</v>
      </c>
      <c r="W33" s="128">
        <f>+Actuals!T257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  <c r="AF33" s="127">
        <f>+Actuals!AC257</f>
        <v>0</v>
      </c>
      <c r="AG33" s="128">
        <f>+Actuals!AD257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  <c r="AL33" s="127">
        <f>+Actuals!AI257</f>
        <v>0</v>
      </c>
      <c r="AM33" s="128">
        <f>+Actuals!AJ257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1"/>
        <v>328919</v>
      </c>
      <c r="E34" s="38">
        <f t="shared" si="11"/>
        <v>734440.80999999994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318136</v>
      </c>
      <c r="K34" s="147">
        <f>+Actuals!H178</f>
        <v>710538.57</v>
      </c>
      <c r="L34" s="127">
        <f>+Actuals!I178</f>
        <v>5</v>
      </c>
      <c r="M34" s="128">
        <f>+Actuals!J178</f>
        <v>10.79</v>
      </c>
      <c r="N34" s="127">
        <f>+Actuals!K178</f>
        <v>5954</v>
      </c>
      <c r="O34" s="128">
        <f>+Actuals!L178</f>
        <v>13474.99</v>
      </c>
      <c r="P34" s="127">
        <f>+Actuals!M178</f>
        <v>4824</v>
      </c>
      <c r="Q34" s="128">
        <f>+Actuals!N178</f>
        <v>10416.459999999999</v>
      </c>
      <c r="R34" s="127">
        <f>+Actuals!O178</f>
        <v>0</v>
      </c>
      <c r="S34" s="128">
        <f>+Actuals!P178</f>
        <v>0</v>
      </c>
      <c r="T34" s="127">
        <f>+Actuals!Q178</f>
        <v>0</v>
      </c>
      <c r="U34" s="128">
        <f>+Actuals!R178</f>
        <v>0</v>
      </c>
      <c r="V34" s="127">
        <f>+Actuals!S258</f>
        <v>0</v>
      </c>
      <c r="W34" s="128">
        <f>+Actuals!T258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  <c r="AL34" s="127">
        <f>+Actuals!AI258</f>
        <v>0</v>
      </c>
      <c r="AM34" s="128">
        <f>+Actuals!AJ258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1"/>
        <v>600000</v>
      </c>
      <c r="E35" s="38">
        <f t="shared" si="11"/>
        <v>706499.99</v>
      </c>
      <c r="F35" s="81">
        <f>'TIE-OUT'!H35+RECLASS!H35</f>
        <v>0</v>
      </c>
      <c r="G35" s="82">
        <f>'TIE-OUT'!I35+RECLASS!I35</f>
        <v>0</v>
      </c>
      <c r="H35" s="127">
        <f>+Actuals!E179</f>
        <v>-600000</v>
      </c>
      <c r="I35" s="128">
        <f>+Actuals!F179</f>
        <v>-0.01</v>
      </c>
      <c r="J35" s="127">
        <f>+Actuals!G179</f>
        <v>1200000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706500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  <c r="AL35" s="127">
        <f>+Actuals!AI259</f>
        <v>0</v>
      </c>
      <c r="AM35" s="128">
        <f>+Actuals!AJ259</f>
        <v>0</v>
      </c>
    </row>
    <row r="36" spans="1:39" x14ac:dyDescent="0.25">
      <c r="A36" s="9"/>
      <c r="B36" s="7" t="s">
        <v>46</v>
      </c>
      <c r="C36" s="6"/>
      <c r="D36" s="61">
        <f t="shared" ref="D36:W36" si="12">SUM(D32:D35)</f>
        <v>699988</v>
      </c>
      <c r="E36" s="39">
        <f t="shared" si="12"/>
        <v>224490.90000000002</v>
      </c>
      <c r="F36" s="61">
        <f t="shared" si="12"/>
        <v>0</v>
      </c>
      <c r="G36" s="39">
        <f t="shared" si="12"/>
        <v>0</v>
      </c>
      <c r="H36" s="61">
        <f t="shared" si="12"/>
        <v>-362588</v>
      </c>
      <c r="I36" s="39">
        <f t="shared" si="12"/>
        <v>529191.34</v>
      </c>
      <c r="J36" s="61">
        <f t="shared" si="12"/>
        <v>842971</v>
      </c>
      <c r="K36" s="148">
        <f t="shared" si="12"/>
        <v>-808748.1050000001</v>
      </c>
      <c r="L36" s="61">
        <f t="shared" si="12"/>
        <v>225187</v>
      </c>
      <c r="M36" s="39">
        <f t="shared" si="12"/>
        <v>375889.70199999999</v>
      </c>
      <c r="N36" s="61">
        <f t="shared" si="12"/>
        <v>7493</v>
      </c>
      <c r="O36" s="39">
        <f t="shared" si="12"/>
        <v>36591.441999999995</v>
      </c>
      <c r="P36" s="61">
        <f t="shared" si="12"/>
        <v>-3024</v>
      </c>
      <c r="Q36" s="39">
        <f t="shared" si="12"/>
        <v>113970.201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-10051</v>
      </c>
      <c r="AM36" s="39">
        <f>SUM(AM32:AM35)</f>
        <v>-22403.68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'TIE-OUT'!H39+RECLASS!H39</f>
        <v>0</v>
      </c>
      <c r="G39" s="68">
        <f>'TIE-OUT'!I39+RECLASS!I39</f>
        <v>0</v>
      </c>
      <c r="H39" s="127">
        <f>+Actuals!E180</f>
        <v>0</v>
      </c>
      <c r="I39" s="128">
        <f>+Actuals!F180</f>
        <v>0</v>
      </c>
      <c r="J39" s="127">
        <f>+Actuals!G180</f>
        <v>0</v>
      </c>
      <c r="K39" s="147">
        <f>+Actuals!H180</f>
        <v>0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+Actuals!S260</f>
        <v>0</v>
      </c>
      <c r="W39" s="128">
        <f>+Actuals!T260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  <c r="AL39" s="127">
        <f>+Actuals!AI260</f>
        <v>0</v>
      </c>
      <c r="AM39" s="128">
        <f>+Actuals!AJ260</f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-300000</v>
      </c>
      <c r="E40" s="38">
        <f t="shared" si="15"/>
        <v>-784200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0</v>
      </c>
      <c r="R40" s="127">
        <f>+Actuals!O181</f>
        <v>-300000</v>
      </c>
      <c r="S40" s="128">
        <f>+Actuals!P181</f>
        <v>-784200</v>
      </c>
      <c r="T40" s="127">
        <f>+Actuals!Q181</f>
        <v>0</v>
      </c>
      <c r="U40" s="128">
        <f>+Actuals!R181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  <c r="AF40" s="127">
        <f>+Actuals!AC261</f>
        <v>0</v>
      </c>
      <c r="AG40" s="128">
        <f>+Actuals!AD261</f>
        <v>0</v>
      </c>
      <c r="AH40" s="127">
        <f>+Actuals!AE261</f>
        <v>0</v>
      </c>
      <c r="AI40" s="128">
        <f>+Actuals!AF261</f>
        <v>0</v>
      </c>
      <c r="AJ40" s="127">
        <f>+Actuals!AG261</f>
        <v>0</v>
      </c>
      <c r="AK40" s="128">
        <f>+Actuals!AH261</f>
        <v>0</v>
      </c>
      <c r="AL40" s="127">
        <f>+Actuals!AI261</f>
        <v>0</v>
      </c>
      <c r="AM40" s="128">
        <f>+Actuals!AJ261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f>+Actuals!AE262</f>
        <v>0</v>
      </c>
      <c r="AI41" s="128">
        <f>+Actuals!AF262</f>
        <v>0</v>
      </c>
      <c r="AJ41" s="127">
        <f>+Actuals!AG262</f>
        <v>0</v>
      </c>
      <c r="AK41" s="128">
        <f>+Actuals!AH262</f>
        <v>0</v>
      </c>
      <c r="AL41" s="127">
        <f>+Actuals!AI262</f>
        <v>0</v>
      </c>
      <c r="AM41" s="128">
        <f>+Actuals!AJ262</f>
        <v>0</v>
      </c>
    </row>
    <row r="42" spans="1:39" x14ac:dyDescent="0.25">
      <c r="A42" s="9"/>
      <c r="B42" s="7"/>
      <c r="C42" s="53" t="s">
        <v>51</v>
      </c>
      <c r="D42" s="61">
        <f t="shared" ref="D42:W42" si="16">SUM(D40:D41)</f>
        <v>-300000</v>
      </c>
      <c r="E42" s="39">
        <f t="shared" si="16"/>
        <v>-784200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-300000</v>
      </c>
      <c r="S42" s="39">
        <f t="shared" si="16"/>
        <v>-784200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 t="shared" ref="D43:W43" si="19">D42+D39</f>
        <v>-300000</v>
      </c>
      <c r="E43" s="39">
        <f t="shared" si="19"/>
        <v>-784200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-300000</v>
      </c>
      <c r="S43" s="39">
        <f t="shared" si="19"/>
        <v>-784200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  <c r="AL45" s="127">
        <f>+Actuals!AI263</f>
        <v>0</v>
      </c>
      <c r="AM45" s="128">
        <f>+Actuals!AJ263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  <c r="AL47" s="127">
        <f>+Actuals!AI264</f>
        <v>0</v>
      </c>
      <c r="AM47" s="128">
        <f>+Actuals!AJ264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282028</v>
      </c>
      <c r="E49" s="38">
        <f>SUM(G49,I49,K49,M49,O49,Q49,S49,U49,W49,Y49,AA49,AC49,AE49,AG49,AI49,AK49,AM49)</f>
        <v>628640.41299999983</v>
      </c>
      <c r="F49" s="60">
        <f>'TIE-OUT'!H49+RECLASS!H49</f>
        <v>0</v>
      </c>
      <c r="G49" s="38">
        <f>'TIE-OUT'!I49+RECLASS!I49</f>
        <v>0</v>
      </c>
      <c r="H49" s="127">
        <f>+Actuals!E185</f>
        <v>8954687</v>
      </c>
      <c r="I49" s="128">
        <f>+Actuals!F185</f>
        <v>19959997.322999999</v>
      </c>
      <c r="J49" s="127">
        <f>+Actuals!G185</f>
        <v>-1115574</v>
      </c>
      <c r="K49" s="147">
        <f>+Actuals!H185</f>
        <v>-2486614.4459999986</v>
      </c>
      <c r="L49" s="127">
        <f>+Actuals!I185</f>
        <v>-1639760</v>
      </c>
      <c r="M49" s="128">
        <f>+Actuals!J185</f>
        <v>-3655025.04</v>
      </c>
      <c r="N49" s="127">
        <f>+Actuals!K185</f>
        <v>301</v>
      </c>
      <c r="O49" s="128">
        <f>+Actuals!L185</f>
        <v>670.92899999999997</v>
      </c>
      <c r="P49" s="127">
        <f>+Actuals!M185</f>
        <v>-6259299</v>
      </c>
      <c r="Q49" s="128">
        <f>+Actuals!N185</f>
        <v>-13951977.471000001</v>
      </c>
      <c r="R49" s="127">
        <f>+Actuals!O185</f>
        <v>300000</v>
      </c>
      <c r="S49" s="128">
        <f>+Actuals!P185</f>
        <v>668700</v>
      </c>
      <c r="T49" s="127">
        <f>+Actuals!Q185</f>
        <v>35571</v>
      </c>
      <c r="U49" s="128">
        <f>+Actuals!R185</f>
        <v>79287.759000000005</v>
      </c>
      <c r="V49" s="127">
        <f>+Actuals!S265</f>
        <v>-33973</v>
      </c>
      <c r="W49" s="128">
        <f>+Actuals!T265</f>
        <v>-75725.816999999995</v>
      </c>
      <c r="X49" s="127">
        <f>+Actuals!U265</f>
        <v>0</v>
      </c>
      <c r="Y49" s="128">
        <f>+Actuals!V265</f>
        <v>0</v>
      </c>
      <c r="Z49" s="127">
        <f>+Actuals!W265</f>
        <v>35571</v>
      </c>
      <c r="AA49" s="128">
        <f>+Actuals!X265</f>
        <v>79287.759000000005</v>
      </c>
      <c r="AB49" s="127">
        <f>+Actuals!Y265</f>
        <v>0</v>
      </c>
      <c r="AC49" s="128">
        <f>+Actuals!Z265</f>
        <v>0</v>
      </c>
      <c r="AD49" s="127">
        <f>+Actuals!AA265</f>
        <v>-5547</v>
      </c>
      <c r="AE49" s="128">
        <f>+Actuals!AB265</f>
        <v>-12364.263000000001</v>
      </c>
      <c r="AF49" s="127">
        <f>+Actuals!AC265</f>
        <v>0</v>
      </c>
      <c r="AG49" s="128">
        <f>+Actuals!AD265</f>
        <v>0</v>
      </c>
      <c r="AH49" s="127">
        <f>+Actuals!AE265</f>
        <v>0</v>
      </c>
      <c r="AI49" s="128">
        <f>+Actuals!AF265</f>
        <v>0</v>
      </c>
      <c r="AJ49" s="127">
        <f>+Actuals!AG265</f>
        <v>0</v>
      </c>
      <c r="AK49" s="128">
        <f>+Actuals!AH265</f>
        <v>0</v>
      </c>
      <c r="AL49" s="127">
        <v>10051</v>
      </c>
      <c r="AM49" s="128">
        <v>22403.68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-134975</v>
      </c>
      <c r="E51" s="38">
        <f>SUM(G51,I51,K51,M51,O51,Q51,S51,U51,W51,Y51,AA51,AC51,AE51,AG51,AI51,AK51,AM51)</f>
        <v>-300859.28000000003</v>
      </c>
      <c r="F51" s="60">
        <f>'TIE-OUT'!H51+RECLASS!H51</f>
        <v>0</v>
      </c>
      <c r="G51" s="38">
        <f>'TIE-OUT'!I51+RECLASS!I51</f>
        <v>0</v>
      </c>
      <c r="H51" s="127">
        <f>+Actuals!E186</f>
        <v>-136325</v>
      </c>
      <c r="I51" s="128">
        <f>+Actuals!F186</f>
        <v>-303868.43</v>
      </c>
      <c r="J51" s="127">
        <f>+Actuals!G186</f>
        <v>-3924</v>
      </c>
      <c r="K51" s="147">
        <f>+Actuals!H186</f>
        <v>-8746.5959999999995</v>
      </c>
      <c r="L51" s="127">
        <f>+Actuals!I186</f>
        <v>5274</v>
      </c>
      <c r="M51" s="128">
        <f>+Actuals!J186</f>
        <v>11755.745999999999</v>
      </c>
      <c r="N51" s="127">
        <f>+Actuals!K186</f>
        <v>0</v>
      </c>
      <c r="O51" s="128">
        <f>+Actuals!L186</f>
        <v>0</v>
      </c>
      <c r="P51" s="127">
        <f>+Actuals!M186</f>
        <v>0</v>
      </c>
      <c r="Q51" s="128">
        <f>+Actuals!N186</f>
        <v>0</v>
      </c>
      <c r="R51" s="127">
        <f>+Actuals!O186</f>
        <v>0</v>
      </c>
      <c r="S51" s="128">
        <f>+Actuals!P186</f>
        <v>0</v>
      </c>
      <c r="T51" s="127">
        <f>+Actuals!Q186</f>
        <v>0</v>
      </c>
      <c r="U51" s="128">
        <f>+Actuals!R186</f>
        <v>0</v>
      </c>
      <c r="V51" s="127">
        <f>+Actuals!S266</f>
        <v>0</v>
      </c>
      <c r="W51" s="128">
        <f>+Actuals!T266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f>+Actuals!AE266</f>
        <v>0</v>
      </c>
      <c r="AI51" s="128">
        <f>+Actuals!AF266</f>
        <v>0</v>
      </c>
      <c r="AJ51" s="127">
        <f>+Actuals!AG266</f>
        <v>0</v>
      </c>
      <c r="AK51" s="128">
        <f>+Actuals!AH266</f>
        <v>0</v>
      </c>
      <c r="AL51" s="127">
        <f>+Actuals!AI266</f>
        <v>0</v>
      </c>
      <c r="AM51" s="128">
        <f>+Actuals!AJ266</f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-17058423</v>
      </c>
      <c r="E54" s="38">
        <f>SUM(G54,I54,K54,M54,O54,Q54,S54,U54,W54,Y54,AA54,AC54,AE54,AG54,AI54,AK54,AM54)</f>
        <v>-627577.71</v>
      </c>
      <c r="F54" s="64">
        <f>'TIE-OUT'!H54+RECLASS!H54</f>
        <v>0</v>
      </c>
      <c r="G54" s="68">
        <f>'TIE-OUT'!I54+RECLASS!I54</f>
        <v>-9756</v>
      </c>
      <c r="H54" s="127">
        <f>+Actuals!E187</f>
        <v>-16636979</v>
      </c>
      <c r="I54" s="128">
        <f>+Actuals!F187</f>
        <v>-329224.86</v>
      </c>
      <c r="J54" s="127">
        <f>+Actuals!G187</f>
        <v>-250611</v>
      </c>
      <c r="K54" s="147">
        <f>+Actuals!H187</f>
        <v>11659.77</v>
      </c>
      <c r="L54" s="127">
        <f>+Actuals!I187</f>
        <v>-137914</v>
      </c>
      <c r="M54" s="128">
        <f>+Actuals!J187</f>
        <v>-32927.17</v>
      </c>
      <c r="N54" s="127">
        <f>+Actuals!K187</f>
        <v>-42970</v>
      </c>
      <c r="O54" s="128">
        <f>+Actuals!L187</f>
        <v>2190.5700000000002</v>
      </c>
      <c r="P54" s="127">
        <f>+Actuals!M187</f>
        <v>0</v>
      </c>
      <c r="Q54" s="128">
        <f>+Actuals!N187</f>
        <v>0</v>
      </c>
      <c r="R54" s="127">
        <f>+Actuals!O187</f>
        <v>0</v>
      </c>
      <c r="S54" s="128">
        <f>+Actuals!P187</f>
        <v>0</v>
      </c>
      <c r="T54" s="127">
        <f>+Actuals!Q187</f>
        <v>0</v>
      </c>
      <c r="U54" s="128">
        <f>+Actuals!R187</f>
        <v>-5348.04</v>
      </c>
      <c r="V54" s="127">
        <f>+Actuals!S267</f>
        <v>0</v>
      </c>
      <c r="W54" s="160">
        <f>+Actuals!T267-99955</f>
        <v>-99955</v>
      </c>
      <c r="X54" s="127">
        <f>+Actuals!U267</f>
        <v>0</v>
      </c>
      <c r="Y54" s="160">
        <v>-99955</v>
      </c>
      <c r="Z54" s="127">
        <f>+Actuals!W267</f>
        <v>0</v>
      </c>
      <c r="AA54" s="127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-64261.98</v>
      </c>
      <c r="AF54" s="127">
        <f>+Actuals!AC267</f>
        <v>0</v>
      </c>
      <c r="AG54" s="128">
        <f>+Actuals!AD267</f>
        <v>0</v>
      </c>
      <c r="AH54" s="127">
        <f>+Actuals!AE267</f>
        <v>0</v>
      </c>
      <c r="AI54" s="128">
        <f>+Actuals!AF267</f>
        <v>0</v>
      </c>
      <c r="AJ54" s="127">
        <f>+Actuals!AG267</f>
        <v>0</v>
      </c>
      <c r="AK54" s="128">
        <f>+Actuals!AH267</f>
        <v>0</v>
      </c>
      <c r="AL54" s="127">
        <v>10051</v>
      </c>
      <c r="AM54" s="128">
        <f>+Actuals!AJ267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-448017.35</v>
      </c>
      <c r="F55" s="81">
        <f>'TIE-OUT'!H55+RECLASS!H55</f>
        <v>0</v>
      </c>
      <c r="G55" s="82">
        <f>'TIE-OUT'!I55+RECLASS!I55</f>
        <v>2441264.9900000002</v>
      </c>
      <c r="H55" s="127">
        <f>+Actuals!E188</f>
        <v>0</v>
      </c>
      <c r="I55" s="128">
        <f>+Actuals!F188</f>
        <v>-3035948.99</v>
      </c>
      <c r="J55" s="127">
        <f>+Actuals!G188</f>
        <v>0</v>
      </c>
      <c r="K55" s="147">
        <f>+Actuals!H188</f>
        <v>132137.89000000001</v>
      </c>
      <c r="L55" s="127">
        <f>+Actuals!I188</f>
        <v>0</v>
      </c>
      <c r="M55" s="128">
        <f>+Actuals!J188</f>
        <v>921.36</v>
      </c>
      <c r="N55" s="127">
        <f>+Actuals!K188</f>
        <v>0</v>
      </c>
      <c r="O55" s="128">
        <f>+Actuals!L188</f>
        <v>13607.4</v>
      </c>
      <c r="P55" s="127">
        <f>+Actuals!M188</f>
        <v>0</v>
      </c>
      <c r="Q55" s="128">
        <f>+Actuals!N188</f>
        <v>0</v>
      </c>
      <c r="R55" s="127">
        <f>+Actuals!O188</f>
        <v>0</v>
      </c>
      <c r="S55" s="128">
        <f>+Actuals!P188</f>
        <v>0</v>
      </c>
      <c r="T55" s="127">
        <f>+Actuals!Q188</f>
        <v>0</v>
      </c>
      <c r="U55" s="128">
        <f>+Actuals!R188</f>
        <v>0</v>
      </c>
      <c r="V55" s="127">
        <f>+Actuals!S268</f>
        <v>0</v>
      </c>
      <c r="W55" s="128">
        <f>+Actuals!T268</f>
        <v>0</v>
      </c>
      <c r="X55" s="127">
        <f>+Actuals!U268</f>
        <v>0</v>
      </c>
      <c r="Y55" s="128">
        <f>+Actuals!V268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  <c r="AF55" s="127">
        <f>+Actuals!AC268</f>
        <v>0</v>
      </c>
      <c r="AG55" s="128">
        <f>+Actuals!AD268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f>+Actuals!AH268</f>
        <v>0</v>
      </c>
      <c r="AL55" s="127">
        <f>+Actuals!AI268</f>
        <v>0</v>
      </c>
      <c r="AM55" s="128">
        <f>+Actuals!AJ268</f>
        <v>0</v>
      </c>
    </row>
    <row r="56" spans="1:39" x14ac:dyDescent="0.25">
      <c r="A56" s="9"/>
      <c r="B56" s="7" t="s">
        <v>60</v>
      </c>
      <c r="C56" s="6"/>
      <c r="D56" s="61">
        <f t="shared" ref="D56:W56" si="22">SUM(D54:D55)</f>
        <v>-17058423</v>
      </c>
      <c r="E56" s="39">
        <f t="shared" si="22"/>
        <v>-1075595.06</v>
      </c>
      <c r="F56" s="61">
        <f t="shared" si="22"/>
        <v>0</v>
      </c>
      <c r="G56" s="39">
        <f t="shared" si="22"/>
        <v>2431508.9900000002</v>
      </c>
      <c r="H56" s="61">
        <f t="shared" si="22"/>
        <v>-16636979</v>
      </c>
      <c r="I56" s="39">
        <f t="shared" si="22"/>
        <v>-3365173.85</v>
      </c>
      <c r="J56" s="61">
        <f t="shared" si="22"/>
        <v>-250611</v>
      </c>
      <c r="K56" s="148">
        <f t="shared" si="22"/>
        <v>143797.66</v>
      </c>
      <c r="L56" s="61">
        <f t="shared" si="22"/>
        <v>-137914</v>
      </c>
      <c r="M56" s="39">
        <f t="shared" si="22"/>
        <v>-32005.809999999998</v>
      </c>
      <c r="N56" s="61">
        <f t="shared" si="22"/>
        <v>-42970</v>
      </c>
      <c r="O56" s="39">
        <f t="shared" si="22"/>
        <v>15797.97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-5348.04</v>
      </c>
      <c r="V56" s="61">
        <f t="shared" si="22"/>
        <v>0</v>
      </c>
      <c r="W56" s="39">
        <f t="shared" si="22"/>
        <v>-99955</v>
      </c>
      <c r="X56" s="61">
        <f t="shared" ref="X56:AC56" si="23">SUM(X54:X55)</f>
        <v>0</v>
      </c>
      <c r="Y56" s="39">
        <f t="shared" si="23"/>
        <v>-99955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-64261.98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10051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0</v>
      </c>
      <c r="J59" s="127">
        <f>+Actuals!G189</f>
        <v>0</v>
      </c>
      <c r="K59" s="147">
        <f>+Actuals!H189</f>
        <v>0</v>
      </c>
      <c r="L59" s="127">
        <f>+Actuals!I189</f>
        <v>0</v>
      </c>
      <c r="M59" s="128">
        <f>+Actuals!J189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  <c r="AL59" s="127">
        <f>+Actuals!AI269</f>
        <v>0</v>
      </c>
      <c r="AM59" s="128">
        <f>+Actuals!AJ269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  <c r="AL60" s="127">
        <f>+Actuals!AI270</f>
        <v>0</v>
      </c>
      <c r="AM60" s="128">
        <f>+Actuals!AJ270</f>
        <v>0</v>
      </c>
    </row>
    <row r="61" spans="1:39" x14ac:dyDescent="0.25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  <c r="AL64" s="127">
        <f>+Actuals!AI271</f>
        <v>0</v>
      </c>
      <c r="AM64" s="128">
        <f>+Actuals!AJ271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+Actuals!S272</f>
        <v>0</v>
      </c>
      <c r="W65" s="128">
        <f>+Actuals!T272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  <c r="AL65" s="127">
        <f>+Actuals!AI272</f>
        <v>0</v>
      </c>
      <c r="AM65" s="128">
        <f>+Actuals!AJ272</f>
        <v>0</v>
      </c>
    </row>
    <row r="66" spans="1:39" x14ac:dyDescent="0.25">
      <c r="A66" s="9"/>
      <c r="B66" s="7" t="s">
        <v>67</v>
      </c>
      <c r="C66" s="6"/>
      <c r="D66" s="61">
        <f t="shared" ref="D66:W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5679557.9500000002</v>
      </c>
      <c r="F70" s="64">
        <f>'TIE-OUT'!H70+RECLASS!H70</f>
        <v>0</v>
      </c>
      <c r="G70" s="68">
        <f>'TIE-OUT'!I70+RECLASS!I70</f>
        <v>5679557.9500000002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  <c r="AL70" s="127">
        <f>+Actuals!AI273</f>
        <v>0</v>
      </c>
      <c r="AM70" s="128">
        <f>+Actuals!AJ273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-2849706</v>
      </c>
      <c r="F71" s="81">
        <f>'TIE-OUT'!H71+RECLASS!H71</f>
        <v>0</v>
      </c>
      <c r="G71" s="82">
        <f>'TIE-OUT'!I71+RECLASS!I71</f>
        <v>-2849706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  <c r="AL71" s="127">
        <f>+Actuals!AI274</f>
        <v>0</v>
      </c>
      <c r="AM71" s="128">
        <f>+Actuals!AJ274</f>
        <v>0</v>
      </c>
    </row>
    <row r="72" spans="1:39" x14ac:dyDescent="0.25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2829851.95</v>
      </c>
      <c r="F72" s="61">
        <f t="shared" si="31"/>
        <v>0</v>
      </c>
      <c r="G72" s="39">
        <f t="shared" si="31"/>
        <v>2829851.95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  <c r="AL73" s="127">
        <f>+Actuals!AI275</f>
        <v>0</v>
      </c>
      <c r="AM73" s="128">
        <f>+Actuals!AJ275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-1847776</v>
      </c>
      <c r="F74" s="60">
        <f>'TIE-OUT'!H74+RECLASS!H74</f>
        <v>0</v>
      </c>
      <c r="G74" s="60">
        <f>'TIE-OUT'!I74+RECLASS!I74</f>
        <v>-1830766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f>-21060+4050</f>
        <v>-17010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  <c r="AL74" s="127">
        <f>+Actuals!AI276</f>
        <v>0</v>
      </c>
      <c r="AM74" s="128">
        <f>+Actuals!AJ276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59000</v>
      </c>
      <c r="F75" s="60">
        <f>'TIE-OUT'!H75+RECLASS!H75</f>
        <v>0</v>
      </c>
      <c r="G75" s="60">
        <f>'TIE-OUT'!I75+RECLASS!I75</f>
        <v>59000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  <c r="AL75" s="127">
        <f>+Actuals!AI277</f>
        <v>0</v>
      </c>
      <c r="AM75" s="128">
        <f>+Actuals!AJ277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-259215.52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0</v>
      </c>
      <c r="J76" s="127">
        <f>+Actuals!G198</f>
        <v>0</v>
      </c>
      <c r="K76" s="147">
        <f>+Actuals!H198</f>
        <v>-259215.52</v>
      </c>
      <c r="L76" s="127">
        <f>+Actuals!I198</f>
        <v>0</v>
      </c>
      <c r="M76" s="128">
        <f>+Actuals!J198</f>
        <v>0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+Actuals!S278</f>
        <v>0</v>
      </c>
      <c r="W76" s="128">
        <f>+Actuals!T278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  <c r="AL76" s="127">
        <f>+Actuals!AI278</f>
        <v>0</v>
      </c>
      <c r="AM76" s="128">
        <f>+Actuals!AJ278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-3933809</v>
      </c>
      <c r="F77" s="60">
        <f>'TIE-OUT'!H77+RECLASS!H77</f>
        <v>0</v>
      </c>
      <c r="G77" s="60">
        <f>'TIE-OUT'!I77+RECLASS!I77</f>
        <v>-3933809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  <c r="AL77" s="127">
        <f>+Actuals!AI279</f>
        <v>0</v>
      </c>
      <c r="AM77" s="128">
        <f>+Actuals!AJ279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  <c r="AL78" s="127">
        <f>+Actuals!AI280</f>
        <v>0</v>
      </c>
      <c r="AM78" s="128">
        <f>+Actuals!AJ280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224706</v>
      </c>
      <c r="F79" s="60">
        <f>'TIE-OUT'!H79+RECLASS!H79</f>
        <v>0</v>
      </c>
      <c r="G79" s="60">
        <f>'TIE-OUT'!I79+RECLASS!I79</f>
        <v>224706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  <c r="AL79" s="127">
        <f>+Actuals!AI281</f>
        <v>0</v>
      </c>
      <c r="AM79" s="128">
        <f>+Actuals!AJ281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  <c r="AL80" s="127">
        <f>+Actuals!AI282</f>
        <v>0</v>
      </c>
      <c r="AM80" s="128">
        <f>+Actuals!AJ282</f>
        <v>0</v>
      </c>
    </row>
    <row r="81" spans="1:39" x14ac:dyDescent="0.25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789835.96</v>
      </c>
      <c r="F81" s="60">
        <f>'TIE-OUT'!H81+RECLASS!H81</f>
        <v>0</v>
      </c>
      <c r="G81" s="60">
        <f>'TIE-OUT'!I81+RECLASS!I81</f>
        <v>0</v>
      </c>
      <c r="H81" s="127">
        <f>+Actuals!E203</f>
        <v>0</v>
      </c>
      <c r="I81" s="128">
        <f>+Actuals!F203</f>
        <v>750268.76</v>
      </c>
      <c r="J81" s="127">
        <f>+Actuals!G203</f>
        <v>0</v>
      </c>
      <c r="K81" s="147">
        <f>+Actuals!H203</f>
        <v>39567.199999999997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  <c r="AL81" s="127">
        <f>+Actuals!AI283</f>
        <v>0</v>
      </c>
      <c r="AM81" s="128">
        <f>+Actuals!AJ283</f>
        <v>0</v>
      </c>
    </row>
    <row r="82" spans="1:39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-1690525.375999968</v>
      </c>
      <c r="F82" s="92">
        <f>F16+F24+F29+F36+F43+F45+F47+F49</f>
        <v>0</v>
      </c>
      <c r="G82" s="93">
        <f>SUM(G72:G81)+G16+G24+G29+G36+G43+G45+G47+G49+G51+G56+G61+G66</f>
        <v>-3697540.3999999994</v>
      </c>
      <c r="H82" s="92">
        <f>H16+H24+H29+H36+H43+H45+H47+H49</f>
        <v>0</v>
      </c>
      <c r="I82" s="93">
        <f>SUM(I72:I81)+I16+I24+I29+I36+I43+I45+I47+I49+I51+I56+I61+I66</f>
        <v>3989583.5030000149</v>
      </c>
      <c r="J82" s="92">
        <f>J16+J24+J29+J36+J43+J45+J47+J49</f>
        <v>0</v>
      </c>
      <c r="K82" s="158">
        <f>SUM(K72:K81)+K16+K24+K29+K36+K43+K45+K47+K49+K51+K56+K61+K66</f>
        <v>14822451.627000004</v>
      </c>
      <c r="L82" s="92">
        <f>L16+L24+L29+L36+L43+L45+L47+L49</f>
        <v>0</v>
      </c>
      <c r="M82" s="93">
        <f>SUM(M72:M81)+M16+M24+M29+M36+M43+M45+M47+M49+M51+M56+M61+M66</f>
        <v>-57715.955000000293</v>
      </c>
      <c r="N82" s="92">
        <f>N16+N24+N29+N36+N43+N45+N47+N49</f>
        <v>0</v>
      </c>
      <c r="O82" s="93">
        <f>SUM(O72:O81)+O16+O24+O29+O36+O43+O45+O47+O49+O51+O56+O61+O66</f>
        <v>-97073.698999999979</v>
      </c>
      <c r="P82" s="92">
        <f>P16+P24+P29+P36+P43+P45+P47+P49</f>
        <v>0</v>
      </c>
      <c r="Q82" s="93">
        <f>SUM(Q72:Q81)+Q16+Q24+Q29+Q36+Q43+Q45+Q47+Q49+Q51+Q56+Q61+Q66</f>
        <v>-16271765.270000001</v>
      </c>
      <c r="R82" s="92">
        <f>R16+R24+R29+R36+R43+R45+R47+R49</f>
        <v>0</v>
      </c>
      <c r="S82" s="93">
        <f>SUM(S72:S81)+S16+S24+S29+S36+S43+S45+S47+S49+S51+S56+S61+S66</f>
        <v>-115500</v>
      </c>
      <c r="T82" s="92">
        <f>T16+T24+T29+T36+T43+T45+T47+T49</f>
        <v>0</v>
      </c>
      <c r="U82" s="93">
        <f>SUM(U72:U81)+U16+U24+U29+U36+U43+U45+U47+U49+U51+U56+U61+U66</f>
        <v>-2166.2809999999945</v>
      </c>
      <c r="V82" s="92">
        <f>V16+V24+V29+V36+V43+V45+V47+V49</f>
        <v>0</v>
      </c>
      <c r="W82" s="93">
        <f>SUM(W72:W81)+W16+W24+W29+W36+W43+W45+W47+W49+W51+W56+W61+W66</f>
        <v>-103182.45700000001</v>
      </c>
      <c r="X82" s="92">
        <f>X16+X24+X29+X36+X43+X45+X47+X49</f>
        <v>0</v>
      </c>
      <c r="Y82" s="93">
        <f>SUM(Y72:Y81)+Y16+Y24+Y29+Y36+Y43+Y45+Y47+Y49+Y51+Y56+Y61+Y66</f>
        <v>-99955</v>
      </c>
      <c r="Z82" s="92">
        <f>Z16+Z24+Z29+Z36+Z43+Z45+Z47+Z49</f>
        <v>0</v>
      </c>
      <c r="AA82" s="93">
        <f>SUM(AA72:AA81)+AA16+AA24+AA29+AA36+AA43+AA45+AA47+AA49+AA51+AA56+AA61+AA66</f>
        <v>3181.7590000000055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-56393.003000000004</v>
      </c>
      <c r="AF82" s="92">
        <f>AF16+AF24+AF29+AF36+AF43+AF45+AF47+AF49</f>
        <v>0</v>
      </c>
      <c r="AG82" s="93">
        <f>SUM(AG72:AG81)+AG16+AG24+AG29+AG36+AG43+AG45+AG47+AG49+AG51+AG56+AG61+AG66</f>
        <v>-4450.2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8" thickTop="1" x14ac:dyDescent="0.25">
      <c r="A83" s="4"/>
      <c r="B83" s="3"/>
    </row>
    <row r="84" spans="1:39" x14ac:dyDescent="0.25">
      <c r="A84" s="4"/>
      <c r="B84" s="3"/>
    </row>
    <row r="85" spans="1:39" x14ac:dyDescent="0.25">
      <c r="A85" s="4" t="s">
        <v>173</v>
      </c>
      <c r="B85" s="3"/>
      <c r="F85" s="31"/>
      <c r="G85" s="31"/>
      <c r="H85" s="31"/>
      <c r="I85" s="31"/>
      <c r="K85"/>
      <c r="L85" s="45"/>
    </row>
    <row r="86" spans="1:39" s="3" customFormat="1" x14ac:dyDescent="0.25">
      <c r="A86" s="172"/>
      <c r="C86" s="10" t="s">
        <v>176</v>
      </c>
      <c r="D86" s="173">
        <f t="shared" ref="D86:E88" si="36">SUM(F86,H86,J86,L86,N86,P86,R86,T86,V86,X86,Z86,AB86,AD86)</f>
        <v>0</v>
      </c>
      <c r="E86" s="173">
        <f t="shared" si="36"/>
        <v>229124</v>
      </c>
      <c r="F86" s="173">
        <f>'TIE-OUT'!H86+RECLASS!H86</f>
        <v>0</v>
      </c>
      <c r="G86" s="173">
        <f>'TIE-OUT'!I86+RECLASS!I86</f>
        <v>229124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  <c r="N86" s="173">
        <v>0</v>
      </c>
      <c r="O86" s="173">
        <v>0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</row>
    <row r="87" spans="1:39" s="3" customFormat="1" x14ac:dyDescent="0.25">
      <c r="A87" s="172"/>
      <c r="C87" s="10" t="s">
        <v>74</v>
      </c>
      <c r="D87" s="174">
        <f t="shared" si="36"/>
        <v>0</v>
      </c>
      <c r="E87" s="174">
        <f t="shared" si="36"/>
        <v>0</v>
      </c>
      <c r="F87" s="174">
        <f>'TIE-OUT'!H87+RECLASS!H87</f>
        <v>0</v>
      </c>
      <c r="G87" s="174">
        <f>'TIE-OUT'!I87+RECLASS!I87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</row>
    <row r="88" spans="1:39" s="3" customFormat="1" x14ac:dyDescent="0.25">
      <c r="A88" s="172"/>
      <c r="C88" s="10" t="s">
        <v>75</v>
      </c>
      <c r="D88" s="175">
        <f t="shared" si="36"/>
        <v>0</v>
      </c>
      <c r="E88" s="175">
        <f t="shared" si="36"/>
        <v>-9800</v>
      </c>
      <c r="F88" s="175">
        <f>'TIE-OUT'!H88+RECLASS!H88</f>
        <v>0</v>
      </c>
      <c r="G88" s="175">
        <f>'TIE-OUT'!I88+RECLASS!I88</f>
        <v>-9800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</row>
    <row r="89" spans="1:39" s="143" customFormat="1" ht="20.25" customHeight="1" x14ac:dyDescent="0.25">
      <c r="A89" s="186"/>
      <c r="B89" s="187"/>
      <c r="C89" s="185" t="s">
        <v>179</v>
      </c>
      <c r="D89" s="188">
        <f>SUM(D86:D88)</f>
        <v>0</v>
      </c>
      <c r="E89" s="188">
        <f t="shared" ref="E89:M89" si="37">SUM(E86:E88)</f>
        <v>219324</v>
      </c>
      <c r="F89" s="188">
        <f t="shared" si="37"/>
        <v>0</v>
      </c>
      <c r="G89" s="188">
        <f t="shared" si="37"/>
        <v>219324</v>
      </c>
      <c r="H89" s="188">
        <f t="shared" si="37"/>
        <v>0</v>
      </c>
      <c r="I89" s="188">
        <f t="shared" si="37"/>
        <v>0</v>
      </c>
      <c r="J89" s="188">
        <f t="shared" si="37"/>
        <v>0</v>
      </c>
      <c r="K89" s="188">
        <f t="shared" si="37"/>
        <v>0</v>
      </c>
      <c r="L89" s="188">
        <f t="shared" si="37"/>
        <v>0</v>
      </c>
      <c r="M89" s="188">
        <f t="shared" si="37"/>
        <v>0</v>
      </c>
      <c r="N89" s="188">
        <f t="shared" ref="N89:AE89" si="38">SUM(N86:N88)</f>
        <v>0</v>
      </c>
      <c r="O89" s="188">
        <f t="shared" si="38"/>
        <v>0</v>
      </c>
      <c r="P89" s="188">
        <f t="shared" si="38"/>
        <v>0</v>
      </c>
      <c r="Q89" s="188">
        <f t="shared" si="38"/>
        <v>0</v>
      </c>
      <c r="R89" s="188">
        <f t="shared" si="38"/>
        <v>0</v>
      </c>
      <c r="S89" s="188">
        <f t="shared" si="38"/>
        <v>0</v>
      </c>
      <c r="T89" s="188">
        <f t="shared" si="38"/>
        <v>0</v>
      </c>
      <c r="U89" s="188">
        <f t="shared" si="38"/>
        <v>0</v>
      </c>
      <c r="V89" s="188">
        <f t="shared" si="38"/>
        <v>0</v>
      </c>
      <c r="W89" s="188">
        <f t="shared" si="38"/>
        <v>0</v>
      </c>
      <c r="X89" s="188">
        <f t="shared" si="38"/>
        <v>0</v>
      </c>
      <c r="Y89" s="188">
        <f t="shared" si="38"/>
        <v>0</v>
      </c>
      <c r="Z89" s="188">
        <f t="shared" si="38"/>
        <v>0</v>
      </c>
      <c r="AA89" s="188">
        <f t="shared" si="38"/>
        <v>0</v>
      </c>
      <c r="AB89" s="188">
        <f t="shared" si="38"/>
        <v>0</v>
      </c>
      <c r="AC89" s="188">
        <f t="shared" si="38"/>
        <v>0</v>
      </c>
      <c r="AD89" s="188">
        <f t="shared" si="38"/>
        <v>0</v>
      </c>
      <c r="AE89" s="188">
        <f t="shared" si="38"/>
        <v>0</v>
      </c>
      <c r="AF89" s="188">
        <f t="shared" ref="AF89:AK89" si="39">SUM(AF86:AF88)</f>
        <v>0</v>
      </c>
      <c r="AG89" s="188">
        <f t="shared" si="39"/>
        <v>0</v>
      </c>
      <c r="AH89" s="188">
        <f t="shared" si="39"/>
        <v>0</v>
      </c>
      <c r="AI89" s="188">
        <f t="shared" si="39"/>
        <v>0</v>
      </c>
      <c r="AJ89" s="188">
        <f t="shared" si="39"/>
        <v>0</v>
      </c>
      <c r="AK89" s="188">
        <f t="shared" si="39"/>
        <v>0</v>
      </c>
      <c r="AL89" s="188">
        <f>SUM(AL86:AL88)</f>
        <v>0</v>
      </c>
      <c r="AM89" s="188">
        <f>SUM(AM86:AM88)</f>
        <v>0</v>
      </c>
    </row>
    <row r="90" spans="1:39" x14ac:dyDescent="0.25">
      <c r="A90" s="4"/>
      <c r="B90" s="3"/>
      <c r="F90" s="31"/>
      <c r="G90" s="31"/>
      <c r="H90" s="31"/>
      <c r="I90" s="31"/>
      <c r="K90"/>
    </row>
    <row r="91" spans="1:39" s="143" customFormat="1" ht="20.25" customHeight="1" x14ac:dyDescent="0.25">
      <c r="A91" s="186"/>
      <c r="B91" s="187"/>
      <c r="C91" s="185" t="s">
        <v>182</v>
      </c>
      <c r="D91" s="188">
        <f>+D82+D89</f>
        <v>0</v>
      </c>
      <c r="E91" s="188">
        <f t="shared" ref="E91:M91" si="40">+E82+E89</f>
        <v>-1471201.375999968</v>
      </c>
      <c r="F91" s="188">
        <f t="shared" si="40"/>
        <v>0</v>
      </c>
      <c r="G91" s="188">
        <f t="shared" si="40"/>
        <v>-3478216.3999999994</v>
      </c>
      <c r="H91" s="188">
        <f t="shared" si="40"/>
        <v>0</v>
      </c>
      <c r="I91" s="188">
        <f t="shared" si="40"/>
        <v>3989583.5030000149</v>
      </c>
      <c r="J91" s="188">
        <f t="shared" si="40"/>
        <v>0</v>
      </c>
      <c r="K91" s="188">
        <f t="shared" si="40"/>
        <v>14822451.627000004</v>
      </c>
      <c r="L91" s="188">
        <f t="shared" si="40"/>
        <v>0</v>
      </c>
      <c r="M91" s="188">
        <f t="shared" si="40"/>
        <v>-57715.955000000293</v>
      </c>
      <c r="N91" s="188">
        <f t="shared" ref="N91:AE91" si="41">+N82+N89</f>
        <v>0</v>
      </c>
      <c r="O91" s="188">
        <f t="shared" si="41"/>
        <v>-97073.698999999979</v>
      </c>
      <c r="P91" s="188">
        <f t="shared" si="41"/>
        <v>0</v>
      </c>
      <c r="Q91" s="188">
        <f t="shared" si="41"/>
        <v>-16271765.270000001</v>
      </c>
      <c r="R91" s="188">
        <f t="shared" si="41"/>
        <v>0</v>
      </c>
      <c r="S91" s="188">
        <f t="shared" si="41"/>
        <v>-115500</v>
      </c>
      <c r="T91" s="188">
        <f t="shared" si="41"/>
        <v>0</v>
      </c>
      <c r="U91" s="188">
        <f t="shared" si="41"/>
        <v>-2166.2809999999945</v>
      </c>
      <c r="V91" s="188">
        <f t="shared" si="41"/>
        <v>0</v>
      </c>
      <c r="W91" s="188">
        <f t="shared" si="41"/>
        <v>-103182.45700000001</v>
      </c>
      <c r="X91" s="188">
        <f t="shared" si="41"/>
        <v>0</v>
      </c>
      <c r="Y91" s="188">
        <f t="shared" si="41"/>
        <v>-99955</v>
      </c>
      <c r="Z91" s="188">
        <f t="shared" si="41"/>
        <v>0</v>
      </c>
      <c r="AA91" s="188">
        <f t="shared" si="41"/>
        <v>3181.7590000000055</v>
      </c>
      <c r="AB91" s="188">
        <f t="shared" si="41"/>
        <v>0</v>
      </c>
      <c r="AC91" s="188">
        <f t="shared" si="41"/>
        <v>0</v>
      </c>
      <c r="AD91" s="188">
        <f t="shared" si="41"/>
        <v>0</v>
      </c>
      <c r="AE91" s="188">
        <f t="shared" si="41"/>
        <v>-56393.003000000004</v>
      </c>
      <c r="AF91" s="188">
        <f t="shared" ref="AF91:AK91" si="42">+AF82+AF89</f>
        <v>0</v>
      </c>
      <c r="AG91" s="188">
        <f t="shared" si="42"/>
        <v>-4450.2</v>
      </c>
      <c r="AH91" s="188">
        <f t="shared" si="42"/>
        <v>0</v>
      </c>
      <c r="AI91" s="188">
        <f t="shared" si="42"/>
        <v>0</v>
      </c>
      <c r="AJ91" s="188">
        <f t="shared" si="42"/>
        <v>0</v>
      </c>
      <c r="AK91" s="188">
        <f t="shared" si="42"/>
        <v>0</v>
      </c>
      <c r="AL91" s="188">
        <f>+AL82+AL89</f>
        <v>0</v>
      </c>
      <c r="AM91" s="188">
        <f>+AM82+AM89</f>
        <v>0</v>
      </c>
    </row>
    <row r="92" spans="1:39" x14ac:dyDescent="0.25">
      <c r="A92" s="4"/>
      <c r="B92" s="3"/>
    </row>
    <row r="93" spans="1:39" x14ac:dyDescent="0.25">
      <c r="A93" s="4"/>
      <c r="B93" s="3"/>
    </row>
    <row r="94" spans="1:39" x14ac:dyDescent="0.25">
      <c r="A94" s="4"/>
      <c r="B94" s="3"/>
    </row>
    <row r="95" spans="1:39" x14ac:dyDescent="0.25">
      <c r="A95" s="4"/>
      <c r="B95" s="3"/>
    </row>
    <row r="96" spans="1:3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4"/>
  <sheetViews>
    <sheetView tabSelected="1" zoomScale="75" workbookViewId="0">
      <selection activeCell="C26" sqref="C26"/>
    </sheetView>
  </sheetViews>
  <sheetFormatPr defaultRowHeight="13.2" x14ac:dyDescent="0.25"/>
  <cols>
    <col min="1" max="1" width="21.6640625" customWidth="1"/>
    <col min="2" max="2" width="21.33203125" customWidth="1"/>
    <col min="3" max="3" width="17" customWidth="1"/>
    <col min="4" max="4" width="25.6640625" customWidth="1"/>
    <col min="6" max="6" width="15.5546875" customWidth="1"/>
  </cols>
  <sheetData>
    <row r="1" spans="1:8" s="33" customFormat="1" x14ac:dyDescent="0.25">
      <c r="A1" s="1" t="s">
        <v>5</v>
      </c>
      <c r="B1" s="50"/>
      <c r="C1" s="50"/>
      <c r="D1" s="50"/>
      <c r="F1" s="50"/>
    </row>
    <row r="2" spans="1:8" s="33" customFormat="1" x14ac:dyDescent="0.25">
      <c r="A2" s="5" t="s">
        <v>11</v>
      </c>
      <c r="B2" s="50"/>
      <c r="C2" s="50"/>
      <c r="D2" s="50"/>
      <c r="F2" s="50"/>
    </row>
    <row r="3" spans="1:8" s="33" customFormat="1" x14ac:dyDescent="0.25">
      <c r="A3" s="1" t="s">
        <v>6</v>
      </c>
      <c r="B3" s="50"/>
      <c r="C3" s="50"/>
      <c r="D3" s="50"/>
      <c r="F3" s="50"/>
    </row>
    <row r="4" spans="1:8" s="33" customFormat="1" x14ac:dyDescent="0.25">
      <c r="A4" s="51" t="s">
        <v>7</v>
      </c>
      <c r="B4" s="50"/>
      <c r="C4" s="50"/>
      <c r="D4" s="50"/>
      <c r="F4" s="50"/>
    </row>
    <row r="5" spans="1:8" s="33" customFormat="1" x14ac:dyDescent="0.25">
      <c r="A5" s="5" t="s">
        <v>191</v>
      </c>
      <c r="B5" s="50"/>
      <c r="C5" s="50"/>
      <c r="D5" s="50"/>
      <c r="F5" s="50"/>
    </row>
    <row r="9" spans="1:8" ht="13.8" thickBot="1" x14ac:dyDescent="0.3"/>
    <row r="10" spans="1:8" s="87" customFormat="1" ht="18.600000000000001" thickBot="1" x14ac:dyDescent="0.4">
      <c r="A10" s="105" t="s">
        <v>12</v>
      </c>
      <c r="B10" s="106" t="s">
        <v>90</v>
      </c>
      <c r="C10" s="107" t="s">
        <v>8</v>
      </c>
      <c r="D10" s="107" t="s">
        <v>9</v>
      </c>
      <c r="F10" s="88" t="s">
        <v>13</v>
      </c>
    </row>
    <row r="11" spans="1:8" x14ac:dyDescent="0.25">
      <c r="A11" s="102" t="s">
        <v>14</v>
      </c>
      <c r="B11" s="140">
        <f>'CE-FLSH'!$M$82</f>
        <v>508309.8803350518</v>
      </c>
      <c r="C11" s="203">
        <f>CE_GL!$E$82</f>
        <v>2284810.80399998</v>
      </c>
      <c r="D11" s="108">
        <f t="shared" ref="D11:D19" si="0">C11-B11</f>
        <v>1776500.9236649282</v>
      </c>
      <c r="E11" s="31"/>
      <c r="F11" s="31">
        <f>CE_GL!G82</f>
        <v>-5782985.9699999997</v>
      </c>
      <c r="G11" s="31"/>
      <c r="H11" s="31"/>
    </row>
    <row r="12" spans="1:8" x14ac:dyDescent="0.25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-3697540.3999999994</v>
      </c>
      <c r="G12" s="31"/>
      <c r="H12" s="31"/>
    </row>
    <row r="13" spans="1:8" x14ac:dyDescent="0.25">
      <c r="A13" s="102" t="s">
        <v>163</v>
      </c>
      <c r="B13" s="139">
        <f>'BGC-EGM-FLSH'!$M$82+'EAST-EGM-FLSH'!M82</f>
        <v>2025291.3170115249</v>
      </c>
      <c r="C13" s="203">
        <f>'BGC-EGM-GL'!$E$82+'EAST-EGM-GL'!E82</f>
        <v>-1690525.375999968</v>
      </c>
      <c r="D13" s="108">
        <f t="shared" si="0"/>
        <v>-3715816.693011493</v>
      </c>
      <c r="E13" s="31"/>
      <c r="F13" s="31">
        <f>'BGC-EGM-GL'!G82</f>
        <v>0</v>
      </c>
      <c r="G13" s="31"/>
      <c r="H13" s="31"/>
    </row>
    <row r="14" spans="1:8" x14ac:dyDescent="0.25">
      <c r="A14" s="102" t="s">
        <v>164</v>
      </c>
      <c r="B14" s="139">
        <f>'EAST-LRC-FLSH'!$M$82</f>
        <v>-4132464.814838313</v>
      </c>
      <c r="C14" s="203">
        <f>'EAST-LRC-GL'!$E$82</f>
        <v>-220649.04900000338</v>
      </c>
      <c r="D14" s="108">
        <f t="shared" si="0"/>
        <v>3911815.7658383097</v>
      </c>
      <c r="E14" s="31"/>
      <c r="F14" s="31">
        <f>'EAST-LRC-GL'!G82</f>
        <v>-44383.68</v>
      </c>
      <c r="G14" s="31"/>
      <c r="H14" s="31"/>
    </row>
    <row r="15" spans="1:8" x14ac:dyDescent="0.25">
      <c r="A15" s="102" t="s">
        <v>173</v>
      </c>
      <c r="B15" s="139">
        <f>+'EAST-EGM-FLSH'!M89</f>
        <v>219364</v>
      </c>
      <c r="C15" s="203">
        <f>+'EAST-EGM-GL'!E89</f>
        <v>219324</v>
      </c>
      <c r="D15" s="108">
        <f>C15-B15</f>
        <v>-40</v>
      </c>
      <c r="E15" s="31"/>
      <c r="F15" s="31">
        <f>'EAST-LRC-GL'!G83</f>
        <v>0</v>
      </c>
      <c r="G15" s="31"/>
      <c r="H15" s="31"/>
    </row>
    <row r="16" spans="1:8" x14ac:dyDescent="0.25">
      <c r="A16" s="102" t="s">
        <v>17</v>
      </c>
      <c r="B16" s="139">
        <f>'TX-EGM-FLSH'!$M$82</f>
        <v>1905584.2405376181</v>
      </c>
      <c r="C16" s="60">
        <f>'TX-EGM-GL'!$E$82</f>
        <v>2783219.3739999803</v>
      </c>
      <c r="D16" s="108">
        <f t="shared" si="0"/>
        <v>877635.13346236222</v>
      </c>
      <c r="E16" s="31"/>
      <c r="F16" s="31">
        <f>'TX-EGM-GL'!G82</f>
        <v>6059923.0199999996</v>
      </c>
      <c r="G16" s="31"/>
      <c r="H16" s="31"/>
    </row>
    <row r="17" spans="1:8" x14ac:dyDescent="0.25">
      <c r="A17" s="102" t="s">
        <v>18</v>
      </c>
      <c r="B17" s="139">
        <f>'TX-HPL-FLSH'!$M$82</f>
        <v>93941.439581314538</v>
      </c>
      <c r="C17" s="60">
        <f>'TX-HPL-GL '!$E$82</f>
        <v>-618276.34049999935</v>
      </c>
      <c r="D17" s="108">
        <f t="shared" si="0"/>
        <v>-712217.78008131392</v>
      </c>
      <c r="E17" s="31"/>
      <c r="F17" s="31">
        <f>'TX-HPL-GL '!G82</f>
        <v>-910149.21</v>
      </c>
      <c r="G17" s="31"/>
      <c r="H17" s="31"/>
    </row>
    <row r="18" spans="1:8" x14ac:dyDescent="0.25">
      <c r="A18" s="102" t="s">
        <v>186</v>
      </c>
      <c r="B18" s="139">
        <f>'TX-EGM-FLSH'!$M$89</f>
        <v>602</v>
      </c>
      <c r="C18" s="60">
        <f>+'TX-EGM-GL'!E89</f>
        <v>-4927</v>
      </c>
      <c r="D18" s="108">
        <f>C18-B18</f>
        <v>-5529</v>
      </c>
      <c r="E18" s="31"/>
      <c r="F18" s="31">
        <f>'WE-GL '!G81</f>
        <v>0</v>
      </c>
      <c r="G18" s="31"/>
      <c r="H18" s="31"/>
    </row>
    <row r="19" spans="1:8" x14ac:dyDescent="0.25">
      <c r="A19" s="102" t="s">
        <v>19</v>
      </c>
      <c r="B19" s="139">
        <f>'WE-FLSH'!$M$82</f>
        <v>-208757.72376637952</v>
      </c>
      <c r="C19" s="203">
        <f>'WE-GL '!$E$82</f>
        <v>-36788.727000008803</v>
      </c>
      <c r="D19" s="108">
        <f t="shared" si="0"/>
        <v>171968.99676637072</v>
      </c>
      <c r="E19" s="31"/>
      <c r="F19" s="31">
        <f>'WE-GL '!G82</f>
        <v>1754269.6</v>
      </c>
      <c r="G19" s="31"/>
      <c r="H19" s="31"/>
    </row>
    <row r="20" spans="1:8" x14ac:dyDescent="0.25">
      <c r="A20" s="102" t="s">
        <v>20</v>
      </c>
      <c r="B20" s="139">
        <f>STG_FLSH!$M$82</f>
        <v>2386000</v>
      </c>
      <c r="C20" s="203">
        <f>STG_GL!$E$82</f>
        <v>149791</v>
      </c>
      <c r="D20" s="108">
        <f>C20-B20</f>
        <v>-2236209</v>
      </c>
      <c r="E20" s="31"/>
      <c r="F20" s="31">
        <f>STG_GL!G82</f>
        <v>861283</v>
      </c>
      <c r="G20" s="31"/>
      <c r="H20" s="31"/>
    </row>
    <row r="21" spans="1:8" x14ac:dyDescent="0.25">
      <c r="A21" s="102" t="s">
        <v>167</v>
      </c>
      <c r="B21" s="139">
        <f>ONT_FLSH!$M$82</f>
        <v>-71773.679999999993</v>
      </c>
      <c r="C21" s="203">
        <f>'ONT_GL '!$E$82</f>
        <v>-3917140.7200000025</v>
      </c>
      <c r="D21" s="108">
        <f>C21-B21</f>
        <v>-3845367.0400000024</v>
      </c>
      <c r="E21" s="31"/>
      <c r="F21" s="31">
        <f>'ONT_GL '!G82</f>
        <v>273386.27999999997</v>
      </c>
      <c r="G21" s="31"/>
      <c r="H21" s="31"/>
    </row>
    <row r="22" spans="1:8" x14ac:dyDescent="0.25">
      <c r="A22" s="102" t="s">
        <v>172</v>
      </c>
      <c r="B22" s="139">
        <f>ONT_FLSH!$M$89</f>
        <v>26476</v>
      </c>
      <c r="C22" s="203">
        <f>+'ONT_GL '!E89</f>
        <v>26475.64</v>
      </c>
      <c r="D22" s="108">
        <f>C22-B22</f>
        <v>-0.36000000000058208</v>
      </c>
      <c r="E22" s="31"/>
      <c r="F22" s="31">
        <f>'ONT_GL '!G83</f>
        <v>0</v>
      </c>
      <c r="G22" s="31"/>
      <c r="H22" s="31"/>
    </row>
    <row r="23" spans="1:8" x14ac:dyDescent="0.25">
      <c r="A23" s="159" t="s">
        <v>116</v>
      </c>
      <c r="B23" s="139">
        <f>+BUG_FLSH!M82</f>
        <v>1437621.6211008001</v>
      </c>
      <c r="C23" s="203">
        <f>+BUG_GL!E82</f>
        <v>1128110.7900000047</v>
      </c>
      <c r="D23" s="108">
        <f>C23-B23</f>
        <v>-309510.83110079542</v>
      </c>
      <c r="E23" s="31"/>
      <c r="F23" s="31">
        <f>+BUG_GL!G82</f>
        <v>418384.00999999978</v>
      </c>
      <c r="G23" s="31"/>
      <c r="H23" s="31"/>
    </row>
    <row r="24" spans="1:8" ht="21.75" customHeight="1" thickBot="1" x14ac:dyDescent="0.3">
      <c r="A24" s="102" t="s">
        <v>10</v>
      </c>
      <c r="B24" s="61">
        <f>SUM(B11:B23)</f>
        <v>4190194.2799616163</v>
      </c>
      <c r="C24" s="61">
        <f>SUM(C11:C23)</f>
        <v>103424.39549998275</v>
      </c>
      <c r="D24" s="109">
        <f>SUM(D11:D23)</f>
        <v>-4086769.8844616339</v>
      </c>
      <c r="E24" s="31"/>
      <c r="F24" s="61">
        <f>SUM(F11:F23)</f>
        <v>-1067813.3499999994</v>
      </c>
      <c r="G24" s="31"/>
      <c r="H24" s="31"/>
    </row>
    <row r="25" spans="1:8" ht="21" customHeight="1" thickBot="1" x14ac:dyDescent="0.3">
      <c r="A25" s="103" t="s">
        <v>22</v>
      </c>
      <c r="B25" s="104">
        <f>TOTAL!$E$91</f>
        <v>4190194.2799616214</v>
      </c>
      <c r="C25" s="104">
        <f>TOTAL!$G$91</f>
        <v>103424.39550012903</v>
      </c>
      <c r="D25" s="110">
        <f>TOTAL!$I$91</f>
        <v>-4086769.8844615761</v>
      </c>
      <c r="E25" s="31"/>
      <c r="F25" s="31">
        <f>'TIE-OUT'!E82+RECLASS!E82</f>
        <v>-1067813.3500000006</v>
      </c>
      <c r="G25" s="31"/>
      <c r="H25" s="31"/>
    </row>
    <row r="26" spans="1:8" x14ac:dyDescent="0.25">
      <c r="B26" s="45"/>
      <c r="C26" s="45"/>
      <c r="D26" s="45"/>
      <c r="E26" s="45"/>
      <c r="F26" s="45"/>
      <c r="G26" s="45"/>
      <c r="H26" s="45"/>
    </row>
    <row r="27" spans="1:8" x14ac:dyDescent="0.25">
      <c r="B27" s="45">
        <f>+B24-B25</f>
        <v>-5.1222741603851318E-9</v>
      </c>
      <c r="C27" s="45">
        <f>+C24-C25</f>
        <v>-1.4627585187554359E-7</v>
      </c>
      <c r="D27" s="45"/>
      <c r="E27" s="45"/>
      <c r="F27" s="45">
        <f>+F24-F25</f>
        <v>0</v>
      </c>
      <c r="G27" s="45"/>
      <c r="H27" s="45"/>
    </row>
    <row r="28" spans="1:8" ht="13.8" thickBot="1" x14ac:dyDescent="0.3"/>
    <row r="29" spans="1:8" ht="18.600000000000001" thickBot="1" x14ac:dyDescent="0.4">
      <c r="A29" s="105" t="s">
        <v>12</v>
      </c>
      <c r="B29" s="106" t="s">
        <v>159</v>
      </c>
      <c r="C29" s="107" t="s">
        <v>8</v>
      </c>
      <c r="D29" s="107" t="s">
        <v>9</v>
      </c>
    </row>
    <row r="30" spans="1:8" x14ac:dyDescent="0.25">
      <c r="A30" s="102" t="s">
        <v>14</v>
      </c>
      <c r="B30" s="140">
        <f>+'[2]ST Warroom 99'!$B$44</f>
        <v>2246013</v>
      </c>
      <c r="C30" s="161">
        <f>C11</f>
        <v>2284810.80399998</v>
      </c>
      <c r="D30" s="108">
        <f t="shared" ref="D30:D37" si="1">C30-B30</f>
        <v>38797.80399997998</v>
      </c>
    </row>
    <row r="31" spans="1:8" x14ac:dyDescent="0.25">
      <c r="A31" s="102" t="s">
        <v>15</v>
      </c>
      <c r="B31" s="140">
        <v>0</v>
      </c>
      <c r="C31" s="60">
        <f>C12</f>
        <v>0</v>
      </c>
      <c r="D31" s="108">
        <f t="shared" si="1"/>
        <v>0</v>
      </c>
    </row>
    <row r="32" spans="1:8" x14ac:dyDescent="0.25">
      <c r="A32" s="102" t="s">
        <v>165</v>
      </c>
      <c r="B32" s="139">
        <f>+'[2]ST Warroom 99'!$C$44+'[2]ST Warroom 99'!$D$44+'[2]ST Warroom 99'!$E$44+'[2]ST Warroom 99'!$F$44</f>
        <v>-1615621</v>
      </c>
      <c r="C32" s="161">
        <f>C13+C14+C15</f>
        <v>-1691850.4249999714</v>
      </c>
      <c r="D32" s="108">
        <f t="shared" si="1"/>
        <v>-76229.424999971408</v>
      </c>
    </row>
    <row r="33" spans="1:4" x14ac:dyDescent="0.25">
      <c r="A33" s="102" t="s">
        <v>160</v>
      </c>
      <c r="B33" s="139">
        <f>+'[2]ST Warroom 99'!$H$44+'[2]ST Warroom 99'!$I$44+'[2]ST Warroom 99'!$J$44+'[2]ST Warroom 99'!$K$44</f>
        <v>2136973</v>
      </c>
      <c r="C33" s="60">
        <f>C16+C17+C18</f>
        <v>2160016.0334999808</v>
      </c>
      <c r="D33" s="108">
        <f t="shared" si="1"/>
        <v>23043.033499980811</v>
      </c>
    </row>
    <row r="34" spans="1:4" x14ac:dyDescent="0.25">
      <c r="A34" s="102" t="s">
        <v>19</v>
      </c>
      <c r="B34" s="139">
        <f>+'[2]ST Warroom 99'!$L$44</f>
        <v>-36637</v>
      </c>
      <c r="C34" s="161">
        <f>C19</f>
        <v>-36788.727000008803</v>
      </c>
      <c r="D34" s="108">
        <f t="shared" si="1"/>
        <v>-151.72700000880286</v>
      </c>
    </row>
    <row r="35" spans="1:4" x14ac:dyDescent="0.25">
      <c r="A35" s="102" t="s">
        <v>20</v>
      </c>
      <c r="B35" s="139">
        <f>+'[2]ST Warroom 99'!$M$44</f>
        <v>149791</v>
      </c>
      <c r="C35" s="60">
        <f>C20</f>
        <v>149791</v>
      </c>
      <c r="D35" s="108">
        <f t="shared" si="1"/>
        <v>0</v>
      </c>
    </row>
    <row r="36" spans="1:4" x14ac:dyDescent="0.25">
      <c r="A36" s="102" t="s">
        <v>167</v>
      </c>
      <c r="B36" s="139">
        <f>+'[2]ST Warroom 99'!$O$44</f>
        <v>-2590665</v>
      </c>
      <c r="C36" s="161">
        <f>+C21+C22</f>
        <v>-3890665.0800000024</v>
      </c>
      <c r="D36" s="108">
        <f t="shared" si="1"/>
        <v>-1300000.0800000024</v>
      </c>
    </row>
    <row r="37" spans="1:4" x14ac:dyDescent="0.25">
      <c r="A37" s="159" t="s">
        <v>116</v>
      </c>
      <c r="B37" s="139">
        <f>+'[2]ST Warroom 99'!$G$44</f>
        <v>1128111</v>
      </c>
      <c r="C37" s="161">
        <f>C23</f>
        <v>1128110.7900000047</v>
      </c>
      <c r="D37" s="108">
        <f t="shared" si="1"/>
        <v>-0.20999999530613422</v>
      </c>
    </row>
    <row r="38" spans="1:4" ht="13.8" thickBot="1" x14ac:dyDescent="0.3">
      <c r="A38" s="102" t="s">
        <v>10</v>
      </c>
      <c r="B38" s="61">
        <f>SUM(B30:B37)</f>
        <v>1417965</v>
      </c>
      <c r="C38" s="61">
        <f>SUM(C30:C37)</f>
        <v>103424.39549998287</v>
      </c>
      <c r="D38" s="109">
        <f>SUM(D30:D37)</f>
        <v>-1314540.6045000171</v>
      </c>
    </row>
    <row r="39" spans="1:4" ht="13.8" thickBot="1" x14ac:dyDescent="0.3">
      <c r="A39" s="103" t="s">
        <v>161</v>
      </c>
      <c r="B39" s="104">
        <f>+B38</f>
        <v>1417965</v>
      </c>
      <c r="C39" s="104">
        <f>TOTAL!$G$91</f>
        <v>103424.39550012903</v>
      </c>
      <c r="D39" s="110">
        <f>C39-B39</f>
        <v>-1314540.6044998709</v>
      </c>
    </row>
    <row r="41" spans="1:4" x14ac:dyDescent="0.25">
      <c r="B41" s="45"/>
      <c r="C41" s="45">
        <f>C39-[1]OAvsACT!$C$47</f>
        <v>-14.984499869577121</v>
      </c>
      <c r="D41" s="155">
        <f>-D39+[1]OAvsACT!$G$47</f>
        <v>14.984499869402498</v>
      </c>
    </row>
    <row r="42" spans="1:4" x14ac:dyDescent="0.25">
      <c r="C42" s="45"/>
      <c r="D42" s="156"/>
    </row>
    <row r="43" spans="1:4" x14ac:dyDescent="0.25">
      <c r="C43" s="45"/>
    </row>
    <row r="44" spans="1:4" hidden="1" x14ac:dyDescent="0.25"/>
    <row r="45" spans="1:4" hidden="1" x14ac:dyDescent="0.25"/>
    <row r="46" spans="1:4" hidden="1" x14ac:dyDescent="0.25"/>
    <row r="47" spans="1:4" hidden="1" x14ac:dyDescent="0.25"/>
    <row r="48" spans="1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3:3" hidden="1" x14ac:dyDescent="0.25"/>
    <row r="66" spans="3:3" hidden="1" x14ac:dyDescent="0.25"/>
    <row r="67" spans="3:3" hidden="1" x14ac:dyDescent="0.25"/>
    <row r="68" spans="3:3" hidden="1" x14ac:dyDescent="0.25"/>
    <row r="69" spans="3:3" hidden="1" x14ac:dyDescent="0.25"/>
    <row r="70" spans="3:3" hidden="1" x14ac:dyDescent="0.25"/>
    <row r="71" spans="3:3" hidden="1" x14ac:dyDescent="0.25">
      <c r="C71" s="2"/>
    </row>
    <row r="72" spans="3:3" hidden="1" x14ac:dyDescent="0.25"/>
    <row r="73" spans="3:3" hidden="1" x14ac:dyDescent="0.25"/>
    <row r="74" spans="3:3" hidden="1" x14ac:dyDescent="0.25"/>
    <row r="75" spans="3:3" hidden="1" x14ac:dyDescent="0.25"/>
    <row r="76" spans="3:3" hidden="1" x14ac:dyDescent="0.25"/>
    <row r="77" spans="3:3" hidden="1" x14ac:dyDescent="0.25"/>
    <row r="78" spans="3:3" hidden="1" x14ac:dyDescent="0.25"/>
    <row r="79" spans="3:3" hidden="1" x14ac:dyDescent="0.25"/>
    <row r="80" spans="3:3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M175"/>
  <sheetViews>
    <sheetView zoomScale="75" workbookViewId="0">
      <pane xSplit="3" ySplit="9" topLeftCell="AB18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3" customWidth="1"/>
    <col min="12" max="39" width="15.44140625" customWidth="1"/>
    <col min="56" max="96" width="0" hidden="1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8486456</v>
      </c>
      <c r="E11" s="38">
        <f t="shared" si="0"/>
        <v>19275850.900000002</v>
      </c>
      <c r="F11" s="58">
        <f>'TIE-OUT'!J11+RECLASS!J11</f>
        <v>0</v>
      </c>
      <c r="G11" s="15">
        <f>'TIE-OUT'!K11+RECLASS!K11</f>
        <v>0</v>
      </c>
      <c r="H11" s="127">
        <f>+Actuals!E44</f>
        <v>8391437</v>
      </c>
      <c r="I11" s="128">
        <f>+Actuals!F44</f>
        <v>19132325.850000001</v>
      </c>
      <c r="J11" s="127">
        <f>+Actuals!G44</f>
        <v>79389</v>
      </c>
      <c r="K11" s="147">
        <f>+Actuals!H44</f>
        <v>128950.52</v>
      </c>
      <c r="L11" s="127">
        <f>+Actuals!I44</f>
        <v>-450</v>
      </c>
      <c r="M11" s="128">
        <f>+Actuals!J44</f>
        <v>-1039.5</v>
      </c>
      <c r="N11" s="127">
        <f>+Actuals!K44</f>
        <v>0</v>
      </c>
      <c r="O11" s="128">
        <f>+Actuals!L44</f>
        <v>0</v>
      </c>
      <c r="P11" s="127">
        <f>+Actuals!M44</f>
        <v>1</v>
      </c>
      <c r="Q11" s="128">
        <f>+Actuals!N44</f>
        <v>-6481.38</v>
      </c>
      <c r="R11" s="127">
        <f>+Actuals!O44</f>
        <v>958</v>
      </c>
      <c r="S11" s="128">
        <f>+Actuals!P44</f>
        <v>2212.98</v>
      </c>
      <c r="T11" s="127">
        <f>+Actuals!Q44+100</f>
        <v>99</v>
      </c>
      <c r="U11" s="128">
        <f>+Actuals!R44+232</f>
        <v>-6476.71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0</v>
      </c>
      <c r="AC11" s="128">
        <f>+Actuals!Z44</f>
        <v>0</v>
      </c>
      <c r="AD11" s="127">
        <f>+Actuals!AA44</f>
        <v>0</v>
      </c>
      <c r="AE11" s="128">
        <f>+Actuals!AB44</f>
        <v>0</v>
      </c>
      <c r="AF11" s="127">
        <f>+Actuals!AC44</f>
        <v>15022</v>
      </c>
      <c r="AG11" s="128">
        <f>+Actuals!AD44</f>
        <v>26359.14</v>
      </c>
      <c r="AH11" s="127">
        <f>+Actuals!AE44</f>
        <v>0</v>
      </c>
      <c r="AI11" s="128">
        <f>+Actuals!AF44</f>
        <v>0</v>
      </c>
      <c r="AJ11" s="127">
        <f>+Actuals!AG44</f>
        <v>0</v>
      </c>
      <c r="AK11" s="128">
        <f>+Actuals!AH44</f>
        <v>0</v>
      </c>
      <c r="AL11" s="127">
        <f>+Actuals!AI44</f>
        <v>0</v>
      </c>
      <c r="AM11" s="128">
        <f>+Actuals!AJ44</f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-44383.68</v>
      </c>
      <c r="F12" s="58">
        <f>'TIE-OUT'!J12+RECLASS!J12</f>
        <v>0</v>
      </c>
      <c r="G12" s="15">
        <f>'TIE-OUT'!K12+RECLASS!K12</f>
        <v>-44383.68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60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  <c r="AL12" s="127">
        <f>+Actuals!AI45</f>
        <v>0</v>
      </c>
      <c r="AM12" s="128">
        <f>+Actuals!AJ45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  <c r="AL13" s="127">
        <f>+Actuals!AI46</f>
        <v>0</v>
      </c>
      <c r="AM13" s="128">
        <f>+Actuals!AJ46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  <c r="AL14" s="127">
        <f>+Actuals!AI47</f>
        <v>0</v>
      </c>
      <c r="AM14" s="128">
        <f>+Actuals!AJ47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  <c r="AL15" s="127">
        <f>+Actuals!AI48</f>
        <v>0</v>
      </c>
      <c r="AM15" s="128">
        <f>+Actuals!AJ48</f>
        <v>0</v>
      </c>
    </row>
    <row r="16" spans="1:39" x14ac:dyDescent="0.25">
      <c r="A16" s="9"/>
      <c r="B16" s="7" t="s">
        <v>33</v>
      </c>
      <c r="C16" s="6"/>
      <c r="D16" s="61">
        <f>SUM(D11:D15)</f>
        <v>8486456</v>
      </c>
      <c r="E16" s="39">
        <f>SUM(E11:E15)</f>
        <v>19231467.220000003</v>
      </c>
      <c r="F16" s="59">
        <f t="shared" ref="F16:W16" si="1">SUM(F11:F15)</f>
        <v>0</v>
      </c>
      <c r="G16" s="23">
        <f t="shared" si="1"/>
        <v>-44383.68</v>
      </c>
      <c r="H16" s="61">
        <f t="shared" si="1"/>
        <v>8391437</v>
      </c>
      <c r="I16" s="39">
        <f t="shared" si="1"/>
        <v>19132325.850000001</v>
      </c>
      <c r="J16" s="61">
        <f t="shared" si="1"/>
        <v>79389</v>
      </c>
      <c r="K16" s="148">
        <f t="shared" si="1"/>
        <v>128950.52</v>
      </c>
      <c r="L16" s="61">
        <f t="shared" si="1"/>
        <v>-450</v>
      </c>
      <c r="M16" s="39">
        <f t="shared" si="1"/>
        <v>-1039.5</v>
      </c>
      <c r="N16" s="61">
        <f t="shared" si="1"/>
        <v>0</v>
      </c>
      <c r="O16" s="39">
        <f t="shared" si="1"/>
        <v>0</v>
      </c>
      <c r="P16" s="61">
        <f t="shared" si="1"/>
        <v>1</v>
      </c>
      <c r="Q16" s="39">
        <f t="shared" si="1"/>
        <v>-6481.38</v>
      </c>
      <c r="R16" s="61">
        <f t="shared" si="1"/>
        <v>958</v>
      </c>
      <c r="S16" s="39">
        <f t="shared" si="1"/>
        <v>2212.98</v>
      </c>
      <c r="T16" s="61">
        <f t="shared" si="1"/>
        <v>99</v>
      </c>
      <c r="U16" s="39">
        <f t="shared" si="1"/>
        <v>-6476.71</v>
      </c>
      <c r="V16" s="61">
        <f t="shared" si="1"/>
        <v>0</v>
      </c>
      <c r="W16" s="39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15022</v>
      </c>
      <c r="AG16" s="39">
        <f t="shared" si="3"/>
        <v>26359.14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-847001</v>
      </c>
      <c r="E19" s="38">
        <f t="shared" si="4"/>
        <v>-1854754.28</v>
      </c>
      <c r="F19" s="84">
        <f>'TIE-OUT'!J19+RECLASS!J19</f>
        <v>0</v>
      </c>
      <c r="G19" s="85">
        <f>'TIE-OUT'!K19+RECLASS!K19</f>
        <v>0</v>
      </c>
      <c r="H19" s="127">
        <f>+Actuals!E49</f>
        <v>-378086</v>
      </c>
      <c r="I19" s="128">
        <f>+Actuals!F49</f>
        <v>-810408.32</v>
      </c>
      <c r="J19" s="127">
        <f>+Actuals!G49</f>
        <v>-515342</v>
      </c>
      <c r="K19" s="147">
        <f>+Actuals!H49</f>
        <v>-1146705.24</v>
      </c>
      <c r="L19" s="127">
        <f>+Actuals!I49</f>
        <v>46427</v>
      </c>
      <c r="M19" s="128">
        <f>+Actuals!J49</f>
        <v>101881.32</v>
      </c>
      <c r="N19" s="127">
        <f>+Actuals!K49</f>
        <v>0</v>
      </c>
      <c r="O19" s="128">
        <f>+Actuals!L49</f>
        <v>0</v>
      </c>
      <c r="P19" s="127">
        <f>+Actuals!M49</f>
        <v>0</v>
      </c>
      <c r="Q19" s="128">
        <f>+Actuals!N49+349</f>
        <v>349</v>
      </c>
      <c r="R19" s="127">
        <f>+Actuals!O49</f>
        <v>0</v>
      </c>
      <c r="S19" s="128">
        <f>+Actuals!P49</f>
        <v>69.2</v>
      </c>
      <c r="T19" s="127">
        <f>+Actuals!Q49</f>
        <v>0</v>
      </c>
      <c r="U19" s="128">
        <f>+Actuals!R49</f>
        <v>0</v>
      </c>
      <c r="V19" s="127">
        <f>+Actuals!S49</f>
        <v>0</v>
      </c>
      <c r="W19" s="128">
        <f>+Actuals!T49</f>
        <v>59.76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  <c r="AL19" s="127">
        <f>+Actuals!AI49</f>
        <v>0</v>
      </c>
      <c r="AM19" s="128">
        <f>+Actuals!AJ49</f>
        <v>0</v>
      </c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0</v>
      </c>
      <c r="F20" s="58">
        <f>'TIE-OUT'!J20+RECLASS!J20</f>
        <v>0</v>
      </c>
      <c r="G20" s="15">
        <f>'TIE-OUT'!K20+RECLASS!K20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  <c r="AL20" s="127">
        <f>+Actuals!AI50</f>
        <v>0</v>
      </c>
      <c r="AM20" s="128">
        <f>+Actuals!AJ50</f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  <c r="AL21" s="127">
        <f>+Actuals!AI51</f>
        <v>0</v>
      </c>
      <c r="AM21" s="128">
        <f>+Actuals!AJ51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  <c r="AL22" s="127">
        <f>+Actuals!AI52</f>
        <v>0</v>
      </c>
      <c r="AM22" s="128">
        <f>+Actuals!AJ52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34163</v>
      </c>
      <c r="E23" s="38">
        <f t="shared" si="4"/>
        <v>78532.86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</f>
        <v>50345</v>
      </c>
      <c r="K23" s="147">
        <f>+Actuals!H53</f>
        <v>115135.49</v>
      </c>
      <c r="L23" s="127">
        <f>+Actuals!I53</f>
        <v>0</v>
      </c>
      <c r="M23" s="128">
        <f>+Actuals!J53</f>
        <v>0</v>
      </c>
      <c r="N23" s="127">
        <f>+Actuals!K53</f>
        <v>0</v>
      </c>
      <c r="O23" s="128">
        <f>+Actuals!L53</f>
        <v>0</v>
      </c>
      <c r="P23" s="127">
        <f>+Actuals!M53</f>
        <v>0</v>
      </c>
      <c r="Q23" s="128">
        <f>+Actuals!N53</f>
        <v>454.15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-16182</v>
      </c>
      <c r="AA23" s="128">
        <f>+Actuals!X53</f>
        <v>-37056.78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  <c r="AL23" s="127">
        <f>+Actuals!AI53</f>
        <v>0</v>
      </c>
      <c r="AM23" s="128">
        <f>+Actuals!AJ53</f>
        <v>0</v>
      </c>
    </row>
    <row r="24" spans="1:39" x14ac:dyDescent="0.25">
      <c r="A24" s="9"/>
      <c r="B24" s="7" t="s">
        <v>36</v>
      </c>
      <c r="C24" s="6"/>
      <c r="D24" s="61">
        <f>SUM(D19:D23)</f>
        <v>-812838</v>
      </c>
      <c r="E24" s="39">
        <f>SUM(E19:E23)</f>
        <v>-1776221.42</v>
      </c>
      <c r="F24" s="59">
        <f t="shared" ref="F24:W24" si="5">SUM(F19:F23)</f>
        <v>0</v>
      </c>
      <c r="G24" s="23">
        <f t="shared" si="5"/>
        <v>0</v>
      </c>
      <c r="H24" s="61">
        <f t="shared" si="5"/>
        <v>-378086</v>
      </c>
      <c r="I24" s="39">
        <f t="shared" si="5"/>
        <v>-810408.32</v>
      </c>
      <c r="J24" s="61">
        <f t="shared" si="5"/>
        <v>-464997</v>
      </c>
      <c r="K24" s="148">
        <f t="shared" si="5"/>
        <v>-1031569.75</v>
      </c>
      <c r="L24" s="61">
        <f t="shared" si="5"/>
        <v>46427</v>
      </c>
      <c r="M24" s="39">
        <f t="shared" si="5"/>
        <v>101881.32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803.15</v>
      </c>
      <c r="R24" s="61">
        <f t="shared" si="5"/>
        <v>0</v>
      </c>
      <c r="S24" s="39">
        <f t="shared" si="5"/>
        <v>69.2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59.76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-16182</v>
      </c>
      <c r="AA24" s="39">
        <f t="shared" si="6"/>
        <v>-37056.78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1328614</v>
      </c>
      <c r="E27" s="38">
        <f>SUM(G27,I27,K27,M27,O27,Q27,S27,U27,W27,Y27,AA27,AC27,AE27,AG27,AI27,AK27,AM27)</f>
        <v>3057009.3999999994</v>
      </c>
      <c r="F27" s="84">
        <f>'TIE-OUT'!J27+RECLASS!J27</f>
        <v>0</v>
      </c>
      <c r="G27" s="85">
        <f>'TIE-OUT'!K27+RECLASS!K27</f>
        <v>0</v>
      </c>
      <c r="H27" s="127">
        <f>+Actuals!E54+37234</f>
        <v>1995725</v>
      </c>
      <c r="I27" s="128">
        <f>+Actuals!F54+88019</f>
        <v>4432338.2699999996</v>
      </c>
      <c r="J27" s="127">
        <f>+Actuals!G54</f>
        <v>-85802</v>
      </c>
      <c r="K27" s="147">
        <f>+Actuals!H54</f>
        <v>-27391.08</v>
      </c>
      <c r="L27" s="127">
        <f>+Actuals!I54</f>
        <v>-37183</v>
      </c>
      <c r="M27" s="128">
        <f>+Actuals!J54</f>
        <v>-84537.38</v>
      </c>
      <c r="N27" s="127">
        <f>+Actuals!K54</f>
        <v>-397971</v>
      </c>
      <c r="O27" s="128">
        <f>+Actuals!L54</f>
        <v>-904940.13</v>
      </c>
      <c r="P27" s="127">
        <f>+Actuals!M54</f>
        <v>161497</v>
      </c>
      <c r="Q27" s="128">
        <f>+Actuals!N54</f>
        <v>354597.16</v>
      </c>
      <c r="R27" s="127">
        <f>+Actuals!O54</f>
        <v>24504</v>
      </c>
      <c r="S27" s="128">
        <f>+Actuals!P54</f>
        <v>54019.07</v>
      </c>
      <c r="T27" s="127">
        <f>+Actuals!Q54</f>
        <v>-307682</v>
      </c>
      <c r="U27" s="128">
        <f>+Actuals!R54</f>
        <v>-713124.39</v>
      </c>
      <c r="V27" s="127">
        <f>+Actuals!S54</f>
        <v>-24474</v>
      </c>
      <c r="W27" s="128">
        <f>+Actuals!T54</f>
        <v>-53952.12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  <c r="AL27" s="127">
        <f>+Actuals!AI54</f>
        <v>0</v>
      </c>
      <c r="AM27" s="128">
        <f>+Actuals!AJ54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-9475249</v>
      </c>
      <c r="E28" s="38">
        <f>SUM(G28,I28,K28,M28,O28,Q28,S28,U28,W28,Y28,AA28,AC28,AE28,AG28,AI28,AK28,AM28)</f>
        <v>-21759487.880000006</v>
      </c>
      <c r="F28" s="98">
        <f>'TIE-OUT'!J28+RECLASS!J28</f>
        <v>0</v>
      </c>
      <c r="G28" s="99">
        <f>'TIE-OUT'!K28+RECLASS!K28</f>
        <v>0</v>
      </c>
      <c r="H28" s="127">
        <f>+Actuals!E55-34984</f>
        <v>-10090410</v>
      </c>
      <c r="I28" s="128">
        <f>+Actuals!F55-82631</f>
        <v>-23021125.120000001</v>
      </c>
      <c r="J28" s="127">
        <f>+Actuals!G55</f>
        <v>44406</v>
      </c>
      <c r="K28" s="147">
        <f>+Actuals!H55</f>
        <v>-7315.9200000000419</v>
      </c>
      <c r="L28" s="127">
        <f>+Actuals!I55</f>
        <v>43227</v>
      </c>
      <c r="M28" s="128">
        <f>+Actuals!J55</f>
        <v>99691.31</v>
      </c>
      <c r="N28" s="127">
        <f>+Actuals!K55</f>
        <v>333567</v>
      </c>
      <c r="O28" s="128">
        <f>+Actuals!L55</f>
        <v>769193.52</v>
      </c>
      <c r="P28" s="127">
        <f>+Actuals!M55</f>
        <v>-113691</v>
      </c>
      <c r="Q28" s="128">
        <f>+Actuals!N55-349</f>
        <v>-307602.01</v>
      </c>
      <c r="R28" s="127">
        <f>+Actuals!O55</f>
        <v>-24474</v>
      </c>
      <c r="S28" s="128">
        <f>+Actuals!P55</f>
        <v>-53952.94</v>
      </c>
      <c r="T28" s="127">
        <f>+Actuals!Q55-100</f>
        <v>307652</v>
      </c>
      <c r="U28" s="128">
        <f>+Actuals!R55-232</f>
        <v>713197.23</v>
      </c>
      <c r="V28" s="127">
        <f>+Actuals!S55</f>
        <v>24474</v>
      </c>
      <c r="W28" s="128">
        <f>+Actuals!T55</f>
        <v>53813.87</v>
      </c>
      <c r="X28" s="127">
        <f>+Actuals!U55</f>
        <v>0</v>
      </c>
      <c r="Y28" s="128">
        <f>+Actuals!V55</f>
        <v>-0.82</v>
      </c>
      <c r="Z28" s="127">
        <f>+Actuals!W55</f>
        <v>0</v>
      </c>
      <c r="AA28" s="128">
        <f>+Actuals!X55</f>
        <v>0</v>
      </c>
      <c r="AB28" s="127">
        <f>+Actuals!Y55</f>
        <v>0</v>
      </c>
      <c r="AC28" s="128">
        <f>+Actuals!Z55</f>
        <v>0</v>
      </c>
      <c r="AD28" s="127">
        <f>+Actuals!AA55</f>
        <v>0</v>
      </c>
      <c r="AE28" s="128">
        <v>-5387</v>
      </c>
      <c r="AF28" s="127">
        <f>+Actuals!AC55</f>
        <v>0</v>
      </c>
      <c r="AG28" s="128">
        <v>0</v>
      </c>
      <c r="AH28" s="127">
        <f>+Actuals!AE55</f>
        <v>0</v>
      </c>
      <c r="AI28" s="128">
        <v>0</v>
      </c>
      <c r="AJ28" s="127">
        <f>+Actuals!AG55</f>
        <v>0</v>
      </c>
      <c r="AK28" s="128">
        <v>0</v>
      </c>
      <c r="AL28" s="127">
        <f>+Actuals!AI55</f>
        <v>0</v>
      </c>
      <c r="AM28" s="128">
        <v>0</v>
      </c>
    </row>
    <row r="29" spans="1:39" x14ac:dyDescent="0.25">
      <c r="A29" s="9"/>
      <c r="B29" s="7" t="s">
        <v>40</v>
      </c>
      <c r="C29" s="18"/>
      <c r="D29" s="61">
        <f>SUM(D27:D28)</f>
        <v>-8146635</v>
      </c>
      <c r="E29" s="39">
        <f>SUM(E27:E28)</f>
        <v>-18702478.480000008</v>
      </c>
      <c r="F29" s="59">
        <f t="shared" ref="F29:W29" si="8">SUM(F27:F28)</f>
        <v>0</v>
      </c>
      <c r="G29" s="23">
        <f t="shared" si="8"/>
        <v>0</v>
      </c>
      <c r="H29" s="61">
        <f t="shared" si="8"/>
        <v>-8094685</v>
      </c>
      <c r="I29" s="39">
        <f t="shared" si="8"/>
        <v>-18588786.850000001</v>
      </c>
      <c r="J29" s="61">
        <f t="shared" si="8"/>
        <v>-41396</v>
      </c>
      <c r="K29" s="148">
        <f t="shared" si="8"/>
        <v>-34707.000000000044</v>
      </c>
      <c r="L29" s="61">
        <f t="shared" si="8"/>
        <v>6044</v>
      </c>
      <c r="M29" s="39">
        <f t="shared" si="8"/>
        <v>15153.929999999993</v>
      </c>
      <c r="N29" s="61">
        <f t="shared" si="8"/>
        <v>-64404</v>
      </c>
      <c r="O29" s="39">
        <f t="shared" si="8"/>
        <v>-135746.60999999999</v>
      </c>
      <c r="P29" s="61">
        <f t="shared" si="8"/>
        <v>47806</v>
      </c>
      <c r="Q29" s="39">
        <f t="shared" si="8"/>
        <v>46995.149999999965</v>
      </c>
      <c r="R29" s="61">
        <f t="shared" si="8"/>
        <v>30</v>
      </c>
      <c r="S29" s="39">
        <f t="shared" si="8"/>
        <v>66.129999999997381</v>
      </c>
      <c r="T29" s="61">
        <f t="shared" si="8"/>
        <v>-30</v>
      </c>
      <c r="U29" s="39">
        <f t="shared" si="8"/>
        <v>72.839999999967404</v>
      </c>
      <c r="V29" s="61">
        <f t="shared" si="8"/>
        <v>0</v>
      </c>
      <c r="W29" s="39">
        <f t="shared" si="8"/>
        <v>-138.25</v>
      </c>
      <c r="X29" s="61">
        <f t="shared" ref="X29:AC29" si="9">SUM(X27:X28)</f>
        <v>0</v>
      </c>
      <c r="Y29" s="39">
        <f t="shared" si="9"/>
        <v>-0.82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-5387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35808</v>
      </c>
      <c r="E32" s="38">
        <f t="shared" si="11"/>
        <v>79816.031999999992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49053</v>
      </c>
      <c r="K32" s="147">
        <f>+Actuals!H56</f>
        <v>109339.137</v>
      </c>
      <c r="L32" s="127">
        <f>+Actuals!I56</f>
        <v>0</v>
      </c>
      <c r="M32" s="128">
        <f>+Actuals!J56</f>
        <v>1765.9079999999999</v>
      </c>
      <c r="N32" s="127">
        <f>+Actuals!K56</f>
        <v>-25893</v>
      </c>
      <c r="O32" s="128">
        <f>+Actuals!L56</f>
        <v>-50564.805</v>
      </c>
      <c r="P32" s="127">
        <f>+Actuals!M56</f>
        <v>23464</v>
      </c>
      <c r="Q32" s="128">
        <f>+Actuals!N56</f>
        <v>74576.111999999994</v>
      </c>
      <c r="R32" s="127">
        <f>+Actuals!O56</f>
        <v>208</v>
      </c>
      <c r="S32" s="128">
        <f>+Actuals!P56</f>
        <v>-30727.824000000001</v>
      </c>
      <c r="T32" s="127">
        <f>+Actuals!Q56</f>
        <v>290</v>
      </c>
      <c r="U32" s="128">
        <f>+Actuals!R56</f>
        <v>646.41</v>
      </c>
      <c r="V32" s="127">
        <f>+Actuals!S56</f>
        <v>0</v>
      </c>
      <c r="W32" s="128">
        <f>+Actuals!T56</f>
        <v>0</v>
      </c>
      <c r="X32" s="127">
        <f>+Actuals!U56</f>
        <v>-27496</v>
      </c>
      <c r="Y32" s="128">
        <f>+Actuals!V56</f>
        <v>-61288.584000000003</v>
      </c>
      <c r="Z32" s="127">
        <f>+Actuals!W56</f>
        <v>16182</v>
      </c>
      <c r="AA32" s="128">
        <f>+Actuals!X56</f>
        <v>36069.678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  <c r="AL32" s="127">
        <f>+Actuals!AI56</f>
        <v>0</v>
      </c>
      <c r="AM32" s="128">
        <f>+Actuals!AJ56</f>
        <v>0</v>
      </c>
    </row>
    <row r="33" spans="1:39" x14ac:dyDescent="0.25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  <c r="AL33" s="127">
        <f>+Actuals!AI57</f>
        <v>0</v>
      </c>
      <c r="AM33" s="128">
        <f>+Actuals!AJ57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  <c r="AL34" s="127">
        <f>+Actuals!AI58</f>
        <v>0</v>
      </c>
      <c r="AM34" s="128">
        <f>+Actuals!AJ58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  <c r="AL35" s="127">
        <f>+Actuals!AI59</f>
        <v>0</v>
      </c>
      <c r="AM35" s="128">
        <f>+Actuals!AJ59</f>
        <v>0</v>
      </c>
    </row>
    <row r="36" spans="1:39" x14ac:dyDescent="0.25">
      <c r="A36" s="9"/>
      <c r="B36" s="7" t="s">
        <v>46</v>
      </c>
      <c r="C36" s="6"/>
      <c r="D36" s="61">
        <f>SUM(D32:D35)</f>
        <v>35808</v>
      </c>
      <c r="E36" s="39">
        <f>SUM(E32:E35)</f>
        <v>79816.031999999992</v>
      </c>
      <c r="F36" s="59">
        <f t="shared" ref="F36:W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49053</v>
      </c>
      <c r="K36" s="148">
        <f t="shared" si="12"/>
        <v>109339.137</v>
      </c>
      <c r="L36" s="61">
        <f t="shared" si="12"/>
        <v>0</v>
      </c>
      <c r="M36" s="39">
        <f t="shared" si="12"/>
        <v>1765.9079999999999</v>
      </c>
      <c r="N36" s="61">
        <f t="shared" si="12"/>
        <v>-25893</v>
      </c>
      <c r="O36" s="39">
        <f t="shared" si="12"/>
        <v>-50564.805</v>
      </c>
      <c r="P36" s="61">
        <f t="shared" si="12"/>
        <v>23464</v>
      </c>
      <c r="Q36" s="39">
        <f t="shared" si="12"/>
        <v>74576.111999999994</v>
      </c>
      <c r="R36" s="61">
        <f t="shared" si="12"/>
        <v>208</v>
      </c>
      <c r="S36" s="39">
        <f t="shared" si="12"/>
        <v>-30727.824000000001</v>
      </c>
      <c r="T36" s="61">
        <f t="shared" si="12"/>
        <v>290</v>
      </c>
      <c r="U36" s="39">
        <f t="shared" si="12"/>
        <v>646.41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-27496</v>
      </c>
      <c r="Y36" s="39">
        <f t="shared" si="13"/>
        <v>-61288.584000000003</v>
      </c>
      <c r="Z36" s="61">
        <f t="shared" si="13"/>
        <v>16182</v>
      </c>
      <c r="AA36" s="39">
        <f t="shared" si="13"/>
        <v>36069.678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980688</v>
      </c>
      <c r="E39" s="38">
        <f t="shared" si="15"/>
        <v>2235968.64</v>
      </c>
      <c r="F39" s="84">
        <f>'TIE-OUT'!J39+RECLASS!J39</f>
        <v>0</v>
      </c>
      <c r="G39" s="85">
        <f>'TIE-OUT'!K39+RECLASS!K39</f>
        <v>0</v>
      </c>
      <c r="H39" s="127">
        <f>+Actuals!E60</f>
        <v>0</v>
      </c>
      <c r="I39" s="128">
        <f>+Actuals!F60</f>
        <v>0</v>
      </c>
      <c r="J39" s="127">
        <f>+Actuals!G60</f>
        <v>1085249</v>
      </c>
      <c r="K39" s="147">
        <f>+Actuals!H60</f>
        <v>2474367.7200000002</v>
      </c>
      <c r="L39" s="127">
        <f>+Actuals!I60</f>
        <v>-31404</v>
      </c>
      <c r="M39" s="128">
        <f>+Actuals!J60</f>
        <v>-71601.119999999995</v>
      </c>
      <c r="N39" s="127">
        <f>+Actuals!K60</f>
        <v>-73157</v>
      </c>
      <c r="O39" s="128">
        <f>+Actuals!L60</f>
        <v>-166797.96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  <c r="AL39" s="127">
        <f>+Actuals!AI60</f>
        <v>0</v>
      </c>
      <c r="AM39" s="128">
        <f>+Actuals!AJ60</f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-584709</v>
      </c>
      <c r="E40" s="38">
        <f t="shared" si="15"/>
        <v>-1333136.52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-683126</v>
      </c>
      <c r="K40" s="147">
        <f>+Actuals!H61</f>
        <v>-1557527.28</v>
      </c>
      <c r="L40" s="127">
        <f>+Actuals!I61</f>
        <v>25360</v>
      </c>
      <c r="M40" s="128">
        <f>+Actuals!J61</f>
        <v>57820.800000000003</v>
      </c>
      <c r="N40" s="127">
        <f>+Actuals!K61</f>
        <v>73157</v>
      </c>
      <c r="O40" s="128">
        <f>+Actuals!L61</f>
        <v>166797.96</v>
      </c>
      <c r="P40" s="127">
        <f>+Actuals!M61</f>
        <v>0</v>
      </c>
      <c r="Q40" s="128">
        <f>+Actuals!N61</f>
        <v>0</v>
      </c>
      <c r="R40" s="127">
        <f>+Actuals!O61</f>
        <v>0</v>
      </c>
      <c r="S40" s="128">
        <f>+Actuals!P61</f>
        <v>0</v>
      </c>
      <c r="T40" s="127">
        <f>+Actuals!Q61</f>
        <v>-100</v>
      </c>
      <c r="U40" s="128">
        <f>+Actuals!R61</f>
        <v>-228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  <c r="AL40" s="127">
        <f>+Actuals!AI61</f>
        <v>0</v>
      </c>
      <c r="AM40" s="128">
        <f>+Actuals!AJ61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  <c r="AL41" s="127">
        <f>+Actuals!AI62</f>
        <v>0</v>
      </c>
      <c r="AM41" s="128">
        <f>+Actuals!AJ62</f>
        <v>0</v>
      </c>
    </row>
    <row r="42" spans="1:39" x14ac:dyDescent="0.25">
      <c r="A42" s="9"/>
      <c r="B42" s="7"/>
      <c r="C42" s="53" t="s">
        <v>51</v>
      </c>
      <c r="D42" s="61">
        <f>SUM(D40:D41)</f>
        <v>-584709</v>
      </c>
      <c r="E42" s="39">
        <f>SUM(E40:E41)</f>
        <v>-1333136.52</v>
      </c>
      <c r="F42" s="59">
        <f t="shared" ref="F42:W42" si="16">SUM(F40:F41)</f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-683126</v>
      </c>
      <c r="K42" s="148">
        <f t="shared" si="16"/>
        <v>-1557527.28</v>
      </c>
      <c r="L42" s="61">
        <f t="shared" si="16"/>
        <v>25360</v>
      </c>
      <c r="M42" s="39">
        <f t="shared" si="16"/>
        <v>57820.800000000003</v>
      </c>
      <c r="N42" s="61">
        <f t="shared" si="16"/>
        <v>73157</v>
      </c>
      <c r="O42" s="39">
        <f t="shared" si="16"/>
        <v>166797.96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-100</v>
      </c>
      <c r="U42" s="39">
        <f t="shared" si="16"/>
        <v>-228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>D42+D39</f>
        <v>395979</v>
      </c>
      <c r="E43" s="39">
        <f>E42+E39</f>
        <v>902832.12000000011</v>
      </c>
      <c r="F43" s="59">
        <f t="shared" ref="F43:W43" si="19">F42+F39</f>
        <v>0</v>
      </c>
      <c r="G43" s="23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402123</v>
      </c>
      <c r="K43" s="148">
        <f t="shared" si="19"/>
        <v>916840.44000000018</v>
      </c>
      <c r="L43" s="61">
        <f t="shared" si="19"/>
        <v>-6044</v>
      </c>
      <c r="M43" s="39">
        <f t="shared" si="19"/>
        <v>-13780.319999999992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-100</v>
      </c>
      <c r="U43" s="39">
        <f t="shared" si="19"/>
        <v>-228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-25247</v>
      </c>
      <c r="E45" s="38">
        <f>SUM(G45,I45,K45,M45,O45,Q45,S45,U45,W45,Y45,AA45,AC45,AE45,AG45,AI45,AK45,AM45)</f>
        <v>-45544.09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-25247</v>
      </c>
      <c r="K45" s="147">
        <f>+Actuals!H63</f>
        <v>-48726.71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3182.62</v>
      </c>
      <c r="R45" s="127">
        <f>+Actuals!O63</f>
        <v>0</v>
      </c>
      <c r="S45" s="128">
        <f>+Actuals!P63</f>
        <v>0</v>
      </c>
      <c r="T45" s="127">
        <f>+Actuals!Q63</f>
        <v>0</v>
      </c>
      <c r="U45" s="128">
        <f>+Actuals!R63</f>
        <v>0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  <c r="AL45" s="127">
        <f>+Actuals!AI63</f>
        <v>0</v>
      </c>
      <c r="AM45" s="128">
        <f>+Actuals!AJ63</f>
        <v>0</v>
      </c>
    </row>
    <row r="46" spans="1:39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0</v>
      </c>
      <c r="K47" s="147">
        <f>+Actuals!H64</f>
        <v>0</v>
      </c>
      <c r="L47" s="127">
        <f>+Actuals!I64</f>
        <v>0</v>
      </c>
      <c r="M47" s="128">
        <f>+Actuals!J64</f>
        <v>0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  <c r="AL47" s="127">
        <f>+Actuals!AI64</f>
        <v>0</v>
      </c>
      <c r="AM47" s="128">
        <f>+Actuals!AJ64</f>
        <v>0</v>
      </c>
    </row>
    <row r="48" spans="1:39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68727</v>
      </c>
      <c r="E49" s="38">
        <f>SUM(G49,I49,K49,M49,O49,Q49,S49,U49,W49,Y49,AA49,AC49,AE49,AG49,AI49,AK49,AM49)</f>
        <v>153192.47900000002</v>
      </c>
      <c r="F49" s="58">
        <f>'TIE-OUT'!J49+RECLASS!J49</f>
        <v>0</v>
      </c>
      <c r="G49" s="15">
        <f>'TIE-OUT'!K49+RECLASS!K49</f>
        <v>0</v>
      </c>
      <c r="H49" s="127">
        <f>+Actuals!E65</f>
        <v>83584</v>
      </c>
      <c r="I49" s="128">
        <f>+Actuals!F65</f>
        <v>186308.736</v>
      </c>
      <c r="J49" s="127">
        <f>+Actuals!G65</f>
        <v>1075</v>
      </c>
      <c r="K49" s="147">
        <f>+Actuals!H65</f>
        <v>2396.1709999999998</v>
      </c>
      <c r="L49" s="127">
        <f>+Actuals!I65</f>
        <v>-45977</v>
      </c>
      <c r="M49" s="128">
        <f>+Actuals!J65</f>
        <v>-102482.73299999999</v>
      </c>
      <c r="N49" s="127">
        <f>+Actuals!K65</f>
        <v>90297</v>
      </c>
      <c r="O49" s="128">
        <f>+Actuals!L65</f>
        <v>201272.01300000001</v>
      </c>
      <c r="P49" s="127">
        <f>+Actuals!M65</f>
        <v>-71271</v>
      </c>
      <c r="Q49" s="128">
        <f>+Actuals!N65</f>
        <v>-158863.05900000001</v>
      </c>
      <c r="R49" s="127">
        <f>+Actuals!O65</f>
        <v>-1196</v>
      </c>
      <c r="S49" s="128">
        <f>+Actuals!P65</f>
        <v>-2665.884</v>
      </c>
      <c r="T49" s="127">
        <f>+Actuals!Q65</f>
        <v>-259</v>
      </c>
      <c r="U49" s="128">
        <f>+Actuals!R65</f>
        <v>-577.31100000000004</v>
      </c>
      <c r="V49" s="127">
        <f>+Actuals!S65</f>
        <v>0</v>
      </c>
      <c r="W49" s="128">
        <f>+Actuals!T65</f>
        <v>0</v>
      </c>
      <c r="X49" s="127">
        <f>+Actuals!U65</f>
        <v>27496</v>
      </c>
      <c r="Y49" s="128">
        <f>+Actuals!V65</f>
        <v>61288.584000000003</v>
      </c>
      <c r="Z49" s="127">
        <f>+Actuals!W65</f>
        <v>0</v>
      </c>
      <c r="AA49" s="128">
        <f>+Actuals!X65</f>
        <v>0</v>
      </c>
      <c r="AB49" s="127">
        <f>+Actuals!Y65</f>
        <v>0</v>
      </c>
      <c r="AC49" s="128">
        <f>+Actuals!Z65</f>
        <v>0</v>
      </c>
      <c r="AD49" s="127">
        <f>+Actuals!AA65</f>
        <v>0</v>
      </c>
      <c r="AE49" s="128">
        <f>+Actuals!AB65</f>
        <v>0</v>
      </c>
      <c r="AF49" s="127">
        <f>+Actuals!AC65</f>
        <v>-15022</v>
      </c>
      <c r="AG49" s="128">
        <f>+Actuals!AD65</f>
        <v>-33484.038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  <c r="AL49" s="127">
        <f>+Actuals!AI65</f>
        <v>0</v>
      </c>
      <c r="AM49" s="128">
        <f>+Actuals!AJ65</f>
        <v>0</v>
      </c>
    </row>
    <row r="50" spans="1:39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-59521</v>
      </c>
      <c r="E51" s="38">
        <f>SUM(G51,I51,K51,M51,O51,Q51,S51,U51,W51,Y51,AA51,AC51,AE51,AG51,AI51,AK51,AM51)</f>
        <v>-136926.63999999998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+Actuals!G66-9076</f>
        <v>-59421</v>
      </c>
      <c r="K51" s="147">
        <f>+Actuals!H66-20756</f>
        <v>-135891.49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+Actuals!N66-349</f>
        <v>-803.15</v>
      </c>
      <c r="R51" s="127">
        <f>+Actuals!O66</f>
        <v>0</v>
      </c>
      <c r="S51" s="128">
        <f>+Actuals!P66</f>
        <v>0</v>
      </c>
      <c r="T51" s="127">
        <f>+Actuals!Q66-100</f>
        <v>-100</v>
      </c>
      <c r="U51" s="128">
        <f>+Actuals!R66-232</f>
        <v>-232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  <c r="AF51" s="127">
        <f>+Actuals!AC66</f>
        <v>0</v>
      </c>
      <c r="AG51" s="128">
        <f>+Actuals!AD66</f>
        <v>0</v>
      </c>
      <c r="AH51" s="127">
        <f>+Actuals!AE66</f>
        <v>0</v>
      </c>
      <c r="AI51" s="128">
        <f>+Actuals!AF66</f>
        <v>0</v>
      </c>
      <c r="AJ51" s="127">
        <f>+Actuals!AG66</f>
        <v>0</v>
      </c>
      <c r="AK51" s="128">
        <f>+Actuals!AH66</f>
        <v>0</v>
      </c>
      <c r="AL51" s="127">
        <f>+Actuals!AI66</f>
        <v>0</v>
      </c>
      <c r="AM51" s="128">
        <f>+Actuals!AJ66</f>
        <v>0</v>
      </c>
    </row>
    <row r="52" spans="1:39" x14ac:dyDescent="0.25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-95813</v>
      </c>
      <c r="E54" s="38">
        <f>SUM(G54,I54,K54,M54,O54,Q54,S54,U54,W54,Y54,AA54,AC54,AE54,AG54,AI54,AK54,AM54)</f>
        <v>17227.760000000002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20105.2</v>
      </c>
      <c r="J54" s="127">
        <f>+Actuals!G67</f>
        <v>0</v>
      </c>
      <c r="K54" s="147">
        <f>+Actuals!H67</f>
        <v>-3.05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-95813</v>
      </c>
      <c r="AC54" s="128">
        <f>+Actuals!Z67</f>
        <v>-2874.39</v>
      </c>
      <c r="AD54" s="127">
        <f>+Actuals!AA67</f>
        <v>0</v>
      </c>
      <c r="AE54" s="128">
        <f>+Actuals!AB67</f>
        <v>0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  <c r="AL54" s="127">
        <f>+Actuals!AI67</f>
        <v>0</v>
      </c>
      <c r="AM54" s="128">
        <f>+Actuals!AJ67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  <c r="AL55" s="127">
        <f>+Actuals!AI68</f>
        <v>0</v>
      </c>
      <c r="AM55" s="128">
        <f>+Actuals!AJ68</f>
        <v>0</v>
      </c>
    </row>
    <row r="56" spans="1:39" x14ac:dyDescent="0.25">
      <c r="A56" s="9"/>
      <c r="B56" s="7" t="s">
        <v>60</v>
      </c>
      <c r="C56" s="6"/>
      <c r="D56" s="61">
        <f>SUM(D54:D55)</f>
        <v>-95813</v>
      </c>
      <c r="E56" s="39">
        <f>SUM(E54:E55)</f>
        <v>17227.760000000002</v>
      </c>
      <c r="F56" s="59">
        <f t="shared" ref="F56:W56" si="22">SUM(F54:F55)</f>
        <v>0</v>
      </c>
      <c r="G56" s="23">
        <f t="shared" si="22"/>
        <v>0</v>
      </c>
      <c r="H56" s="61">
        <f t="shared" si="22"/>
        <v>0</v>
      </c>
      <c r="I56" s="39">
        <f t="shared" si="22"/>
        <v>20105.2</v>
      </c>
      <c r="J56" s="61">
        <f t="shared" si="22"/>
        <v>0</v>
      </c>
      <c r="K56" s="148">
        <f t="shared" si="22"/>
        <v>-3.05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-95813</v>
      </c>
      <c r="AC56" s="39">
        <f t="shared" si="23"/>
        <v>-2874.39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3132845</v>
      </c>
      <c r="E59" s="38">
        <f>SUM(G59,I59,K59,M59,O59,Q59,S59,U59,W59,Y59,AA59,AC59,AE59,AG59,AI59,AK59,AM59)</f>
        <v>55985.979999999996</v>
      </c>
      <c r="F59" s="84">
        <f>'TIE-OUT'!J59+RECLASS!J59</f>
        <v>0</v>
      </c>
      <c r="G59" s="85">
        <f>'TIE-OUT'!K59+RECLASS!K59</f>
        <v>0</v>
      </c>
      <c r="H59" s="127">
        <f>+Actuals!E69</f>
        <v>2992830</v>
      </c>
      <c r="I59" s="128">
        <f>+Actuals!F69</f>
        <v>46484.87</v>
      </c>
      <c r="J59" s="127">
        <f>+Actuals!G69</f>
        <v>133968</v>
      </c>
      <c r="K59" s="147">
        <f>+Actuals!H69</f>
        <v>9520.52</v>
      </c>
      <c r="L59" s="127">
        <f>+Actuals!I69</f>
        <v>5932</v>
      </c>
      <c r="M59" s="128">
        <f>+Actuals!J69</f>
        <v>0</v>
      </c>
      <c r="N59" s="127">
        <f>+Actuals!K69</f>
        <v>0</v>
      </c>
      <c r="O59" s="128">
        <f>+Actuals!L69</f>
        <v>0</v>
      </c>
      <c r="P59" s="127">
        <f>+Actuals!M69</f>
        <v>0</v>
      </c>
      <c r="Q59" s="128">
        <f>+Actuals!N69</f>
        <v>-97.16</v>
      </c>
      <c r="R59" s="127">
        <f>+Actuals!O69</f>
        <v>0</v>
      </c>
      <c r="S59" s="128">
        <f>+Actuals!P69</f>
        <v>77.75</v>
      </c>
      <c r="T59" s="127">
        <f>+Actuals!Q69</f>
        <v>115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  <c r="AL59" s="127">
        <f>+Actuals!AI69</f>
        <v>0</v>
      </c>
      <c r="AM59" s="128">
        <f>+Actuals!AJ69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  <c r="AL60" s="127">
        <f>+Actuals!AI70</f>
        <v>0</v>
      </c>
      <c r="AM60" s="128">
        <f>+Actuals!AJ70</f>
        <v>0</v>
      </c>
    </row>
    <row r="61" spans="1:39" x14ac:dyDescent="0.25">
      <c r="A61" s="9"/>
      <c r="B61" s="62" t="s">
        <v>64</v>
      </c>
      <c r="C61" s="6"/>
      <c r="D61" s="61">
        <f>SUM(D59:D60)</f>
        <v>3132845</v>
      </c>
      <c r="E61" s="39">
        <f>SUM(E59:E60)</f>
        <v>55985.979999999996</v>
      </c>
      <c r="F61" s="59">
        <f t="shared" ref="F61:W61" si="25">SUM(F59:F60)</f>
        <v>0</v>
      </c>
      <c r="G61" s="23">
        <f t="shared" si="25"/>
        <v>0</v>
      </c>
      <c r="H61" s="61">
        <f t="shared" si="25"/>
        <v>2992830</v>
      </c>
      <c r="I61" s="39">
        <f t="shared" si="25"/>
        <v>46484.87</v>
      </c>
      <c r="J61" s="61">
        <f t="shared" si="25"/>
        <v>133968</v>
      </c>
      <c r="K61" s="148">
        <f t="shared" si="25"/>
        <v>9520.52</v>
      </c>
      <c r="L61" s="61">
        <f t="shared" si="25"/>
        <v>5932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-97.16</v>
      </c>
      <c r="R61" s="61">
        <f t="shared" si="25"/>
        <v>0</v>
      </c>
      <c r="S61" s="39">
        <f t="shared" si="25"/>
        <v>77.75</v>
      </c>
      <c r="T61" s="61">
        <f t="shared" si="25"/>
        <v>115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-19886382</v>
      </c>
      <c r="E64" s="38">
        <f>SUM(G64,I64,K64,M64,O64,Q64,S64,U64,W64,Y64,AA64,AC64,AE64,AG64,AI64,AK64)</f>
        <v>-1955974.55</v>
      </c>
      <c r="F64" s="84">
        <f>'TIE-OUT'!J64+RECLASS!J64</f>
        <v>0</v>
      </c>
      <c r="G64" s="85">
        <f>'TIE-OUT'!K64+RECLASS!K64</f>
        <v>0</v>
      </c>
      <c r="H64" s="127">
        <f>+Actuals!E71</f>
        <v>-12224792</v>
      </c>
      <c r="I64" s="128">
        <f>+Actuals!F71</f>
        <v>-1306444.3</v>
      </c>
      <c r="J64" s="127">
        <f>+Actuals!G71</f>
        <v>-7967199</v>
      </c>
      <c r="K64" s="147">
        <f>+Actuals!H71</f>
        <v>-674887.76</v>
      </c>
      <c r="L64" s="127">
        <f>+Actuals!I71</f>
        <v>31404</v>
      </c>
      <c r="M64" s="128">
        <f>+Actuals!J71</f>
        <v>0</v>
      </c>
      <c r="N64" s="127">
        <f>+Actuals!K71</f>
        <v>146314</v>
      </c>
      <c r="O64" s="128">
        <f>+Actuals!L71</f>
        <v>16866.04</v>
      </c>
      <c r="P64" s="127">
        <f>+Actuals!M71</f>
        <v>0</v>
      </c>
      <c r="Q64" s="128">
        <f>+Actuals!N71</f>
        <v>277625.75</v>
      </c>
      <c r="R64" s="127">
        <f>+Actuals!O71</f>
        <v>-24474</v>
      </c>
      <c r="S64" s="128">
        <f>+Actuals!P71</f>
        <v>-284370.77</v>
      </c>
      <c r="T64" s="127">
        <f>+Actuals!Q71</f>
        <v>152365</v>
      </c>
      <c r="U64" s="128">
        <f>+Actuals!R71</f>
        <v>15236.5</v>
      </c>
      <c r="V64" s="127">
        <f>+Actuals!S71</f>
        <v>0</v>
      </c>
      <c r="W64" s="128">
        <f>+Actuals!T71</f>
        <v>-0.01</v>
      </c>
      <c r="X64" s="127">
        <f>+Actuals!U71</f>
        <v>0</v>
      </c>
      <c r="Y64" s="128">
        <f>+Actuals!V71</f>
        <v>0.01</v>
      </c>
      <c r="Z64" s="127">
        <f>+Actuals!W71</f>
        <v>0</v>
      </c>
      <c r="AA64" s="128">
        <f>+Actuals!X71</f>
        <v>-0.01</v>
      </c>
      <c r="AB64" s="127">
        <f>+Actuals!Y71</f>
        <v>0</v>
      </c>
      <c r="AC64" s="128">
        <f>+Actuals!Z71</f>
        <v>0</v>
      </c>
      <c r="AD64" s="127">
        <f>+Actuals!AA71</f>
        <v>0</v>
      </c>
      <c r="AE64" s="128">
        <f>+Actuals!AB71</f>
        <v>0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</v>
      </c>
      <c r="AJ64" s="127">
        <f>+Actuals!AG71</f>
        <v>0</v>
      </c>
      <c r="AK64" s="128">
        <f>+Actuals!AH71</f>
        <v>0</v>
      </c>
      <c r="AL64" s="127">
        <f>+Actuals!AI71</f>
        <v>0</v>
      </c>
      <c r="AM64" s="128">
        <f>+Actuals!AJ71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18905694</v>
      </c>
      <c r="E65" s="38">
        <f>SUM(G65,I65,K65,M65,O65,Q65,S65,U65,W65,Y65,AA65,AC65,AE65,AG65,AI65,AK65,AM65)</f>
        <v>1955974.54</v>
      </c>
      <c r="F65" s="98">
        <f>'TIE-OUT'!J65+RECLASS!J65</f>
        <v>0</v>
      </c>
      <c r="G65" s="99">
        <f>'TIE-OUT'!K65+RECLASS!K65</f>
        <v>0</v>
      </c>
      <c r="H65" s="127">
        <f>+Actuals!E72</f>
        <v>11108431</v>
      </c>
      <c r="I65" s="128">
        <f>+Actuals!F72</f>
        <v>1306444.29</v>
      </c>
      <c r="J65" s="127">
        <f>+Actuals!G72</f>
        <v>7998311</v>
      </c>
      <c r="K65" s="147">
        <f>+Actuals!H72+450000</f>
        <v>674887.78</v>
      </c>
      <c r="L65" s="127">
        <f>+Actuals!I72</f>
        <v>0</v>
      </c>
      <c r="M65" s="128">
        <f>+Actuals!J72</f>
        <v>0</v>
      </c>
      <c r="N65" s="127">
        <f>+Actuals!K72</f>
        <v>-73157</v>
      </c>
      <c r="O65" s="128">
        <f>+Actuals!L72</f>
        <v>-16866.060000000001</v>
      </c>
      <c r="P65" s="127">
        <f>+Actuals!M72</f>
        <v>0</v>
      </c>
      <c r="Q65" s="128">
        <f>+Actuals!N72</f>
        <v>-277625.74</v>
      </c>
      <c r="R65" s="127">
        <f>+Actuals!O72</f>
        <v>24474</v>
      </c>
      <c r="S65" s="128">
        <f>+Actuals!P72</f>
        <v>284370.77</v>
      </c>
      <c r="T65" s="127">
        <f>+Actuals!Q72</f>
        <v>-152365</v>
      </c>
      <c r="U65" s="128">
        <f>+Actuals!R72</f>
        <v>-15236.5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  <c r="AL65" s="127">
        <f>+Actuals!AI72</f>
        <v>0</v>
      </c>
      <c r="AM65" s="128">
        <f>+Actuals!AJ72</f>
        <v>0</v>
      </c>
    </row>
    <row r="66" spans="1:39" x14ac:dyDescent="0.25">
      <c r="A66" s="9"/>
      <c r="B66" s="7" t="s">
        <v>67</v>
      </c>
      <c r="C66" s="6"/>
      <c r="D66" s="61">
        <f>SUM(D64:D65)</f>
        <v>-980688</v>
      </c>
      <c r="E66" s="39">
        <f>SUM(E64:E65)</f>
        <v>-1.0000000009313226E-2</v>
      </c>
      <c r="F66" s="59">
        <f t="shared" ref="F66:W66" si="28">SUM(F64:F65)</f>
        <v>0</v>
      </c>
      <c r="G66" s="23">
        <f t="shared" si="28"/>
        <v>0</v>
      </c>
      <c r="H66" s="61">
        <f t="shared" si="28"/>
        <v>-1116361</v>
      </c>
      <c r="I66" s="39">
        <f t="shared" si="28"/>
        <v>-1.0000000009313226E-2</v>
      </c>
      <c r="J66" s="61">
        <f t="shared" si="28"/>
        <v>31112</v>
      </c>
      <c r="K66" s="148">
        <f t="shared" si="28"/>
        <v>2.0000000018626451E-2</v>
      </c>
      <c r="L66" s="61">
        <f t="shared" si="28"/>
        <v>31404</v>
      </c>
      <c r="M66" s="39">
        <f t="shared" si="28"/>
        <v>0</v>
      </c>
      <c r="N66" s="61">
        <f t="shared" si="28"/>
        <v>73157</v>
      </c>
      <c r="O66" s="39">
        <f t="shared" si="28"/>
        <v>-2.0000000000436557E-2</v>
      </c>
      <c r="P66" s="61">
        <f t="shared" si="28"/>
        <v>0</v>
      </c>
      <c r="Q66" s="39">
        <f t="shared" si="28"/>
        <v>1.0000000009313226E-2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-0.01</v>
      </c>
      <c r="X66" s="61">
        <f t="shared" ref="X66:AC66" si="29">SUM(X64:X65)</f>
        <v>0</v>
      </c>
      <c r="Y66" s="39">
        <f t="shared" si="29"/>
        <v>0.01</v>
      </c>
      <c r="Z66" s="61">
        <f t="shared" si="29"/>
        <v>0</v>
      </c>
      <c r="AA66" s="39">
        <f t="shared" si="29"/>
        <v>-0.01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  <c r="AL70" s="127">
        <f>+Actuals!AI73</f>
        <v>0</v>
      </c>
      <c r="AM70" s="128">
        <f>+Actuals!AJ73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  <c r="AL71" s="127">
        <f>+Actuals!AI74</f>
        <v>0</v>
      </c>
      <c r="AM71" s="128">
        <f>+Actuals!AJ74</f>
        <v>0</v>
      </c>
    </row>
    <row r="72" spans="1:39" x14ac:dyDescent="0.25">
      <c r="A72" s="9"/>
      <c r="B72" s="3"/>
      <c r="C72" s="55" t="s">
        <v>72</v>
      </c>
      <c r="D72" s="61">
        <f>SUM(D70:D71)</f>
        <v>0</v>
      </c>
      <c r="E72" s="39">
        <f>SUM(E70:E71)</f>
        <v>0</v>
      </c>
      <c r="F72" s="59">
        <f t="shared" ref="F72:W72" si="31">SUM(F70:F71)</f>
        <v>0</v>
      </c>
      <c r="G72" s="23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  <c r="AL73" s="127">
        <f>+Actuals!AI75</f>
        <v>0</v>
      </c>
      <c r="AM73" s="128">
        <f>+Actuals!AJ75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  <c r="AL74" s="127">
        <f>+Actuals!AI76</f>
        <v>0</v>
      </c>
      <c r="AM74" s="128">
        <f>+Actuals!AJ76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  <c r="AL75" s="127">
        <f>+Actuals!AI77</f>
        <v>0</v>
      </c>
      <c r="AM75" s="128">
        <f>+Actuals!AJ77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  <c r="AL76" s="127">
        <f>+Actuals!AI78</f>
        <v>0</v>
      </c>
      <c r="AM76" s="128">
        <f>+Actuals!AJ78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  <c r="AL77" s="127">
        <f>+Actuals!AI79</f>
        <v>0</v>
      </c>
      <c r="AM77" s="128">
        <f>+Actuals!AJ79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  <c r="AL78" s="127">
        <f>+Actuals!AI80</f>
        <v>0</v>
      </c>
      <c r="AM78" s="128">
        <f>+Actuals!AJ80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  <c r="AL79" s="127">
        <f>+Actuals!AI81</f>
        <v>0</v>
      </c>
      <c r="AM79" s="128">
        <f>+Actuals!AJ81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  <c r="AL80" s="127">
        <f>+Actuals!AI82</f>
        <v>0</v>
      </c>
      <c r="AM80" s="128">
        <f>+Actuals!AJ82</f>
        <v>0</v>
      </c>
    </row>
    <row r="81" spans="1:39" x14ac:dyDescent="0.25">
      <c r="A81" s="9">
        <v>40</v>
      </c>
      <c r="B81" s="3"/>
      <c r="C81" s="10" t="s">
        <v>81</v>
      </c>
      <c r="D81" s="60">
        <f t="shared" si="34"/>
        <v>1116361</v>
      </c>
      <c r="E81" s="38">
        <f t="shared" si="35"/>
        <v>0</v>
      </c>
      <c r="F81" s="58">
        <f>'TIE-OUT'!J81+RECLASS!J81</f>
        <v>0</v>
      </c>
      <c r="G81" s="58">
        <f>'TIE-OUT'!K81+RECLASS!K81</f>
        <v>0</v>
      </c>
      <c r="H81" s="127">
        <f>+Actuals!E83+1116361</f>
        <v>1116361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  <c r="AL81" s="127">
        <f>+Actuals!AI83</f>
        <v>0</v>
      </c>
      <c r="AM81" s="128">
        <f>+Actuals!AJ83</f>
        <v>0</v>
      </c>
    </row>
    <row r="82" spans="1:39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2250</v>
      </c>
      <c r="E82" s="93">
        <f>SUM(E72:E81)+E16+E24+E29+E36+E43+E45+E47+E49+E51+E56+E61+E66</f>
        <v>-220649.04900000338</v>
      </c>
      <c r="F82" s="92">
        <f>F16+F24+F29+F36+F43+F45+F47+F49</f>
        <v>0</v>
      </c>
      <c r="G82" s="93">
        <f>SUM(G72:G81)+G16+G24+G29+G36+G43+G45+G47+G49+G51+G56+G61+G66</f>
        <v>-44383.68</v>
      </c>
      <c r="H82" s="92">
        <f>H16+H24+H29+H36+H43+H45+H47+H49</f>
        <v>2250</v>
      </c>
      <c r="I82" s="93">
        <f>SUM(I72:I81)+I16+I24+I29+I36+I43+I45+I47+I49+I51+I56+I61+I66</f>
        <v>-13970.524000000303</v>
      </c>
      <c r="J82" s="92">
        <f>J16+J24+J29+J36+J43+J45+J47+J49</f>
        <v>0</v>
      </c>
      <c r="K82" s="112">
        <f>SUM(K72:K81)+K16+K24+K29+K36+K43+K45+K47+K49+K51+K56+K61+K66</f>
        <v>-83851.191999999777</v>
      </c>
      <c r="L82" s="92">
        <f>L16+L24+L29+L36+L43+L45+L47+L49</f>
        <v>0</v>
      </c>
      <c r="M82" s="93">
        <f>SUM(M72:M81)+M16+M24+M29+M36+M43+M45+M47+M49+M51+M56+M61+M66</f>
        <v>1498.6050000000105</v>
      </c>
      <c r="N82" s="92">
        <f>N16+N24+N29+N36+N43+N45+N47+N49</f>
        <v>0</v>
      </c>
      <c r="O82" s="93">
        <f>SUM(O72:O81)+O16+O24+O29+O36+O43+O45+O47+O49+O51+O56+O61+O66</f>
        <v>14960.578000000027</v>
      </c>
      <c r="P82" s="92">
        <f>P16+P24+P29+P36+P43+P45+P47+P49</f>
        <v>0</v>
      </c>
      <c r="Q82" s="93">
        <f>SUM(Q72:Q81)+Q16+Q24+Q29+Q36+Q43+Q45+Q47+Q49+Q51+Q56+Q61+Q66</f>
        <v>-40687.70700000006</v>
      </c>
      <c r="R82" s="92">
        <f>R16+R24+R29+R36+R43+R45+R47+R49</f>
        <v>0</v>
      </c>
      <c r="S82" s="93">
        <f>SUM(S72:S81)+S16+S24+S29+S36+S43+S45+S47+S49+S51+S56+S61+S66</f>
        <v>-30967.648000000001</v>
      </c>
      <c r="T82" s="92">
        <f>T16+T24+T29+T36+T43+T45+T47+T49</f>
        <v>0</v>
      </c>
      <c r="U82" s="93">
        <f>SUM(U72:U81)+U16+U24+U29+U36+U43+U45+U47+U49+U51+U56+U61+U66</f>
        <v>-6794.7710000000325</v>
      </c>
      <c r="V82" s="92">
        <f>V16+V24+V29+V36+V43+V45+V47+V49</f>
        <v>0</v>
      </c>
      <c r="W82" s="93">
        <f>SUM(W72:W81)+W16+W24+W29+W36+W43+W45+W47+W49+W51+W56+W61+W66</f>
        <v>-78.500000000000014</v>
      </c>
      <c r="X82" s="92">
        <f>X16+X24+X29+X36+X43+X45+X47+X49</f>
        <v>0</v>
      </c>
      <c r="Y82" s="93">
        <f>SUM(Y72:Y81)+Y16+Y24+Y29+Y36+Y43+Y45+Y47+Y49+Y51+Y56+Y61+Y66</f>
        <v>-0.80999999999970895</v>
      </c>
      <c r="Z82" s="92">
        <f>Z16+Z24+Z29+Z36+Z43+Z45+Z47+Z49</f>
        <v>0</v>
      </c>
      <c r="AA82" s="93">
        <f>SUM(AA72:AA81)+AA16+AA24+AA29+AA36+AA43+AA45+AA47+AA49+AA51+AA56+AA61+AA66</f>
        <v>-987.11199999999894</v>
      </c>
      <c r="AB82" s="92">
        <f>AB16+AB24+AB29+AB36+AB43+AB45+AB47+AB49</f>
        <v>0</v>
      </c>
      <c r="AC82" s="93">
        <f>SUM(AC72:AC81)+AC16+AC24+AC29+AC36+AC43+AC45+AC47+AC49+AC51+AC56+AC61+AC66</f>
        <v>-2874.39</v>
      </c>
      <c r="AD82" s="92">
        <f>AD16+AD24+AD29+AD36+AD43+AD45+AD47+AD49</f>
        <v>0</v>
      </c>
      <c r="AE82" s="93">
        <f>SUM(AE72:AE81)+AE16+AE24+AE29+AE36+AE43+AE45+AE47+AE49+AE51+AE56+AE61+AE66</f>
        <v>-5387</v>
      </c>
      <c r="AF82" s="92">
        <f>AF16+AF24+AF29+AF36+AF43+AF45+AF47+AF49</f>
        <v>0</v>
      </c>
      <c r="AG82" s="93">
        <f>SUM(AG72:AG81)+AG16+AG24+AG29+AG36+AG43+AG45+AG47+AG49+AG51+AG56+AG61+AG66</f>
        <v>-7124.898000000001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8" thickTop="1" x14ac:dyDescent="0.25">
      <c r="A83" s="4"/>
      <c r="B83" s="3"/>
    </row>
    <row r="84" spans="1:39" x14ac:dyDescent="0.25">
      <c r="A84" s="4"/>
      <c r="B84" s="3"/>
      <c r="I84" s="45"/>
      <c r="K84" s="149"/>
    </row>
    <row r="85" spans="1:39" x14ac:dyDescent="0.25">
      <c r="A85" s="4"/>
      <c r="B85" s="3"/>
    </row>
    <row r="86" spans="1:39" x14ac:dyDescent="0.25">
      <c r="A86" s="4"/>
      <c r="B86" s="3"/>
    </row>
    <row r="87" spans="1:39" x14ac:dyDescent="0.25">
      <c r="A87" s="4"/>
      <c r="B87" s="3"/>
    </row>
    <row r="88" spans="1:39" x14ac:dyDescent="0.25">
      <c r="A88" s="4"/>
      <c r="B88" s="3"/>
    </row>
    <row r="89" spans="1:39" x14ac:dyDescent="0.25">
      <c r="A89" s="4"/>
      <c r="B89" s="3"/>
    </row>
    <row r="90" spans="1:39" x14ac:dyDescent="0.25">
      <c r="A90" s="4"/>
      <c r="B90" s="3"/>
    </row>
    <row r="91" spans="1:39" x14ac:dyDescent="0.25">
      <c r="A91" s="4"/>
      <c r="B91" s="3"/>
    </row>
    <row r="92" spans="1:39" x14ac:dyDescent="0.25">
      <c r="A92" s="4"/>
      <c r="B92" s="3"/>
    </row>
    <row r="93" spans="1:39" x14ac:dyDescent="0.25">
      <c r="A93" s="4"/>
      <c r="B93" s="3"/>
    </row>
    <row r="94" spans="1:39" x14ac:dyDescent="0.25">
      <c r="A94" s="4"/>
      <c r="B94" s="3"/>
    </row>
    <row r="95" spans="1:39" x14ac:dyDescent="0.25">
      <c r="A95" s="4"/>
      <c r="B95" s="3"/>
    </row>
    <row r="96" spans="1:3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S187"/>
  <sheetViews>
    <sheetView zoomScale="75" workbookViewId="0">
      <pane xSplit="3" ySplit="9" topLeftCell="M83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39" width="15.44140625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87226398</v>
      </c>
      <c r="E11" s="38">
        <f t="shared" si="0"/>
        <v>204235905.76999998</v>
      </c>
      <c r="F11" s="60">
        <f>('TIE-OUT'!J11+'TIE-OUT'!H11)+(RECLASS!J11+RECLASS!H11)</f>
        <v>0</v>
      </c>
      <c r="G11" s="38">
        <f>('TIE-OUT'!K11+'TIE-OUT'!I11)+(RECLASS!K11+RECLASS!I11)</f>
        <v>-1602620</v>
      </c>
      <c r="H11" s="60">
        <f>'EAST-EGM-GL'!H11+'EAST-LRC-GL'!H11</f>
        <v>87069953</v>
      </c>
      <c r="I11" s="38">
        <f>'EAST-EGM-GL'!I11+'EAST-LRC-GL'!I11</f>
        <v>199667861.69999999</v>
      </c>
      <c r="J11" s="60">
        <f>'EAST-EGM-GL'!J11+'EAST-LRC-GL'!J11</f>
        <v>146337</v>
      </c>
      <c r="K11" s="38">
        <f>'EAST-EGM-GL'!K11+'EAST-LRC-GL'!K11</f>
        <v>20658628.110000003</v>
      </c>
      <c r="L11" s="60">
        <f>'EAST-EGM-GL'!L11+'EAST-LRC-GL'!L11</f>
        <v>-1172</v>
      </c>
      <c r="M11" s="38">
        <f>'EAST-EGM-GL'!M11+'EAST-LRC-GL'!M11</f>
        <v>125774.39999999999</v>
      </c>
      <c r="N11" s="60">
        <f>'EAST-EGM-GL'!N11+'EAST-LRC-GL'!N11</f>
        <v>0</v>
      </c>
      <c r="O11" s="38">
        <f>'EAST-EGM-GL'!O11+'EAST-LRC-GL'!O11</f>
        <v>0</v>
      </c>
      <c r="P11" s="60">
        <f>'EAST-EGM-GL'!P11+'EAST-LRC-GL'!P11</f>
        <v>-10674</v>
      </c>
      <c r="Q11" s="38">
        <f>'EAST-EGM-GL'!Q11+'EAST-LRC-GL'!Q11</f>
        <v>-14653013.850000001</v>
      </c>
      <c r="R11" s="60">
        <f>'EAST-EGM-GL'!R11+'EAST-LRC-GL'!R11</f>
        <v>958</v>
      </c>
      <c r="S11" s="38">
        <f>'EAST-EGM-GL'!S11+'EAST-LRC-GL'!S11</f>
        <v>2212.98</v>
      </c>
      <c r="T11" s="60">
        <f>'EAST-EGM-GL'!T11+'EAST-LRC-GL'!T11</f>
        <v>99</v>
      </c>
      <c r="U11" s="38">
        <f>'EAST-EGM-GL'!U11+'EAST-LRC-GL'!U11</f>
        <v>-6476.71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5875</v>
      </c>
      <c r="AE11" s="38">
        <f>'EAST-EGM-GL'!AE11+'EAST-LRC-GL'!AE11</f>
        <v>21630.2</v>
      </c>
      <c r="AF11" s="60">
        <f>'EAST-EGM-GL'!AF11+'EAST-LRC-GL'!AF11</f>
        <v>15022</v>
      </c>
      <c r="AG11" s="38">
        <f>'EAST-EGM-GL'!AG11+'EAST-LRC-GL'!AG11</f>
        <v>21908.94</v>
      </c>
      <c r="AH11" s="60">
        <f>'EAST-EGM-GL'!AJ11+'EAST-LRC-GL'!AJ11</f>
        <v>0</v>
      </c>
      <c r="AI11" s="38">
        <f>'EAST-EGM-GL'!AK11+'EAST-LRC-GL'!AK11</f>
        <v>0</v>
      </c>
      <c r="AJ11" s="60">
        <f>'EAST-EGM-GL'!AN11+'EAST-LRC-GL'!AN11</f>
        <v>0</v>
      </c>
      <c r="AK11" s="38">
        <f>'EAST-EGM-GL'!AO11+'EAST-LRC-GL'!AO11</f>
        <v>0</v>
      </c>
      <c r="AL11" s="60">
        <f>'EAST-EGM-GL'!AP11+'EAST-LRC-GL'!AP11</f>
        <v>0</v>
      </c>
      <c r="AM11" s="38">
        <f>'EAST-EGM-GL'!AQ11+'EAST-LRC-GL'!AQ11</f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-1549770.6999999997</v>
      </c>
      <c r="F12" s="60">
        <f>('TIE-OUT'!J12+'TIE-OUT'!H12)+(RECLASS!J12+RECLASS!H12)</f>
        <v>0</v>
      </c>
      <c r="G12" s="38">
        <f>('TIE-OUT'!K12+'TIE-OUT'!I12)+(RECLASS!K12+RECLASS!I12)</f>
        <v>-1549770.6999999997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'EAST-EGM-GL'!AF12+'EAST-LRC-GL'!AF12</f>
        <v>0</v>
      </c>
      <c r="AG12" s="38">
        <f>'EAST-EGM-GL'!AG12+'EAST-LRC-GL'!AG12</f>
        <v>0</v>
      </c>
      <c r="AH12" s="60">
        <f>'EAST-EGM-GL'!AJ12+'EAST-LRC-GL'!AJ12</f>
        <v>0</v>
      </c>
      <c r="AI12" s="38">
        <f>'EAST-EGM-GL'!AK12+'EAST-LRC-GL'!AK12</f>
        <v>0</v>
      </c>
      <c r="AJ12" s="60">
        <f>'EAST-EGM-GL'!AN12+'EAST-LRC-GL'!AN12</f>
        <v>0</v>
      </c>
      <c r="AK12" s="38">
        <f>'EAST-EGM-GL'!AO12+'EAST-LRC-GL'!AO12</f>
        <v>0</v>
      </c>
      <c r="AL12" s="60">
        <f>'EAST-EGM-GL'!AP12+'EAST-LRC-GL'!AP12</f>
        <v>0</v>
      </c>
      <c r="AM12" s="38">
        <f>'EAST-EGM-GL'!AQ12+'EAST-LRC-GL'!AQ12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37219120</v>
      </c>
      <c r="E13" s="38">
        <f t="shared" si="0"/>
        <v>85375528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37219120</v>
      </c>
      <c r="I13" s="38">
        <f>'EAST-EGM-GL'!I13+'EAST-LRC-GL'!I13</f>
        <v>85375528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-146210</v>
      </c>
      <c r="M13" s="38">
        <f>'EAST-EGM-GL'!M13+'EAST-LRC-GL'!M13</f>
        <v>-326153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465278</v>
      </c>
      <c r="S13" s="38">
        <f>'EAST-EGM-GL'!S13+'EAST-LRC-GL'!S13</f>
        <v>1052380</v>
      </c>
      <c r="T13" s="60">
        <f>'EAST-EGM-GL'!T13+'EAST-LRC-GL'!T13</f>
        <v>-319068</v>
      </c>
      <c r="U13" s="38">
        <f>'EAST-EGM-GL'!U13+'EAST-LRC-GL'!U13</f>
        <v>-726227</v>
      </c>
      <c r="V13" s="60">
        <f>'EAST-EGM-GL'!V13+'EAST-LRC-GL'!V13</f>
        <v>319068</v>
      </c>
      <c r="W13" s="38">
        <f>'EAST-EGM-GL'!W13+'EAST-LRC-GL'!W13</f>
        <v>726227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-319068</v>
      </c>
      <c r="AA13" s="38">
        <f>'EAST-EGM-GL'!AA13+'EAST-LRC-GL'!AA13</f>
        <v>-726227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'EAST-EGM-GL'!AF13+'EAST-LRC-GL'!AF13</f>
        <v>0</v>
      </c>
      <c r="AG13" s="38">
        <f>'EAST-EGM-GL'!AG13+'EAST-LRC-GL'!AG13</f>
        <v>0</v>
      </c>
      <c r="AH13" s="60">
        <f>'EAST-EGM-GL'!AJ13+'EAST-LRC-GL'!AJ13</f>
        <v>0</v>
      </c>
      <c r="AI13" s="38">
        <f>'EAST-EGM-GL'!AK13+'EAST-LRC-GL'!AK13</f>
        <v>0</v>
      </c>
      <c r="AJ13" s="60">
        <f>'EAST-EGM-GL'!AN13+'EAST-LRC-GL'!AN13</f>
        <v>0</v>
      </c>
      <c r="AK13" s="38">
        <f>'EAST-EGM-GL'!AO13+'EAST-LRC-GL'!AO13</f>
        <v>0</v>
      </c>
      <c r="AL13" s="60">
        <f>'EAST-EGM-GL'!AP13+'EAST-LRC-GL'!AP13</f>
        <v>0</v>
      </c>
      <c r="AM13" s="38">
        <f>'EAST-EGM-GL'!AQ13+'EAST-LRC-GL'!AQ13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'EAST-EGM-GL'!AF14+'EAST-LRC-GL'!AF14</f>
        <v>0</v>
      </c>
      <c r="AG14" s="38">
        <f>'EAST-EGM-GL'!AG14+'EAST-LRC-GL'!AG14</f>
        <v>0</v>
      </c>
      <c r="AH14" s="60">
        <f>'EAST-EGM-GL'!AJ14+'EAST-LRC-GL'!AJ14</f>
        <v>0</v>
      </c>
      <c r="AI14" s="38">
        <f>'EAST-EGM-GL'!AK14+'EAST-LRC-GL'!AK14</f>
        <v>0</v>
      </c>
      <c r="AJ14" s="60">
        <f>'EAST-EGM-GL'!AN14+'EAST-LRC-GL'!AN14</f>
        <v>0</v>
      </c>
      <c r="AK14" s="38">
        <f>'EAST-EGM-GL'!AO14+'EAST-LRC-GL'!AO14</f>
        <v>0</v>
      </c>
      <c r="AL14" s="60">
        <f>'EAST-EGM-GL'!AP14+'EAST-LRC-GL'!AP14</f>
        <v>0</v>
      </c>
      <c r="AM14" s="38">
        <f>'EAST-EGM-GL'!AQ14+'EAST-LRC-GL'!AQ14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15000</v>
      </c>
      <c r="F15" s="81">
        <f>('TIE-OUT'!J15+'TIE-OUT'!H15)+(RECLASS!J15+RECLASS!H15)</f>
        <v>0</v>
      </c>
      <c r="G15" s="82">
        <f>('TIE-OUT'!K15+'TIE-OUT'!I15)+(RECLASS!K15+RECLASS!I15)</f>
        <v>15000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'EAST-EGM-GL'!AF15+'EAST-LRC-GL'!AF15</f>
        <v>0</v>
      </c>
      <c r="AG15" s="38">
        <f>'EAST-EGM-GL'!AG15+'EAST-LRC-GL'!AG15</f>
        <v>0</v>
      </c>
      <c r="AH15" s="60">
        <f>'EAST-EGM-GL'!AJ15+'EAST-LRC-GL'!AJ15</f>
        <v>0</v>
      </c>
      <c r="AI15" s="38">
        <f>'EAST-EGM-GL'!AK15+'EAST-LRC-GL'!AK15</f>
        <v>0</v>
      </c>
      <c r="AJ15" s="60">
        <f>'EAST-EGM-GL'!AN15+'EAST-LRC-GL'!AN15</f>
        <v>0</v>
      </c>
      <c r="AK15" s="38">
        <f>'EAST-EGM-GL'!AO15+'EAST-LRC-GL'!AO15</f>
        <v>0</v>
      </c>
      <c r="AL15" s="60">
        <f>'EAST-EGM-GL'!AP15+'EAST-LRC-GL'!AP15</f>
        <v>0</v>
      </c>
      <c r="AM15" s="38">
        <f>'EAST-EGM-GL'!AQ15+'EAST-LRC-GL'!AQ15</f>
        <v>0</v>
      </c>
    </row>
    <row r="16" spans="1:39" x14ac:dyDescent="0.25">
      <c r="A16" s="9"/>
      <c r="B16" s="7" t="s">
        <v>33</v>
      </c>
      <c r="C16" s="6"/>
      <c r="D16" s="61">
        <f>SUM(D11:D15)</f>
        <v>124445518</v>
      </c>
      <c r="E16" s="39">
        <f>SUM(E11:E15)</f>
        <v>288076663.06999999</v>
      </c>
      <c r="F16" s="61">
        <f t="shared" ref="F16:W16" si="1">SUM(F11:F15)</f>
        <v>0</v>
      </c>
      <c r="G16" s="39">
        <f t="shared" si="1"/>
        <v>-3137390.6999999997</v>
      </c>
      <c r="H16" s="61">
        <f t="shared" si="1"/>
        <v>124289073</v>
      </c>
      <c r="I16" s="39">
        <f t="shared" si="1"/>
        <v>285043389.69999999</v>
      </c>
      <c r="J16" s="61">
        <f t="shared" si="1"/>
        <v>146337</v>
      </c>
      <c r="K16" s="39">
        <f t="shared" si="1"/>
        <v>20658628.110000003</v>
      </c>
      <c r="L16" s="61">
        <f t="shared" si="1"/>
        <v>-147382</v>
      </c>
      <c r="M16" s="39">
        <f t="shared" si="1"/>
        <v>-200378.6</v>
      </c>
      <c r="N16" s="61">
        <f t="shared" si="1"/>
        <v>0</v>
      </c>
      <c r="O16" s="39">
        <f t="shared" si="1"/>
        <v>0</v>
      </c>
      <c r="P16" s="61">
        <f t="shared" si="1"/>
        <v>-10674</v>
      </c>
      <c r="Q16" s="39">
        <f t="shared" si="1"/>
        <v>-14653013.850000001</v>
      </c>
      <c r="R16" s="61">
        <f t="shared" si="1"/>
        <v>466236</v>
      </c>
      <c r="S16" s="39">
        <f t="shared" si="1"/>
        <v>1054592.98</v>
      </c>
      <c r="T16" s="61">
        <f t="shared" si="1"/>
        <v>-318969</v>
      </c>
      <c r="U16" s="39">
        <f t="shared" si="1"/>
        <v>-732703.71</v>
      </c>
      <c r="V16" s="61">
        <f t="shared" si="1"/>
        <v>319068</v>
      </c>
      <c r="W16" s="39">
        <f t="shared" si="1"/>
        <v>726227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-319068</v>
      </c>
      <c r="AA16" s="39">
        <f t="shared" si="2"/>
        <v>-726227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5875</v>
      </c>
      <c r="AE16" s="39">
        <f t="shared" si="3"/>
        <v>21630.2</v>
      </c>
      <c r="AF16" s="61">
        <f t="shared" si="3"/>
        <v>15022</v>
      </c>
      <c r="AG16" s="39">
        <f t="shared" si="3"/>
        <v>21908.94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-83852039</v>
      </c>
      <c r="E19" s="38">
        <f t="shared" si="4"/>
        <v>-190608529.33000001</v>
      </c>
      <c r="F19" s="64">
        <f>('TIE-OUT'!J19+'TIE-OUT'!H19)+(RECLASS!J19+RECLASS!H19)</f>
        <v>0</v>
      </c>
      <c r="G19" s="68">
        <f>('TIE-OUT'!K19+'TIE-OUT'!I19)+(RECLASS!K19+RECLASS!I19)</f>
        <v>0</v>
      </c>
      <c r="H19" s="60">
        <f>'EAST-EGM-GL'!H19+'EAST-LRC-GL'!H19</f>
        <v>-91193598</v>
      </c>
      <c r="I19" s="38">
        <f>'EAST-EGM-GL'!I19+'EAST-LRC-GL'!I19</f>
        <v>-202259539.21999997</v>
      </c>
      <c r="J19" s="60">
        <f>'EAST-EGM-GL'!J19+'EAST-LRC-GL'!J19</f>
        <v>-353325</v>
      </c>
      <c r="K19" s="38">
        <f>'EAST-EGM-GL'!K19+'EAST-LRC-GL'!K19</f>
        <v>-3560017.87</v>
      </c>
      <c r="L19" s="60">
        <f>'EAST-EGM-GL'!L19+'EAST-LRC-GL'!L19</f>
        <v>1431606</v>
      </c>
      <c r="M19" s="38">
        <f>'EAST-EGM-GL'!M19+'EAST-LRC-GL'!M19</f>
        <v>3152789.6999999997</v>
      </c>
      <c r="N19" s="60">
        <f>'EAST-EGM-GL'!N19+'EAST-LRC-GL'!N19</f>
        <v>-7794</v>
      </c>
      <c r="O19" s="38">
        <f>'EAST-EGM-GL'!O19+'EAST-LRC-GL'!O19</f>
        <v>-150009.76999999999</v>
      </c>
      <c r="P19" s="60">
        <f>'EAST-EGM-GL'!P19+'EAST-LRC-GL'!P19</f>
        <v>6272998</v>
      </c>
      <c r="Q19" s="38">
        <f>'EAST-EGM-GL'!Q19+'EAST-LRC-GL'!Q19</f>
        <v>12213123.470000001</v>
      </c>
      <c r="R19" s="60">
        <f>'EAST-EGM-GL'!R19+'EAST-LRC-GL'!R19</f>
        <v>0</v>
      </c>
      <c r="S19" s="38">
        <f>'EAST-EGM-GL'!S19+'EAST-LRC-GL'!S19</f>
        <v>69.2</v>
      </c>
      <c r="T19" s="60">
        <f>'EAST-EGM-GL'!T19+'EAST-LRC-GL'!T19</f>
        <v>0</v>
      </c>
      <c r="U19" s="38">
        <f>'EAST-EGM-GL'!U19+'EAST-LRC-GL'!U19</f>
        <v>0</v>
      </c>
      <c r="V19" s="60">
        <f>'EAST-EGM-GL'!V19+'EAST-LRC-GL'!V19</f>
        <v>-1598</v>
      </c>
      <c r="W19" s="38">
        <f>'EAST-EGM-GL'!W19+'EAST-LRC-GL'!W19</f>
        <v>-3547.8799999999997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-328</v>
      </c>
      <c r="AE19" s="38">
        <f>'EAST-EGM-GL'!AE19+'EAST-LRC-GL'!AE19</f>
        <v>-1396.96</v>
      </c>
      <c r="AF19" s="60">
        <f>'EAST-EGM-GL'!AF19+'EAST-LRC-GL'!AF19</f>
        <v>0</v>
      </c>
      <c r="AG19" s="38">
        <f>'EAST-EGM-GL'!AG19+'EAST-LRC-GL'!AG19</f>
        <v>0</v>
      </c>
      <c r="AH19" s="60">
        <f>'EAST-EGM-GL'!AJ19+'EAST-LRC-GL'!AJ19</f>
        <v>0</v>
      </c>
      <c r="AI19" s="38">
        <f>'EAST-EGM-GL'!AK19+'EAST-LRC-GL'!AK19</f>
        <v>0</v>
      </c>
      <c r="AJ19" s="60">
        <f>'EAST-EGM-GL'!AN19+'EAST-LRC-GL'!AN19</f>
        <v>0</v>
      </c>
      <c r="AK19" s="38">
        <f>'EAST-EGM-GL'!AO19+'EAST-LRC-GL'!AO19</f>
        <v>0</v>
      </c>
      <c r="AL19" s="60">
        <f>'EAST-EGM-GL'!AP19+'EAST-LRC-GL'!AP19</f>
        <v>0</v>
      </c>
      <c r="AM19" s="38">
        <f>'EAST-EGM-GL'!AQ19+'EAST-LRC-GL'!AQ19</f>
        <v>0</v>
      </c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-385025.32</v>
      </c>
      <c r="F20" s="60">
        <f>('TIE-OUT'!J20+'TIE-OUT'!H20)+(RECLASS!J20+RECLASS!H20)</f>
        <v>0</v>
      </c>
      <c r="G20" s="38">
        <f>('TIE-OUT'!K20+'TIE-OUT'!I20)+(RECLASS!K20+RECLASS!I20)</f>
        <v>-385025.32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'EAST-EGM-GL'!AF20+'EAST-LRC-GL'!AF20</f>
        <v>0</v>
      </c>
      <c r="AG20" s="38">
        <f>'EAST-EGM-GL'!AG20+'EAST-LRC-GL'!AG20</f>
        <v>0</v>
      </c>
      <c r="AH20" s="60">
        <f>'EAST-EGM-GL'!AJ20+'EAST-LRC-GL'!AJ20</f>
        <v>0</v>
      </c>
      <c r="AI20" s="38">
        <f>'EAST-EGM-GL'!AK20+'EAST-LRC-GL'!AK20</f>
        <v>0</v>
      </c>
      <c r="AJ20" s="60">
        <f>'EAST-EGM-GL'!AN20+'EAST-LRC-GL'!AN20</f>
        <v>0</v>
      </c>
      <c r="AK20" s="38">
        <f>'EAST-EGM-GL'!AO20+'EAST-LRC-GL'!AO20</f>
        <v>0</v>
      </c>
      <c r="AL20" s="60">
        <f>'EAST-EGM-GL'!AP20+'EAST-LRC-GL'!AP20</f>
        <v>0</v>
      </c>
      <c r="AM20" s="38">
        <f>'EAST-EGM-GL'!AQ20+'EAST-LRC-GL'!AQ20</f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-32629494</v>
      </c>
      <c r="E21" s="38">
        <f t="shared" si="4"/>
        <v>-75619749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-32629494</v>
      </c>
      <c r="I21" s="38">
        <f>'EAST-EGM-GL'!I21+'EAST-LRC-GL'!I21</f>
        <v>-75619749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181781</v>
      </c>
      <c r="M21" s="38">
        <f>'EAST-EGM-GL'!M21+'EAST-LRC-GL'!M21</f>
        <v>402259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-465278</v>
      </c>
      <c r="S21" s="38">
        <f>'EAST-EGM-GL'!S21+'EAST-LRC-GL'!S21</f>
        <v>-1052380</v>
      </c>
      <c r="T21" s="60">
        <f>'EAST-EGM-GL'!T21+'EAST-LRC-GL'!T21</f>
        <v>283497</v>
      </c>
      <c r="U21" s="38">
        <f>'EAST-EGM-GL'!U21+'EAST-LRC-GL'!U21</f>
        <v>650121</v>
      </c>
      <c r="V21" s="60">
        <f>'EAST-EGM-GL'!V21+'EAST-LRC-GL'!V21</f>
        <v>-283497</v>
      </c>
      <c r="W21" s="38">
        <f>'EAST-EGM-GL'!W21+'EAST-LRC-GL'!W21</f>
        <v>-650121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283497</v>
      </c>
      <c r="AA21" s="38">
        <f>'EAST-EGM-GL'!AA21+'EAST-LRC-GL'!AA21</f>
        <v>650121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'EAST-EGM-GL'!AF21+'EAST-LRC-GL'!AF21</f>
        <v>0</v>
      </c>
      <c r="AG21" s="38">
        <f>'EAST-EGM-GL'!AG21+'EAST-LRC-GL'!AG21</f>
        <v>0</v>
      </c>
      <c r="AH21" s="60">
        <f>'EAST-EGM-GL'!AJ21+'EAST-LRC-GL'!AJ21</f>
        <v>0</v>
      </c>
      <c r="AI21" s="38">
        <f>'EAST-EGM-GL'!AK21+'EAST-LRC-GL'!AK21</f>
        <v>0</v>
      </c>
      <c r="AJ21" s="60">
        <f>'EAST-EGM-GL'!AN21+'EAST-LRC-GL'!AN21</f>
        <v>0</v>
      </c>
      <c r="AK21" s="38">
        <f>'EAST-EGM-GL'!AO21+'EAST-LRC-GL'!AO21</f>
        <v>0</v>
      </c>
      <c r="AL21" s="60">
        <f>'EAST-EGM-GL'!AP21+'EAST-LRC-GL'!AP21</f>
        <v>0</v>
      </c>
      <c r="AM21" s="38">
        <f>'EAST-EGM-GL'!AQ21+'EAST-LRC-GL'!AQ21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'EAST-EGM-GL'!AF22+'EAST-LRC-GL'!AF22</f>
        <v>0</v>
      </c>
      <c r="AG22" s="38">
        <f>'EAST-EGM-GL'!AG22+'EAST-LRC-GL'!AG22</f>
        <v>0</v>
      </c>
      <c r="AH22" s="60">
        <f>'EAST-EGM-GL'!AJ22+'EAST-LRC-GL'!AJ22</f>
        <v>0</v>
      </c>
      <c r="AI22" s="38">
        <f>'EAST-EGM-GL'!AK22+'EAST-LRC-GL'!AK22</f>
        <v>0</v>
      </c>
      <c r="AJ22" s="60">
        <f>'EAST-EGM-GL'!AN22+'EAST-LRC-GL'!AN22</f>
        <v>0</v>
      </c>
      <c r="AK22" s="38">
        <f>'EAST-EGM-GL'!AO22+'EAST-LRC-GL'!AO22</f>
        <v>0</v>
      </c>
      <c r="AL22" s="60">
        <f>'EAST-EGM-GL'!AP22+'EAST-LRC-GL'!AP22</f>
        <v>0</v>
      </c>
      <c r="AM22" s="38">
        <f>'EAST-EGM-GL'!AQ22+'EAST-LRC-GL'!AQ22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141671</v>
      </c>
      <c r="E23" s="38">
        <f t="shared" si="4"/>
        <v>318223.13100000005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136325</v>
      </c>
      <c r="I23" s="38">
        <f>'EAST-EGM-GL'!I23+'EAST-LRC-GL'!I23</f>
        <v>303868.43</v>
      </c>
      <c r="J23" s="60">
        <f>'EAST-EGM-GL'!J23+'EAST-LRC-GL'!J23</f>
        <v>26983</v>
      </c>
      <c r="K23" s="38">
        <f>'EAST-EGM-GL'!K23+'EAST-LRC-GL'!K23</f>
        <v>63116.164000000004</v>
      </c>
      <c r="L23" s="60">
        <f>'EAST-EGM-GL'!L23+'EAST-LRC-GL'!L23</f>
        <v>-5455</v>
      </c>
      <c r="M23" s="38">
        <f>'EAST-EGM-GL'!M23+'EAST-LRC-GL'!M23</f>
        <v>-12158.833000000001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454.15</v>
      </c>
      <c r="R23" s="60">
        <f>'EAST-EGM-GL'!R23+'EAST-LRC-GL'!R23</f>
        <v>0</v>
      </c>
      <c r="S23" s="38">
        <f>'EAST-EGM-GL'!S23+'EAST-LRC-GL'!S23</f>
        <v>0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-16182</v>
      </c>
      <c r="AA23" s="38">
        <f>'EAST-EGM-GL'!AA23+'EAST-LRC-GL'!AA23</f>
        <v>-37056.78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'EAST-EGM-GL'!AF23+'EAST-LRC-GL'!AF23</f>
        <v>0</v>
      </c>
      <c r="AG23" s="38">
        <f>'EAST-EGM-GL'!AG23+'EAST-LRC-GL'!AG23</f>
        <v>0</v>
      </c>
      <c r="AH23" s="60">
        <f>'EAST-EGM-GL'!AJ23+'EAST-LRC-GL'!AJ23</f>
        <v>0</v>
      </c>
      <c r="AI23" s="38">
        <f>'EAST-EGM-GL'!AK23+'EAST-LRC-GL'!AK23</f>
        <v>0</v>
      </c>
      <c r="AJ23" s="60">
        <f>'EAST-EGM-GL'!AN23+'EAST-LRC-GL'!AN23</f>
        <v>0</v>
      </c>
      <c r="AK23" s="38">
        <f>'EAST-EGM-GL'!AO23+'EAST-LRC-GL'!AO23</f>
        <v>0</v>
      </c>
      <c r="AL23" s="60">
        <f>'EAST-EGM-GL'!AP23+'EAST-LRC-GL'!AP23</f>
        <v>0</v>
      </c>
      <c r="AM23" s="38">
        <f>'EAST-EGM-GL'!AQ23+'EAST-LRC-GL'!AQ23</f>
        <v>0</v>
      </c>
    </row>
    <row r="24" spans="1:39" x14ac:dyDescent="0.25">
      <c r="A24" s="9"/>
      <c r="B24" s="7" t="s">
        <v>36</v>
      </c>
      <c r="C24" s="6"/>
      <c r="D24" s="61">
        <f>SUM(D19:D23)</f>
        <v>-116339862</v>
      </c>
      <c r="E24" s="39">
        <f>SUM(E19:E23)</f>
        <v>-266295080.51899999</v>
      </c>
      <c r="F24" s="61">
        <f t="shared" ref="F24:W24" si="5">SUM(F19:F23)</f>
        <v>0</v>
      </c>
      <c r="G24" s="39">
        <f t="shared" si="5"/>
        <v>-385025.32</v>
      </c>
      <c r="H24" s="61">
        <f t="shared" si="5"/>
        <v>-123686767</v>
      </c>
      <c r="I24" s="39">
        <f t="shared" si="5"/>
        <v>-277575419.78999996</v>
      </c>
      <c r="J24" s="61">
        <f t="shared" si="5"/>
        <v>-326342</v>
      </c>
      <c r="K24" s="39">
        <f t="shared" si="5"/>
        <v>-3496901.7060000002</v>
      </c>
      <c r="L24" s="61">
        <f t="shared" si="5"/>
        <v>1607932</v>
      </c>
      <c r="M24" s="39">
        <f t="shared" si="5"/>
        <v>3542889.8669999996</v>
      </c>
      <c r="N24" s="61">
        <f t="shared" si="5"/>
        <v>-7794</v>
      </c>
      <c r="O24" s="39">
        <f t="shared" si="5"/>
        <v>-150009.76999999999</v>
      </c>
      <c r="P24" s="61">
        <f t="shared" si="5"/>
        <v>6272998</v>
      </c>
      <c r="Q24" s="39">
        <f t="shared" si="5"/>
        <v>12213577.620000001</v>
      </c>
      <c r="R24" s="61">
        <f t="shared" si="5"/>
        <v>-465278</v>
      </c>
      <c r="S24" s="39">
        <f t="shared" si="5"/>
        <v>-1052310.8</v>
      </c>
      <c r="T24" s="61">
        <f t="shared" si="5"/>
        <v>283497</v>
      </c>
      <c r="U24" s="39">
        <f t="shared" si="5"/>
        <v>650121</v>
      </c>
      <c r="V24" s="61">
        <f t="shared" si="5"/>
        <v>-285095</v>
      </c>
      <c r="W24" s="39">
        <f t="shared" si="5"/>
        <v>-653668.88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267315</v>
      </c>
      <c r="AA24" s="39">
        <f t="shared" si="6"/>
        <v>613064.22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-328</v>
      </c>
      <c r="AE24" s="39">
        <f t="shared" si="7"/>
        <v>-1396.96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1395614</v>
      </c>
      <c r="E27" s="38">
        <f>SUM(G27,I27,K27,M27,O27,Q27,S27,U27,W27,Y27,AA27,AC27,AE27,AG27,AI27,AK27,AM27)</f>
        <v>3212085.1899999995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1995725</v>
      </c>
      <c r="I27" s="38">
        <f>'EAST-EGM-GL'!I27+'EAST-LRC-GL'!I27</f>
        <v>4432338.2699999996</v>
      </c>
      <c r="J27" s="60">
        <f>'EAST-EGM-GL'!J27+'EAST-LRC-GL'!J27</f>
        <v>-18802</v>
      </c>
      <c r="K27" s="38">
        <f>'EAST-EGM-GL'!K27+'EAST-LRC-GL'!K27</f>
        <v>127684.71</v>
      </c>
      <c r="L27" s="60">
        <f>'EAST-EGM-GL'!L27+'EAST-LRC-GL'!L27</f>
        <v>-37183</v>
      </c>
      <c r="M27" s="38">
        <f>'EAST-EGM-GL'!M27+'EAST-LRC-GL'!M27</f>
        <v>-84537.38</v>
      </c>
      <c r="N27" s="60">
        <f>'EAST-EGM-GL'!N27+'EAST-LRC-GL'!N27</f>
        <v>-397971</v>
      </c>
      <c r="O27" s="38">
        <f>'EAST-EGM-GL'!O27+'EAST-LRC-GL'!O27</f>
        <v>-904940.13</v>
      </c>
      <c r="P27" s="60">
        <f>'EAST-EGM-GL'!P27+'EAST-LRC-GL'!P27</f>
        <v>161497</v>
      </c>
      <c r="Q27" s="38">
        <f>'EAST-EGM-GL'!Q27+'EAST-LRC-GL'!Q27</f>
        <v>354597.16</v>
      </c>
      <c r="R27" s="60">
        <f>'EAST-EGM-GL'!R27+'EAST-LRC-GL'!R27</f>
        <v>24504</v>
      </c>
      <c r="S27" s="38">
        <f>'EAST-EGM-GL'!S27+'EAST-LRC-GL'!S27</f>
        <v>54019.07</v>
      </c>
      <c r="T27" s="60">
        <f>'EAST-EGM-GL'!T27+'EAST-LRC-GL'!T27</f>
        <v>-307682</v>
      </c>
      <c r="U27" s="38">
        <f>'EAST-EGM-GL'!U27+'EAST-LRC-GL'!U27</f>
        <v>-713124.39</v>
      </c>
      <c r="V27" s="60">
        <f>'EAST-EGM-GL'!V27+'EAST-LRC-GL'!V27</f>
        <v>-24474</v>
      </c>
      <c r="W27" s="38">
        <f>'EAST-EGM-GL'!W27+'EAST-LRC-GL'!W27</f>
        <v>-53952.12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'EAST-EGM-GL'!AF27+'EAST-LRC-GL'!AF27</f>
        <v>0</v>
      </c>
      <c r="AG27" s="38">
        <f>'EAST-EGM-GL'!AG27+'EAST-LRC-GL'!AG27</f>
        <v>0</v>
      </c>
      <c r="AH27" s="60">
        <f>'EAST-EGM-GL'!AJ27+'EAST-LRC-GL'!AJ27</f>
        <v>0</v>
      </c>
      <c r="AI27" s="38">
        <f>'EAST-EGM-GL'!AK27+'EAST-LRC-GL'!AK27</f>
        <v>0</v>
      </c>
      <c r="AJ27" s="60">
        <f>'EAST-EGM-GL'!AN27+'EAST-LRC-GL'!AN27</f>
        <v>0</v>
      </c>
      <c r="AK27" s="38">
        <f>'EAST-EGM-GL'!AO27+'EAST-LRC-GL'!AO27</f>
        <v>0</v>
      </c>
      <c r="AL27" s="60">
        <f>'EAST-EGM-GL'!AP27+'EAST-LRC-GL'!AP27</f>
        <v>0</v>
      </c>
      <c r="AM27" s="38">
        <f>'EAST-EGM-GL'!AQ27+'EAST-LRC-GL'!AQ27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-10656303</v>
      </c>
      <c r="E28" s="38">
        <f>SUM(G28,I28,K28,M28,O28,Q28,S28,U28,W28,Y28,AA28,AC28,AE28,AG28,AI28,AK28,AM28)</f>
        <v>-24486496.160000004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-11271464</v>
      </c>
      <c r="I28" s="38">
        <f>'EAST-EGM-GL'!I28+'EAST-LRC-GL'!I28</f>
        <v>-25748009.140000001</v>
      </c>
      <c r="J28" s="60">
        <f>'EAST-EGM-GL'!J28+'EAST-LRC-GL'!J28</f>
        <v>44406</v>
      </c>
      <c r="K28" s="38">
        <f>'EAST-EGM-GL'!K28+'EAST-LRC-GL'!K28</f>
        <v>-7315.9100000000417</v>
      </c>
      <c r="L28" s="60">
        <f>'EAST-EGM-GL'!L28+'EAST-LRC-GL'!L28</f>
        <v>43227</v>
      </c>
      <c r="M28" s="38">
        <f>'EAST-EGM-GL'!M28+'EAST-LRC-GL'!M28</f>
        <v>99691.31</v>
      </c>
      <c r="N28" s="60">
        <f>'EAST-EGM-GL'!N28+'EAST-LRC-GL'!N28</f>
        <v>333567</v>
      </c>
      <c r="O28" s="38">
        <f>'EAST-EGM-GL'!O28+'EAST-LRC-GL'!O28</f>
        <v>769069.25</v>
      </c>
      <c r="P28" s="60">
        <f>'EAST-EGM-GL'!P28+'EAST-LRC-GL'!P28</f>
        <v>-113691</v>
      </c>
      <c r="Q28" s="38">
        <f>'EAST-EGM-GL'!Q28+'EAST-LRC-GL'!Q28</f>
        <v>-307602.01</v>
      </c>
      <c r="R28" s="60">
        <f>'EAST-EGM-GL'!R28+'EAST-LRC-GL'!R28</f>
        <v>-24474</v>
      </c>
      <c r="S28" s="38">
        <f>'EAST-EGM-GL'!S28+'EAST-LRC-GL'!S28</f>
        <v>-53952.94</v>
      </c>
      <c r="T28" s="60">
        <f>'EAST-EGM-GL'!T28+'EAST-LRC-GL'!T28</f>
        <v>307652</v>
      </c>
      <c r="U28" s="38">
        <f>'EAST-EGM-GL'!U28+'EAST-LRC-GL'!U28</f>
        <v>713197.23</v>
      </c>
      <c r="V28" s="60">
        <f>'EAST-EGM-GL'!V28+'EAST-LRC-GL'!V28</f>
        <v>24474</v>
      </c>
      <c r="W28" s="38">
        <f>'EAST-EGM-GL'!W28+'EAST-LRC-GL'!W28</f>
        <v>53813.87</v>
      </c>
      <c r="X28" s="60">
        <f>'EAST-EGM-GL'!X28+'EAST-LRC-GL'!X28</f>
        <v>0</v>
      </c>
      <c r="Y28" s="38">
        <f>'EAST-EGM-GL'!Y28+'EAST-LRC-GL'!Y28</f>
        <v>-0.82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-5387</v>
      </c>
      <c r="AF28" s="60">
        <f>'EAST-EGM-GL'!AF28+'EAST-LRC-GL'!AF28</f>
        <v>0</v>
      </c>
      <c r="AG28" s="38">
        <f>'EAST-EGM-GL'!AG28+'EAST-LRC-GL'!AG28</f>
        <v>0</v>
      </c>
      <c r="AH28" s="60">
        <f>'EAST-EGM-GL'!AJ28+'EAST-LRC-GL'!AJ28</f>
        <v>0</v>
      </c>
      <c r="AI28" s="38">
        <f>'EAST-EGM-GL'!AK28+'EAST-LRC-GL'!AK28</f>
        <v>0</v>
      </c>
      <c r="AJ28" s="60">
        <f>'EAST-EGM-GL'!AN28+'EAST-LRC-GL'!AN28</f>
        <v>0</v>
      </c>
      <c r="AK28" s="38">
        <f>'EAST-EGM-GL'!AO28+'EAST-LRC-GL'!AO28</f>
        <v>0</v>
      </c>
      <c r="AL28" s="60">
        <f>'EAST-EGM-GL'!AP28+'EAST-LRC-GL'!AP28</f>
        <v>0</v>
      </c>
      <c r="AM28" s="38">
        <f>'EAST-EGM-GL'!AQ28+'EAST-LRC-GL'!AQ28</f>
        <v>0</v>
      </c>
    </row>
    <row r="29" spans="1:39" x14ac:dyDescent="0.25">
      <c r="A29" s="9"/>
      <c r="B29" s="7" t="s">
        <v>40</v>
      </c>
      <c r="C29" s="18"/>
      <c r="D29" s="61">
        <f>SUM(D27:D28)</f>
        <v>-9260689</v>
      </c>
      <c r="E29" s="39">
        <f>SUM(E27:E28)</f>
        <v>-21274410.970000006</v>
      </c>
      <c r="F29" s="61">
        <f t="shared" ref="F29:W29" si="8">SUM(F27:F28)</f>
        <v>0</v>
      </c>
      <c r="G29" s="39">
        <f t="shared" si="8"/>
        <v>0</v>
      </c>
      <c r="H29" s="61">
        <f t="shared" si="8"/>
        <v>-9275739</v>
      </c>
      <c r="I29" s="39">
        <f t="shared" si="8"/>
        <v>-21315670.870000001</v>
      </c>
      <c r="J29" s="61">
        <f t="shared" si="8"/>
        <v>25604</v>
      </c>
      <c r="K29" s="39">
        <f t="shared" si="8"/>
        <v>120368.79999999996</v>
      </c>
      <c r="L29" s="61">
        <f t="shared" si="8"/>
        <v>6044</v>
      </c>
      <c r="M29" s="39">
        <f t="shared" si="8"/>
        <v>15153.929999999993</v>
      </c>
      <c r="N29" s="61">
        <f t="shared" si="8"/>
        <v>-64404</v>
      </c>
      <c r="O29" s="39">
        <f t="shared" si="8"/>
        <v>-135870.88</v>
      </c>
      <c r="P29" s="61">
        <f t="shared" si="8"/>
        <v>47806</v>
      </c>
      <c r="Q29" s="39">
        <f t="shared" si="8"/>
        <v>46995.149999999965</v>
      </c>
      <c r="R29" s="61">
        <f t="shared" si="8"/>
        <v>30</v>
      </c>
      <c r="S29" s="39">
        <f t="shared" si="8"/>
        <v>66.129999999997381</v>
      </c>
      <c r="T29" s="61">
        <f t="shared" si="8"/>
        <v>-30</v>
      </c>
      <c r="U29" s="39">
        <f t="shared" si="8"/>
        <v>72.839999999967404</v>
      </c>
      <c r="V29" s="61">
        <f t="shared" si="8"/>
        <v>0</v>
      </c>
      <c r="W29" s="39">
        <f t="shared" si="8"/>
        <v>-138.25</v>
      </c>
      <c r="X29" s="61">
        <f t="shared" ref="X29:AC29" si="9">SUM(X27:X28)</f>
        <v>0</v>
      </c>
      <c r="Y29" s="39">
        <f t="shared" si="9"/>
        <v>-0.82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-5387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-152977</v>
      </c>
      <c r="E32" s="38">
        <f t="shared" si="11"/>
        <v>-1047485.7980000001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237412</v>
      </c>
      <c r="I32" s="38">
        <f>'EAST-EGM-GL'!I32+'EAST-LRC-GL'!I32</f>
        <v>529191.35</v>
      </c>
      <c r="J32" s="60">
        <f>'EAST-EGM-GL'!J32+'EAST-LRC-GL'!J32</f>
        <v>-596318</v>
      </c>
      <c r="K32" s="38">
        <f>'EAST-EGM-GL'!K32+'EAST-LRC-GL'!K32</f>
        <v>-1343879.348</v>
      </c>
      <c r="L32" s="60">
        <f>'EAST-EGM-GL'!L32+'EAST-LRC-GL'!L32</f>
        <v>225182</v>
      </c>
      <c r="M32" s="38">
        <f>'EAST-EGM-GL'!M32+'EAST-LRC-GL'!M32</f>
        <v>377644.82</v>
      </c>
      <c r="N32" s="60">
        <f>'EAST-EGM-GL'!N32+'EAST-LRC-GL'!N32</f>
        <v>-24053</v>
      </c>
      <c r="O32" s="38">
        <f>'EAST-EGM-GL'!O32+'EAST-LRC-GL'!O32</f>
        <v>-26772.153000000002</v>
      </c>
      <c r="P32" s="60">
        <f>'EAST-EGM-GL'!P32+'EAST-LRC-GL'!P32</f>
        <v>15616</v>
      </c>
      <c r="Q32" s="38">
        <f>'EAST-EGM-GL'!Q32+'EAST-LRC-GL'!Q32</f>
        <v>-528370.147</v>
      </c>
      <c r="R32" s="60">
        <f>'EAST-EGM-GL'!R32+'EAST-LRC-GL'!R32</f>
        <v>208</v>
      </c>
      <c r="S32" s="38">
        <f>'EAST-EGM-GL'!S32+'EAST-LRC-GL'!S32</f>
        <v>-30727.824000000001</v>
      </c>
      <c r="T32" s="60">
        <f>'EAST-EGM-GL'!T32+'EAST-LRC-GL'!T32</f>
        <v>290</v>
      </c>
      <c r="U32" s="38">
        <f>'EAST-EGM-GL'!U32+'EAST-LRC-GL'!U32</f>
        <v>646.41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-27496</v>
      </c>
      <c r="Y32" s="38">
        <f>'EAST-EGM-GL'!Y32+'EAST-LRC-GL'!Y32</f>
        <v>-61288.584000000003</v>
      </c>
      <c r="Z32" s="60">
        <f>'EAST-EGM-GL'!Z32+'EAST-LRC-GL'!Z32</f>
        <v>16182</v>
      </c>
      <c r="AA32" s="38">
        <f>'EAST-EGM-GL'!AA32+'EAST-LRC-GL'!AA32</f>
        <v>36069.678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'EAST-EGM-GL'!AF32+'EAST-LRC-GL'!AF32</f>
        <v>0</v>
      </c>
      <c r="AG32" s="38">
        <f>'EAST-EGM-GL'!AG32+'EAST-LRC-GL'!AG32</f>
        <v>0</v>
      </c>
      <c r="AH32" s="60">
        <f>'EAST-EGM-GL'!AJ32+'EAST-LRC-GL'!AJ32</f>
        <v>0</v>
      </c>
      <c r="AI32" s="38">
        <f>'EAST-EGM-GL'!AK32+'EAST-LRC-GL'!AK32</f>
        <v>0</v>
      </c>
      <c r="AJ32" s="60">
        <f>'EAST-EGM-GL'!AN32+'EAST-LRC-GL'!AN32</f>
        <v>0</v>
      </c>
      <c r="AK32" s="38">
        <f>'EAST-EGM-GL'!AO32+'EAST-LRC-GL'!AO32</f>
        <v>0</v>
      </c>
      <c r="AL32" s="60">
        <f>'EAST-EGM-GL'!AP32+'EAST-LRC-GL'!AP32</f>
        <v>0</v>
      </c>
      <c r="AM32" s="38">
        <f>'EAST-EGM-GL'!AQ32+'EAST-LRC-GL'!AQ32</f>
        <v>0</v>
      </c>
    </row>
    <row r="33" spans="1:39" x14ac:dyDescent="0.25">
      <c r="A33" s="9">
        <v>14</v>
      </c>
      <c r="B33" s="7"/>
      <c r="C33" s="18" t="s">
        <v>43</v>
      </c>
      <c r="D33" s="60">
        <f t="shared" si="11"/>
        <v>-30095</v>
      </c>
      <c r="E33" s="38">
        <f t="shared" si="11"/>
        <v>-66744.39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-29794</v>
      </c>
      <c r="K33" s="38">
        <f>'EAST-EGM-GL'!K33+'EAST-LRC-GL'!K33</f>
        <v>-66068.19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-301</v>
      </c>
      <c r="O33" s="38">
        <f>'EAST-EGM-GL'!O33+'EAST-LRC-GL'!O33</f>
        <v>-676.2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'EAST-EGM-GL'!AF33+'EAST-LRC-GL'!AF33</f>
        <v>0</v>
      </c>
      <c r="AG33" s="38">
        <f>'EAST-EGM-GL'!AG33+'EAST-LRC-GL'!AG33</f>
        <v>0</v>
      </c>
      <c r="AH33" s="60">
        <f>'EAST-EGM-GL'!AJ33+'EAST-LRC-GL'!AJ33</f>
        <v>0</v>
      </c>
      <c r="AI33" s="38">
        <f>'EAST-EGM-GL'!AK33+'EAST-LRC-GL'!AK33</f>
        <v>0</v>
      </c>
      <c r="AJ33" s="60">
        <f>'EAST-EGM-GL'!AN33+'EAST-LRC-GL'!AN33</f>
        <v>0</v>
      </c>
      <c r="AK33" s="38">
        <f>'EAST-EGM-GL'!AO33+'EAST-LRC-GL'!AO33</f>
        <v>0</v>
      </c>
      <c r="AL33" s="60">
        <f>'EAST-EGM-GL'!AP33+'EAST-LRC-GL'!AP33</f>
        <v>0</v>
      </c>
      <c r="AM33" s="38">
        <f>'EAST-EGM-GL'!AQ33+'EAST-LRC-GL'!AQ33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1"/>
        <v>328919</v>
      </c>
      <c r="E34" s="38">
        <f t="shared" si="11"/>
        <v>734440.80999999994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318136</v>
      </c>
      <c r="K34" s="38">
        <f>'EAST-EGM-GL'!K34+'EAST-LRC-GL'!K34</f>
        <v>710538.57</v>
      </c>
      <c r="L34" s="60">
        <f>'EAST-EGM-GL'!L34+'EAST-LRC-GL'!L34</f>
        <v>5</v>
      </c>
      <c r="M34" s="38">
        <f>'EAST-EGM-GL'!M34+'EAST-LRC-GL'!M34</f>
        <v>10.79</v>
      </c>
      <c r="N34" s="60">
        <f>'EAST-EGM-GL'!N34+'EAST-LRC-GL'!N34</f>
        <v>5954</v>
      </c>
      <c r="O34" s="38">
        <f>'EAST-EGM-GL'!O34+'EAST-LRC-GL'!O34</f>
        <v>13474.99</v>
      </c>
      <c r="P34" s="60">
        <f>'EAST-EGM-GL'!P34+'EAST-LRC-GL'!P34</f>
        <v>4824</v>
      </c>
      <c r="Q34" s="38">
        <f>'EAST-EGM-GL'!Q34+'EAST-LRC-GL'!Q34</f>
        <v>10416.459999999999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'EAST-EGM-GL'!AF34+'EAST-LRC-GL'!AF34</f>
        <v>0</v>
      </c>
      <c r="AG34" s="38">
        <f>'EAST-EGM-GL'!AG34+'EAST-LRC-GL'!AG34</f>
        <v>0</v>
      </c>
      <c r="AH34" s="60">
        <f>'EAST-EGM-GL'!AJ34+'EAST-LRC-GL'!AJ34</f>
        <v>0</v>
      </c>
      <c r="AI34" s="38">
        <f>'EAST-EGM-GL'!AK34+'EAST-LRC-GL'!AK34</f>
        <v>0</v>
      </c>
      <c r="AJ34" s="60">
        <f>'EAST-EGM-GL'!AN34+'EAST-LRC-GL'!AN34</f>
        <v>0</v>
      </c>
      <c r="AK34" s="38">
        <f>'EAST-EGM-GL'!AO34+'EAST-LRC-GL'!AO34</f>
        <v>0</v>
      </c>
      <c r="AL34" s="60">
        <f>'EAST-EGM-GL'!AP34+'EAST-LRC-GL'!AP34</f>
        <v>0</v>
      </c>
      <c r="AM34" s="38">
        <f>'EAST-EGM-GL'!AQ34+'EAST-LRC-GL'!AQ34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1"/>
        <v>600000</v>
      </c>
      <c r="E35" s="38">
        <f t="shared" si="11"/>
        <v>706499.99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-600000</v>
      </c>
      <c r="I35" s="38">
        <f>'EAST-EGM-GL'!I35+'EAST-LRC-GL'!I35</f>
        <v>-0.01</v>
      </c>
      <c r="J35" s="60">
        <f>'EAST-EGM-GL'!J35+'EAST-LRC-GL'!J35</f>
        <v>1200000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706500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'EAST-EGM-GL'!AF35+'EAST-LRC-GL'!AF35</f>
        <v>0</v>
      </c>
      <c r="AG35" s="38">
        <f>'EAST-EGM-GL'!AG35+'EAST-LRC-GL'!AG35</f>
        <v>0</v>
      </c>
      <c r="AH35" s="60">
        <f>'EAST-EGM-GL'!AJ35+'EAST-LRC-GL'!AJ35</f>
        <v>0</v>
      </c>
      <c r="AI35" s="38">
        <f>'EAST-EGM-GL'!AK35+'EAST-LRC-GL'!AK35</f>
        <v>0</v>
      </c>
      <c r="AJ35" s="60">
        <f>'EAST-EGM-GL'!AN35+'EAST-LRC-GL'!AN35</f>
        <v>0</v>
      </c>
      <c r="AK35" s="38">
        <f>'EAST-EGM-GL'!AO35+'EAST-LRC-GL'!AO35</f>
        <v>0</v>
      </c>
      <c r="AL35" s="60">
        <f>'EAST-EGM-GL'!AP35+'EAST-LRC-GL'!AP35</f>
        <v>0</v>
      </c>
      <c r="AM35" s="38">
        <f>'EAST-EGM-GL'!AQ35+'EAST-LRC-GL'!AQ35</f>
        <v>0</v>
      </c>
    </row>
    <row r="36" spans="1:39" x14ac:dyDescent="0.25">
      <c r="A36" s="9"/>
      <c r="B36" s="7" t="s">
        <v>46</v>
      </c>
      <c r="C36" s="6"/>
      <c r="D36" s="61">
        <f>SUM(D32:D35)</f>
        <v>745847</v>
      </c>
      <c r="E36" s="39">
        <f>SUM(E32:E35)</f>
        <v>326710.61199999985</v>
      </c>
      <c r="F36" s="61">
        <f t="shared" ref="F36:W36" si="12">SUM(F32:F35)</f>
        <v>0</v>
      </c>
      <c r="G36" s="39">
        <f t="shared" si="12"/>
        <v>0</v>
      </c>
      <c r="H36" s="61">
        <f t="shared" si="12"/>
        <v>-362588</v>
      </c>
      <c r="I36" s="39">
        <f t="shared" si="12"/>
        <v>529191.34</v>
      </c>
      <c r="J36" s="61">
        <f t="shared" si="12"/>
        <v>892024</v>
      </c>
      <c r="K36" s="39">
        <f t="shared" si="12"/>
        <v>-699408.96799999999</v>
      </c>
      <c r="L36" s="61">
        <f t="shared" si="12"/>
        <v>225187</v>
      </c>
      <c r="M36" s="39">
        <f t="shared" si="12"/>
        <v>377655.61</v>
      </c>
      <c r="N36" s="61">
        <f t="shared" si="12"/>
        <v>-18400</v>
      </c>
      <c r="O36" s="39">
        <f t="shared" si="12"/>
        <v>-13973.363000000003</v>
      </c>
      <c r="P36" s="61">
        <f t="shared" si="12"/>
        <v>20440</v>
      </c>
      <c r="Q36" s="39">
        <f t="shared" si="12"/>
        <v>188546.31300000002</v>
      </c>
      <c r="R36" s="61">
        <f t="shared" si="12"/>
        <v>208</v>
      </c>
      <c r="S36" s="39">
        <f t="shared" si="12"/>
        <v>-30727.824000000001</v>
      </c>
      <c r="T36" s="61">
        <f t="shared" si="12"/>
        <v>290</v>
      </c>
      <c r="U36" s="39">
        <f t="shared" si="12"/>
        <v>646.41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-27496</v>
      </c>
      <c r="Y36" s="39">
        <f t="shared" si="13"/>
        <v>-61288.584000000003</v>
      </c>
      <c r="Z36" s="61">
        <f t="shared" si="13"/>
        <v>16182</v>
      </c>
      <c r="AA36" s="39">
        <f t="shared" si="13"/>
        <v>36069.678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980688</v>
      </c>
      <c r="E39" s="38">
        <f t="shared" si="15"/>
        <v>2235968.64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1085249</v>
      </c>
      <c r="K39" s="38">
        <f>'EAST-EGM-GL'!K39+'EAST-LRC-GL'!K39</f>
        <v>2474367.7200000002</v>
      </c>
      <c r="L39" s="60">
        <f>'EAST-EGM-GL'!L39+'EAST-LRC-GL'!L39</f>
        <v>-31404</v>
      </c>
      <c r="M39" s="38">
        <f>'EAST-EGM-GL'!M39+'EAST-LRC-GL'!M39</f>
        <v>-71601.119999999995</v>
      </c>
      <c r="N39" s="60">
        <f>'EAST-EGM-GL'!N39+'EAST-LRC-GL'!N39</f>
        <v>-73157</v>
      </c>
      <c r="O39" s="38">
        <f>'EAST-EGM-GL'!O39+'EAST-LRC-GL'!O39</f>
        <v>-166797.96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'EAST-EGM-GL'!AF39+'EAST-LRC-GL'!AF39</f>
        <v>0</v>
      </c>
      <c r="AG39" s="38">
        <f>'EAST-EGM-GL'!AG39+'EAST-LRC-GL'!AG39</f>
        <v>0</v>
      </c>
      <c r="AH39" s="60">
        <f>'EAST-EGM-GL'!AJ39+'EAST-LRC-GL'!AJ39</f>
        <v>0</v>
      </c>
      <c r="AI39" s="38">
        <f>'EAST-EGM-GL'!AK39+'EAST-LRC-GL'!AK39</f>
        <v>0</v>
      </c>
      <c r="AJ39" s="60">
        <f>'EAST-EGM-GL'!AN39+'EAST-LRC-GL'!AN39</f>
        <v>0</v>
      </c>
      <c r="AK39" s="38">
        <f>'EAST-EGM-GL'!AO39+'EAST-LRC-GL'!AO39</f>
        <v>0</v>
      </c>
      <c r="AL39" s="60">
        <f>'EAST-EGM-GL'!AP39+'EAST-LRC-GL'!AP39</f>
        <v>0</v>
      </c>
      <c r="AM39" s="38">
        <f>'EAST-EGM-GL'!AQ39+'EAST-LRC-GL'!AQ39</f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-884709</v>
      </c>
      <c r="E40" s="38">
        <f t="shared" si="15"/>
        <v>-2117336.52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-683126</v>
      </c>
      <c r="K40" s="38">
        <f>'EAST-EGM-GL'!K40+'EAST-LRC-GL'!K40</f>
        <v>-1557527.28</v>
      </c>
      <c r="L40" s="60">
        <f>'EAST-EGM-GL'!L40+'EAST-LRC-GL'!L40</f>
        <v>25360</v>
      </c>
      <c r="M40" s="38">
        <f>'EAST-EGM-GL'!M40+'EAST-LRC-GL'!M40</f>
        <v>57820.800000000003</v>
      </c>
      <c r="N40" s="60">
        <f>'EAST-EGM-GL'!N40+'EAST-LRC-GL'!N40</f>
        <v>73157</v>
      </c>
      <c r="O40" s="38">
        <f>'EAST-EGM-GL'!O40+'EAST-LRC-GL'!O40</f>
        <v>166797.96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-300000</v>
      </c>
      <c r="S40" s="38">
        <f>'EAST-EGM-GL'!S40+'EAST-LRC-GL'!S40</f>
        <v>-784200</v>
      </c>
      <c r="T40" s="60">
        <f>'EAST-EGM-GL'!T40+'EAST-LRC-GL'!T40</f>
        <v>-100</v>
      </c>
      <c r="U40" s="38">
        <f>'EAST-EGM-GL'!U40+'EAST-LRC-GL'!U40</f>
        <v>-228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'EAST-EGM-GL'!AF40+'EAST-LRC-GL'!AF40</f>
        <v>0</v>
      </c>
      <c r="AG40" s="38">
        <f>'EAST-EGM-GL'!AG40+'EAST-LRC-GL'!AG40</f>
        <v>0</v>
      </c>
      <c r="AH40" s="60">
        <f>'EAST-EGM-GL'!AJ40+'EAST-LRC-GL'!AJ40</f>
        <v>0</v>
      </c>
      <c r="AI40" s="38">
        <f>'EAST-EGM-GL'!AK40+'EAST-LRC-GL'!AK40</f>
        <v>0</v>
      </c>
      <c r="AJ40" s="60">
        <f>'EAST-EGM-GL'!AN40+'EAST-LRC-GL'!AN40</f>
        <v>0</v>
      </c>
      <c r="AK40" s="38">
        <f>'EAST-EGM-GL'!AO40+'EAST-LRC-GL'!AO40</f>
        <v>0</v>
      </c>
      <c r="AL40" s="60">
        <f>'EAST-EGM-GL'!AP40+'EAST-LRC-GL'!AP40</f>
        <v>0</v>
      </c>
      <c r="AM40" s="38">
        <f>'EAST-EGM-GL'!AQ40+'EAST-LRC-GL'!AQ40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'EAST-EGM-GL'!AF41+'EAST-LRC-GL'!AF41</f>
        <v>0</v>
      </c>
      <c r="AG41" s="38">
        <f>'EAST-EGM-GL'!AG41+'EAST-LRC-GL'!AG41</f>
        <v>0</v>
      </c>
      <c r="AH41" s="60">
        <f>'EAST-EGM-GL'!AJ41+'EAST-LRC-GL'!AJ41</f>
        <v>0</v>
      </c>
      <c r="AI41" s="38">
        <f>'EAST-EGM-GL'!AK41+'EAST-LRC-GL'!AK41</f>
        <v>0</v>
      </c>
      <c r="AJ41" s="60">
        <f>'EAST-EGM-GL'!AN41+'EAST-LRC-GL'!AN41</f>
        <v>0</v>
      </c>
      <c r="AK41" s="38">
        <f>'EAST-EGM-GL'!AO41+'EAST-LRC-GL'!AO41</f>
        <v>0</v>
      </c>
      <c r="AL41" s="60">
        <f>'EAST-EGM-GL'!AP41+'EAST-LRC-GL'!AP41</f>
        <v>0</v>
      </c>
      <c r="AM41" s="38">
        <f>'EAST-EGM-GL'!AQ41+'EAST-LRC-GL'!AQ41</f>
        <v>0</v>
      </c>
    </row>
    <row r="42" spans="1:39" x14ac:dyDescent="0.25">
      <c r="A42" s="9"/>
      <c r="B42" s="7"/>
      <c r="C42" s="53" t="s">
        <v>51</v>
      </c>
      <c r="D42" s="61">
        <f>SUM(D40:D41)</f>
        <v>-884709</v>
      </c>
      <c r="E42" s="39">
        <f>SUM(E40:E41)</f>
        <v>-2117336.52</v>
      </c>
      <c r="F42" s="61">
        <f t="shared" ref="F42:W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-683126</v>
      </c>
      <c r="K42" s="39">
        <f t="shared" si="16"/>
        <v>-1557527.28</v>
      </c>
      <c r="L42" s="61">
        <f t="shared" si="16"/>
        <v>25360</v>
      </c>
      <c r="M42" s="39">
        <f t="shared" si="16"/>
        <v>57820.800000000003</v>
      </c>
      <c r="N42" s="61">
        <f t="shared" si="16"/>
        <v>73157</v>
      </c>
      <c r="O42" s="39">
        <f t="shared" si="16"/>
        <v>166797.96</v>
      </c>
      <c r="P42" s="61">
        <f t="shared" si="16"/>
        <v>0</v>
      </c>
      <c r="Q42" s="39">
        <f t="shared" si="16"/>
        <v>0</v>
      </c>
      <c r="R42" s="61">
        <f t="shared" si="16"/>
        <v>-300000</v>
      </c>
      <c r="S42" s="39">
        <f t="shared" si="16"/>
        <v>-784200</v>
      </c>
      <c r="T42" s="61">
        <f t="shared" si="16"/>
        <v>-100</v>
      </c>
      <c r="U42" s="39">
        <f t="shared" si="16"/>
        <v>-228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>D42+D39</f>
        <v>95979</v>
      </c>
      <c r="E43" s="39">
        <f>E42+E39</f>
        <v>118632.12000000011</v>
      </c>
      <c r="F43" s="61">
        <f t="shared" ref="F43:W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402123</v>
      </c>
      <c r="K43" s="39">
        <f t="shared" si="19"/>
        <v>916840.44000000018</v>
      </c>
      <c r="L43" s="61">
        <f t="shared" si="19"/>
        <v>-6044</v>
      </c>
      <c r="M43" s="39">
        <f t="shared" si="19"/>
        <v>-13780.319999999992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-300000</v>
      </c>
      <c r="S43" s="39">
        <f t="shared" si="19"/>
        <v>-784200</v>
      </c>
      <c r="T43" s="61">
        <f t="shared" si="19"/>
        <v>-100</v>
      </c>
      <c r="U43" s="39">
        <f t="shared" si="19"/>
        <v>-228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-25247</v>
      </c>
      <c r="E45" s="38">
        <f>SUM(G45,I45,K45,M45,O45,Q45,S45,U45,W45,Y45,AA45,AC45,AE45,AG45,AI45,AK45,AM45)</f>
        <v>-45544.09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-25247</v>
      </c>
      <c r="K45" s="38">
        <f>'EAST-EGM-GL'!K45+'EAST-LRC-GL'!K45</f>
        <v>-48726.71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3182.62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'EAST-EGM-GL'!AF45+'EAST-LRC-GL'!AF45</f>
        <v>0</v>
      </c>
      <c r="AG45" s="38">
        <f>'EAST-EGM-GL'!AG45+'EAST-LRC-GL'!AG45</f>
        <v>0</v>
      </c>
      <c r="AH45" s="60">
        <f>'EAST-EGM-GL'!AJ45+'EAST-LRC-GL'!AJ45</f>
        <v>0</v>
      </c>
      <c r="AI45" s="38">
        <f>'EAST-EGM-GL'!AK45+'EAST-LRC-GL'!AK45</f>
        <v>0</v>
      </c>
      <c r="AJ45" s="60">
        <f>'EAST-EGM-GL'!AN45+'EAST-LRC-GL'!AN45</f>
        <v>0</v>
      </c>
      <c r="AK45" s="38">
        <f>'EAST-EGM-GL'!AO45+'EAST-LRC-GL'!AO45</f>
        <v>0</v>
      </c>
      <c r="AL45" s="60">
        <f>'EAST-EGM-GL'!AP45+'EAST-LRC-GL'!AP45</f>
        <v>0</v>
      </c>
      <c r="AM45" s="38">
        <f>'EAST-EGM-GL'!AQ45+'EAST-LRC-GL'!AQ45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'EAST-EGM-GL'!AF47+'EAST-LRC-GL'!AF47</f>
        <v>0</v>
      </c>
      <c r="AG47" s="38">
        <f>'EAST-EGM-GL'!AG47+'EAST-LRC-GL'!AG47</f>
        <v>0</v>
      </c>
      <c r="AH47" s="60">
        <f>'EAST-EGM-GL'!AJ47+'EAST-LRC-GL'!AJ47</f>
        <v>0</v>
      </c>
      <c r="AI47" s="38">
        <f>'EAST-EGM-GL'!AK47+'EAST-LRC-GL'!AK47</f>
        <v>0</v>
      </c>
      <c r="AJ47" s="60">
        <f>'EAST-EGM-GL'!AN47+'EAST-LRC-GL'!AN47</f>
        <v>0</v>
      </c>
      <c r="AK47" s="38">
        <f>'EAST-EGM-GL'!AO47+'EAST-LRC-GL'!AO47</f>
        <v>0</v>
      </c>
      <c r="AL47" s="60">
        <f>'EAST-EGM-GL'!AP47+'EAST-LRC-GL'!AP47</f>
        <v>0</v>
      </c>
      <c r="AM47" s="38">
        <f>'EAST-EGM-GL'!AQ47+'EAST-LRC-GL'!AQ47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340704</v>
      </c>
      <c r="E49" s="38">
        <f>SUM(G49,I49,K49,M49,O49,Q49,S49,U49,W49,Y49,AA49,AC49,AE49,AG49,AI49,AK49,AM49)</f>
        <v>759429.21200000029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9038271</v>
      </c>
      <c r="I49" s="38">
        <f>'EAST-EGM-GL'!I49+'EAST-LRC-GL'!I49</f>
        <v>20146306.059</v>
      </c>
      <c r="J49" s="60">
        <f>'EAST-EGM-GL'!J49+'EAST-LRC-GL'!J49</f>
        <v>-1114499</v>
      </c>
      <c r="K49" s="38">
        <f>'EAST-EGM-GL'!K49+'EAST-LRC-GL'!K49</f>
        <v>-2484218.2749999985</v>
      </c>
      <c r="L49" s="60">
        <f>'EAST-EGM-GL'!L49+'EAST-LRC-GL'!L49</f>
        <v>-1685737</v>
      </c>
      <c r="M49" s="38">
        <f>'EAST-EGM-GL'!M49+'EAST-LRC-GL'!M49</f>
        <v>-3757507.773</v>
      </c>
      <c r="N49" s="60">
        <f>'EAST-EGM-GL'!N49+'EAST-LRC-GL'!N49</f>
        <v>90598</v>
      </c>
      <c r="O49" s="38">
        <f>'EAST-EGM-GL'!O49+'EAST-LRC-GL'!O49</f>
        <v>201942.94200000001</v>
      </c>
      <c r="P49" s="60">
        <f>'EAST-EGM-GL'!P49+'EAST-LRC-GL'!P49</f>
        <v>-6330570</v>
      </c>
      <c r="Q49" s="38">
        <f>'EAST-EGM-GL'!Q49+'EAST-LRC-GL'!Q49</f>
        <v>-14110840.530000001</v>
      </c>
      <c r="R49" s="60">
        <f>'EAST-EGM-GL'!R49+'EAST-LRC-GL'!R49</f>
        <v>298804</v>
      </c>
      <c r="S49" s="38">
        <f>'EAST-EGM-GL'!S49+'EAST-LRC-GL'!S49</f>
        <v>666034.11600000004</v>
      </c>
      <c r="T49" s="60">
        <f>'EAST-EGM-GL'!T49+'EAST-LRC-GL'!T49</f>
        <v>35312</v>
      </c>
      <c r="U49" s="38">
        <f>'EAST-EGM-GL'!U49+'EAST-LRC-GL'!U49</f>
        <v>78710.448000000004</v>
      </c>
      <c r="V49" s="60">
        <f>'EAST-EGM-GL'!V49+'EAST-LRC-GL'!V49</f>
        <v>-33973</v>
      </c>
      <c r="W49" s="38">
        <f>'EAST-EGM-GL'!W49+'EAST-LRC-GL'!W49</f>
        <v>-75725.816999999995</v>
      </c>
      <c r="X49" s="60">
        <f>'EAST-EGM-GL'!X49+'EAST-LRC-GL'!X49</f>
        <v>27496</v>
      </c>
      <c r="Y49" s="38">
        <f>'EAST-EGM-GL'!Y49+'EAST-LRC-GL'!Y49</f>
        <v>61288.584000000003</v>
      </c>
      <c r="Z49" s="60">
        <f>'EAST-EGM-GL'!Z49+'EAST-LRC-GL'!Z49</f>
        <v>35571</v>
      </c>
      <c r="AA49" s="38">
        <f>'EAST-EGM-GL'!AA49+'EAST-LRC-GL'!AA49</f>
        <v>79287.759000000005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-5547</v>
      </c>
      <c r="AE49" s="38">
        <f>'EAST-EGM-GL'!AE49+'EAST-LRC-GL'!AE49</f>
        <v>-12364.263000000001</v>
      </c>
      <c r="AF49" s="60">
        <f>'EAST-EGM-GL'!AF49+'EAST-LRC-GL'!AF49</f>
        <v>-15022</v>
      </c>
      <c r="AG49" s="38">
        <f>'EAST-EGM-GL'!AG49+'EAST-LRC-GL'!AG49</f>
        <v>-33484.038</v>
      </c>
      <c r="AH49" s="60">
        <f>'EAST-EGM-GL'!AJ49+'EAST-LRC-GL'!AJ49</f>
        <v>0</v>
      </c>
      <c r="AI49" s="38">
        <f>'EAST-EGM-GL'!AK49+'EAST-LRC-GL'!AK49</f>
        <v>0</v>
      </c>
      <c r="AJ49" s="60">
        <f>'EAST-EGM-GL'!AN49+'EAST-LRC-GL'!AN49</f>
        <v>0</v>
      </c>
      <c r="AK49" s="38">
        <f>'EAST-EGM-GL'!AO49+'EAST-LRC-GL'!AO49</f>
        <v>0</v>
      </c>
      <c r="AL49" s="60">
        <f>'EAST-EGM-GL'!AP49+'EAST-LRC-GL'!AP49</f>
        <v>0</v>
      </c>
      <c r="AM49" s="38">
        <f>'EAST-EGM-GL'!AQ49+'EAST-LRC-GL'!AQ49</f>
        <v>0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-194496</v>
      </c>
      <c r="E51" s="38">
        <f>SUM(G51,I51,K51,M51,O51,Q51,S51,U51,W51,Y51,AA51,AC51,AE51,AG51,AI51,AK51,AM51)</f>
        <v>-437785.92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-136325</v>
      </c>
      <c r="I51" s="38">
        <f>'EAST-EGM-GL'!I51+'EAST-LRC-GL'!I51</f>
        <v>-303868.43</v>
      </c>
      <c r="J51" s="60">
        <f>'EAST-EGM-GL'!J51+'EAST-LRC-GL'!J51</f>
        <v>-63345</v>
      </c>
      <c r="K51" s="38">
        <f>'EAST-EGM-GL'!K51+'EAST-LRC-GL'!K51</f>
        <v>-144638.08599999998</v>
      </c>
      <c r="L51" s="60">
        <f>'EAST-EGM-GL'!L51+'EAST-LRC-GL'!L51</f>
        <v>5274</v>
      </c>
      <c r="M51" s="38">
        <f>'EAST-EGM-GL'!M51+'EAST-LRC-GL'!M51</f>
        <v>11755.745999999999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-803.15</v>
      </c>
      <c r="R51" s="60">
        <f>'EAST-EGM-GL'!R51+'EAST-LRC-GL'!R51</f>
        <v>0</v>
      </c>
      <c r="S51" s="38">
        <f>'EAST-EGM-GL'!S51+'EAST-LRC-GL'!S51</f>
        <v>0</v>
      </c>
      <c r="T51" s="60">
        <f>'EAST-EGM-GL'!T51+'EAST-LRC-GL'!T51</f>
        <v>-100</v>
      </c>
      <c r="U51" s="38">
        <f>'EAST-EGM-GL'!U51+'EAST-LRC-GL'!U51</f>
        <v>-232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'EAST-EGM-GL'!AF51+'EAST-LRC-GL'!AF51</f>
        <v>0</v>
      </c>
      <c r="AG51" s="38">
        <f>'EAST-EGM-GL'!AG51+'EAST-LRC-GL'!AG51</f>
        <v>0</v>
      </c>
      <c r="AH51" s="60">
        <f>'EAST-EGM-GL'!AJ51+'EAST-LRC-GL'!AJ51</f>
        <v>0</v>
      </c>
      <c r="AI51" s="38">
        <f>'EAST-EGM-GL'!AK51+'EAST-LRC-GL'!AK51</f>
        <v>0</v>
      </c>
      <c r="AJ51" s="60">
        <f>'EAST-EGM-GL'!AN51+'EAST-LRC-GL'!AN51</f>
        <v>0</v>
      </c>
      <c r="AK51" s="38">
        <f>'EAST-EGM-GL'!AO51+'EAST-LRC-GL'!AO51</f>
        <v>0</v>
      </c>
      <c r="AL51" s="60">
        <f>'EAST-EGM-GL'!AP51+'EAST-LRC-GL'!AP51</f>
        <v>0</v>
      </c>
      <c r="AM51" s="38">
        <f>'EAST-EGM-GL'!AQ51+'EAST-LRC-GL'!AQ51</f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-17164287</v>
      </c>
      <c r="E54" s="38">
        <f>SUM(G54,I54,K54,M54,O54,Q54,S54,U54,W54,Y54,AA54,AC54,AE54,AG54,AI54,AK54,AM54)</f>
        <v>-610349.94999999984</v>
      </c>
      <c r="F54" s="64">
        <f>('TIE-OUT'!J54+'TIE-OUT'!H54)+(RECLASS!J54+RECLASS!H54)</f>
        <v>0</v>
      </c>
      <c r="G54" s="68">
        <f>('TIE-OUT'!K54+'TIE-OUT'!I54)+(RECLASS!K54+RECLASS!I54)</f>
        <v>-9756</v>
      </c>
      <c r="H54" s="60">
        <f>'EAST-EGM-GL'!H54+'EAST-LRC-GL'!H54</f>
        <v>-16636979</v>
      </c>
      <c r="I54" s="38">
        <f>'EAST-EGM-GL'!I54+'EAST-LRC-GL'!I54</f>
        <v>-309119.65999999997</v>
      </c>
      <c r="J54" s="60">
        <f>'EAST-EGM-GL'!J54+'EAST-LRC-GL'!J54</f>
        <v>-250611</v>
      </c>
      <c r="K54" s="38">
        <f>'EAST-EGM-GL'!K54+'EAST-LRC-GL'!K54</f>
        <v>11656.720000000001</v>
      </c>
      <c r="L54" s="60">
        <f>'EAST-EGM-GL'!L54+'EAST-LRC-GL'!L54</f>
        <v>-137914</v>
      </c>
      <c r="M54" s="38">
        <f>'EAST-EGM-GL'!M54+'EAST-LRC-GL'!M54</f>
        <v>-32927.17</v>
      </c>
      <c r="N54" s="60">
        <f>'EAST-EGM-GL'!N54+'EAST-LRC-GL'!N54</f>
        <v>-42970</v>
      </c>
      <c r="O54" s="38">
        <f>'EAST-EGM-GL'!O54+'EAST-LRC-GL'!O54</f>
        <v>2190.5700000000002</v>
      </c>
      <c r="P54" s="60">
        <f>'EAST-EGM-GL'!P54+'EAST-LRC-GL'!P54</f>
        <v>0</v>
      </c>
      <c r="Q54" s="38">
        <f>'EAST-EGM-GL'!Q54+'EAST-LRC-GL'!Q54</f>
        <v>0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-5348.04</v>
      </c>
      <c r="V54" s="60">
        <f>'EAST-EGM-GL'!V54+'EAST-LRC-GL'!V54</f>
        <v>0</v>
      </c>
      <c r="W54" s="38">
        <f>'EAST-EGM-GL'!W54+'EAST-LRC-GL'!W54</f>
        <v>-99955</v>
      </c>
      <c r="X54" s="60">
        <f>'EAST-EGM-GL'!X54+'EAST-LRC-GL'!X54</f>
        <v>0</v>
      </c>
      <c r="Y54" s="38">
        <f>'EAST-EGM-GL'!Y54+'EAST-LRC-GL'!Y54</f>
        <v>-99955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-95813</v>
      </c>
      <c r="AC54" s="38">
        <f>'EAST-EGM-GL'!AC54+'EAST-LRC-GL'!AC54</f>
        <v>-2874.39</v>
      </c>
      <c r="AD54" s="60">
        <f>'EAST-EGM-GL'!AD54+'EAST-LRC-GL'!AD54</f>
        <v>0</v>
      </c>
      <c r="AE54" s="38">
        <f>'EAST-EGM-GL'!AE54+'EAST-LRC-GL'!AE54</f>
        <v>-64261.98</v>
      </c>
      <c r="AF54" s="60">
        <f>'EAST-EGM-GL'!AF54+'EAST-LRC-GL'!AF54</f>
        <v>0</v>
      </c>
      <c r="AG54" s="38">
        <f>'EAST-EGM-GL'!AG54+'EAST-LRC-GL'!AG54</f>
        <v>0</v>
      </c>
      <c r="AH54" s="60">
        <f>'EAST-EGM-GL'!AJ54+'EAST-LRC-GL'!AJ54</f>
        <v>0</v>
      </c>
      <c r="AI54" s="38">
        <f>'EAST-EGM-GL'!AK54+'EAST-LRC-GL'!AK54</f>
        <v>0</v>
      </c>
      <c r="AJ54" s="60">
        <f>'EAST-EGM-GL'!AN54+'EAST-LRC-GL'!AN54</f>
        <v>0</v>
      </c>
      <c r="AK54" s="38">
        <f>'EAST-EGM-GL'!AO54+'EAST-LRC-GL'!AO54</f>
        <v>0</v>
      </c>
      <c r="AL54" s="60">
        <f>'EAST-EGM-GL'!AP54+'EAST-LRC-GL'!AP54</f>
        <v>0</v>
      </c>
      <c r="AM54" s="38">
        <f>'EAST-EGM-GL'!AQ54+'EAST-LRC-GL'!AQ54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-448017.35</v>
      </c>
      <c r="F55" s="81">
        <f>('TIE-OUT'!J55+'TIE-OUT'!H55)+(RECLASS!J55+RECLASS!H55)</f>
        <v>0</v>
      </c>
      <c r="G55" s="82">
        <f>('TIE-OUT'!K55+'TIE-OUT'!I55)+(RECLASS!K55+RECLASS!I55)</f>
        <v>2441264.9900000002</v>
      </c>
      <c r="H55" s="60">
        <f>'EAST-EGM-GL'!H55+'EAST-LRC-GL'!H55</f>
        <v>0</v>
      </c>
      <c r="I55" s="38">
        <f>'EAST-EGM-GL'!I55+'EAST-LRC-GL'!I55</f>
        <v>-3035948.99</v>
      </c>
      <c r="J55" s="60">
        <f>'EAST-EGM-GL'!J55+'EAST-LRC-GL'!J55</f>
        <v>0</v>
      </c>
      <c r="K55" s="38">
        <f>'EAST-EGM-GL'!K55+'EAST-LRC-GL'!K55</f>
        <v>132137.89000000001</v>
      </c>
      <c r="L55" s="60">
        <f>'EAST-EGM-GL'!L55+'EAST-LRC-GL'!L55</f>
        <v>0</v>
      </c>
      <c r="M55" s="38">
        <f>'EAST-EGM-GL'!M55+'EAST-LRC-GL'!M55</f>
        <v>921.36</v>
      </c>
      <c r="N55" s="60">
        <f>'EAST-EGM-GL'!N55+'EAST-LRC-GL'!N55</f>
        <v>0</v>
      </c>
      <c r="O55" s="38">
        <f>'EAST-EGM-GL'!O55+'EAST-LRC-GL'!O55</f>
        <v>13607.4</v>
      </c>
      <c r="P55" s="60">
        <f>'EAST-EGM-GL'!P55+'EAST-LRC-GL'!P55</f>
        <v>0</v>
      </c>
      <c r="Q55" s="38">
        <f>'EAST-EGM-GL'!Q55+'EAST-LRC-GL'!Q55</f>
        <v>0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'EAST-EGM-GL'!AF55+'EAST-LRC-GL'!AF55</f>
        <v>0</v>
      </c>
      <c r="AG55" s="38">
        <f>'EAST-EGM-GL'!AG55+'EAST-LRC-GL'!AG55</f>
        <v>0</v>
      </c>
      <c r="AH55" s="60">
        <f>'EAST-EGM-GL'!AJ55+'EAST-LRC-GL'!AJ55</f>
        <v>0</v>
      </c>
      <c r="AI55" s="38">
        <f>'EAST-EGM-GL'!AK55+'EAST-LRC-GL'!AK55</f>
        <v>0</v>
      </c>
      <c r="AJ55" s="60">
        <f>'EAST-EGM-GL'!AN55+'EAST-LRC-GL'!AN55</f>
        <v>0</v>
      </c>
      <c r="AK55" s="38">
        <f>'EAST-EGM-GL'!AO55+'EAST-LRC-GL'!AO55</f>
        <v>0</v>
      </c>
      <c r="AL55" s="60">
        <f>'EAST-EGM-GL'!AP55+'EAST-LRC-GL'!AP55</f>
        <v>0</v>
      </c>
      <c r="AM55" s="38">
        <f>'EAST-EGM-GL'!AQ55+'EAST-LRC-GL'!AQ55</f>
        <v>0</v>
      </c>
    </row>
    <row r="56" spans="1:39" x14ac:dyDescent="0.25">
      <c r="A56" s="9"/>
      <c r="B56" s="7" t="s">
        <v>60</v>
      </c>
      <c r="C56" s="6"/>
      <c r="D56" s="61">
        <f>SUM(D54:D55)</f>
        <v>-17164287</v>
      </c>
      <c r="E56" s="39">
        <f>SUM(E54:E55)</f>
        <v>-1058367.2999999998</v>
      </c>
      <c r="F56" s="61">
        <f t="shared" ref="F56:W56" si="22">SUM(F54:F55)</f>
        <v>0</v>
      </c>
      <c r="G56" s="39">
        <f t="shared" si="22"/>
        <v>2431508.9900000002</v>
      </c>
      <c r="H56" s="61">
        <f t="shared" si="22"/>
        <v>-16636979</v>
      </c>
      <c r="I56" s="39">
        <f t="shared" si="22"/>
        <v>-3345068.6500000004</v>
      </c>
      <c r="J56" s="61">
        <f t="shared" si="22"/>
        <v>-250611</v>
      </c>
      <c r="K56" s="39">
        <f t="shared" si="22"/>
        <v>143794.61000000002</v>
      </c>
      <c r="L56" s="61">
        <f t="shared" si="22"/>
        <v>-137914</v>
      </c>
      <c r="M56" s="39">
        <f t="shared" si="22"/>
        <v>-32005.809999999998</v>
      </c>
      <c r="N56" s="61">
        <f t="shared" si="22"/>
        <v>-42970</v>
      </c>
      <c r="O56" s="39">
        <f t="shared" si="22"/>
        <v>15797.97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-5348.04</v>
      </c>
      <c r="V56" s="61">
        <f t="shared" si="22"/>
        <v>0</v>
      </c>
      <c r="W56" s="39">
        <f t="shared" si="22"/>
        <v>-99955</v>
      </c>
      <c r="X56" s="61">
        <f t="shared" ref="X56:AC56" si="23">SUM(X54:X55)</f>
        <v>0</v>
      </c>
      <c r="Y56" s="39">
        <f t="shared" si="23"/>
        <v>-99955</v>
      </c>
      <c r="Z56" s="61">
        <f t="shared" si="23"/>
        <v>0</v>
      </c>
      <c r="AA56" s="39">
        <f t="shared" si="23"/>
        <v>0</v>
      </c>
      <c r="AB56" s="61">
        <f t="shared" si="23"/>
        <v>-95813</v>
      </c>
      <c r="AC56" s="39">
        <f t="shared" si="23"/>
        <v>-2874.39</v>
      </c>
      <c r="AD56" s="61">
        <f t="shared" ref="AD56:AI56" si="24">SUM(AD54:AD55)</f>
        <v>0</v>
      </c>
      <c r="AE56" s="39">
        <f t="shared" si="24"/>
        <v>-64261.98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3132845</v>
      </c>
      <c r="E59" s="38">
        <f>SUM(G59,I59,K59,M59,O59,Q59,S59,U59,W59,Y59,AA59,AC59,AE59,AG59,AI59,AK59,AM59)</f>
        <v>55985.979999999996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2992830</v>
      </c>
      <c r="I59" s="38">
        <f>'EAST-EGM-GL'!I59+'EAST-LRC-GL'!I59</f>
        <v>46484.87</v>
      </c>
      <c r="J59" s="60">
        <f>'EAST-EGM-GL'!J59+'EAST-LRC-GL'!J59</f>
        <v>133968</v>
      </c>
      <c r="K59" s="38">
        <f>'EAST-EGM-GL'!K59+'EAST-LRC-GL'!K59</f>
        <v>9520.52</v>
      </c>
      <c r="L59" s="60">
        <f>'EAST-EGM-GL'!L59+'EAST-LRC-GL'!L59</f>
        <v>5932</v>
      </c>
      <c r="M59" s="38">
        <f>'EAST-EGM-GL'!M59+'EAST-LRC-GL'!M59</f>
        <v>0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-97.16</v>
      </c>
      <c r="R59" s="60">
        <f>'EAST-EGM-GL'!R59+'EAST-LRC-GL'!R59</f>
        <v>0</v>
      </c>
      <c r="S59" s="38">
        <f>'EAST-EGM-GL'!S59+'EAST-LRC-GL'!S59</f>
        <v>77.75</v>
      </c>
      <c r="T59" s="60">
        <f>'EAST-EGM-GL'!T59+'EAST-LRC-GL'!T59</f>
        <v>115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'EAST-EGM-GL'!AF59+'EAST-LRC-GL'!AF59</f>
        <v>0</v>
      </c>
      <c r="AG59" s="38">
        <f>'EAST-EGM-GL'!AG59+'EAST-LRC-GL'!AG59</f>
        <v>0</v>
      </c>
      <c r="AH59" s="60">
        <f>'EAST-EGM-GL'!AJ59+'EAST-LRC-GL'!AJ59</f>
        <v>0</v>
      </c>
      <c r="AI59" s="38">
        <f>'EAST-EGM-GL'!AK59+'EAST-LRC-GL'!AK59</f>
        <v>0</v>
      </c>
      <c r="AJ59" s="60">
        <f>'EAST-EGM-GL'!AN59+'EAST-LRC-GL'!AN59</f>
        <v>0</v>
      </c>
      <c r="AK59" s="38">
        <f>'EAST-EGM-GL'!AO59+'EAST-LRC-GL'!AO59</f>
        <v>0</v>
      </c>
      <c r="AL59" s="60">
        <f>'EAST-EGM-GL'!AP59+'EAST-LRC-GL'!AP59</f>
        <v>0</v>
      </c>
      <c r="AM59" s="38">
        <f>'EAST-EGM-GL'!AQ59+'EAST-LRC-GL'!AQ59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'EAST-EGM-GL'!AF60+'EAST-LRC-GL'!AF60</f>
        <v>0</v>
      </c>
      <c r="AG60" s="38">
        <f>'EAST-EGM-GL'!AG60+'EAST-LRC-GL'!AG60</f>
        <v>0</v>
      </c>
      <c r="AH60" s="60">
        <f>'EAST-EGM-GL'!AJ60+'EAST-LRC-GL'!AJ60</f>
        <v>0</v>
      </c>
      <c r="AI60" s="38">
        <f>'EAST-EGM-GL'!AK60+'EAST-LRC-GL'!AK60</f>
        <v>0</v>
      </c>
      <c r="AJ60" s="60">
        <f>'EAST-EGM-GL'!AN60+'EAST-LRC-GL'!AN60</f>
        <v>0</v>
      </c>
      <c r="AK60" s="38">
        <f>'EAST-EGM-GL'!AO60+'EAST-LRC-GL'!AO60</f>
        <v>0</v>
      </c>
      <c r="AL60" s="60">
        <f>'EAST-EGM-GL'!AP60+'EAST-LRC-GL'!AP60</f>
        <v>0</v>
      </c>
      <c r="AM60" s="38">
        <f>'EAST-EGM-GL'!AQ60+'EAST-LRC-GL'!AQ60</f>
        <v>0</v>
      </c>
    </row>
    <row r="61" spans="1:39" x14ac:dyDescent="0.25">
      <c r="A61" s="9"/>
      <c r="B61" s="62" t="s">
        <v>64</v>
      </c>
      <c r="C61" s="6"/>
      <c r="D61" s="61">
        <f>SUM(D59:D60)</f>
        <v>3132845</v>
      </c>
      <c r="E61" s="39">
        <f>SUM(E59:E60)</f>
        <v>55985.979999999996</v>
      </c>
      <c r="F61" s="61">
        <f t="shared" ref="F61:W61" si="25">SUM(F59:F60)</f>
        <v>0</v>
      </c>
      <c r="G61" s="39">
        <f t="shared" si="25"/>
        <v>0</v>
      </c>
      <c r="H61" s="61">
        <f t="shared" si="25"/>
        <v>2992830</v>
      </c>
      <c r="I61" s="39">
        <f t="shared" si="25"/>
        <v>46484.87</v>
      </c>
      <c r="J61" s="61">
        <f t="shared" si="25"/>
        <v>133968</v>
      </c>
      <c r="K61" s="39">
        <f t="shared" si="25"/>
        <v>9520.52</v>
      </c>
      <c r="L61" s="61">
        <f t="shared" si="25"/>
        <v>5932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-97.16</v>
      </c>
      <c r="R61" s="61">
        <f t="shared" si="25"/>
        <v>0</v>
      </c>
      <c r="S61" s="39">
        <f t="shared" si="25"/>
        <v>77.75</v>
      </c>
      <c r="T61" s="61">
        <f t="shared" si="25"/>
        <v>115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-20191991</v>
      </c>
      <c r="E64" s="38">
        <f>SUM(G64,I64,K64,M64,O64,Q64,S64,U64,W64,Y64,AA64,AC64,AE64,AG64,AI64,AK64)</f>
        <v>-1981332.06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-12224792</v>
      </c>
      <c r="I64" s="38">
        <f>'EAST-EGM-GL'!I64+'EAST-LRC-GL'!I64</f>
        <v>-1306444.3</v>
      </c>
      <c r="J64" s="60">
        <f>'EAST-EGM-GL'!J64+'EAST-LRC-GL'!J64</f>
        <v>-7967199</v>
      </c>
      <c r="K64" s="38">
        <f>'EAST-EGM-GL'!K64+'EAST-LRC-GL'!K64</f>
        <v>-674887.76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19106742</v>
      </c>
      <c r="E65" s="38">
        <f>SUM(G65,I65,K65,M65,O65,Q65,S65,U65,W65,Y65,AA65,AC65,AE65,AG65,AI65,AK65,AM65)</f>
        <v>1981332.07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11108431</v>
      </c>
      <c r="I65" s="38">
        <f>'EAST-EGM-GL'!I65+'EAST-LRC-GL'!I65</f>
        <v>1306444.29</v>
      </c>
      <c r="J65" s="60">
        <f>'EAST-EGM-GL'!J65+'EAST-LRC-GL'!J65</f>
        <v>7998311</v>
      </c>
      <c r="K65" s="38">
        <f>'EAST-EGM-GL'!K65+'EAST-LRC-GL'!K65</f>
        <v>674887.78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5">
      <c r="A66" s="9"/>
      <c r="B66" s="7" t="s">
        <v>67</v>
      </c>
      <c r="C66" s="6"/>
      <c r="D66" s="61">
        <f>SUM(D64:D65)</f>
        <v>-1085249</v>
      </c>
      <c r="E66" s="39">
        <f>SUM(E64:E65)</f>
        <v>1.0000000009313226E-2</v>
      </c>
      <c r="F66" s="61">
        <f t="shared" ref="F66:W66" si="28">SUM(F64:F65)</f>
        <v>0</v>
      </c>
      <c r="G66" s="39">
        <f t="shared" si="28"/>
        <v>0</v>
      </c>
      <c r="H66" s="61">
        <f t="shared" si="28"/>
        <v>-1116361</v>
      </c>
      <c r="I66" s="39">
        <f t="shared" si="28"/>
        <v>-1.0000000009313226E-2</v>
      </c>
      <c r="J66" s="61">
        <f t="shared" si="28"/>
        <v>31112</v>
      </c>
      <c r="K66" s="39">
        <f t="shared" si="28"/>
        <v>2.0000000018626451E-2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5679557.9500000002</v>
      </c>
      <c r="F70" s="64">
        <f>('TIE-OUT'!J70+'TIE-OUT'!H70)+(RECLASS!J70+RECLASS!H70)</f>
        <v>0</v>
      </c>
      <c r="G70" s="68">
        <f>('TIE-OUT'!K70+'TIE-OUT'!I70)+(RECLASS!K70+RECLASS!I70)</f>
        <v>5679557.9500000002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'EAST-EGM-GL'!AF70+'EAST-LRC-GL'!AF70</f>
        <v>0</v>
      </c>
      <c r="AG70" s="38">
        <f>'EAST-EGM-GL'!AG70+'EAST-LRC-GL'!AG70</f>
        <v>0</v>
      </c>
      <c r="AH70" s="60">
        <f>'EAST-EGM-GL'!AJ70+'EAST-LRC-GL'!AJ70</f>
        <v>0</v>
      </c>
      <c r="AI70" s="38">
        <f>'EAST-EGM-GL'!AK70+'EAST-LRC-GL'!AK70</f>
        <v>0</v>
      </c>
      <c r="AJ70" s="60">
        <f>'EAST-EGM-GL'!AN70+'EAST-LRC-GL'!AN70</f>
        <v>0</v>
      </c>
      <c r="AK70" s="38">
        <f>'EAST-EGM-GL'!AO70+'EAST-LRC-GL'!AO70</f>
        <v>0</v>
      </c>
      <c r="AL70" s="60">
        <f>'EAST-EGM-GL'!AP70+'EAST-LRC-GL'!AP70</f>
        <v>0</v>
      </c>
      <c r="AM70" s="38">
        <f>'EAST-EGM-GL'!AQ70+'EAST-LRC-GL'!AQ70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-2849706</v>
      </c>
      <c r="F71" s="81">
        <f>('TIE-OUT'!J71+'TIE-OUT'!H71)+(RECLASS!J71+RECLASS!H71)</f>
        <v>0</v>
      </c>
      <c r="G71" s="82">
        <f>('TIE-OUT'!K71+'TIE-OUT'!I71)+(RECLASS!K71+RECLASS!I71)</f>
        <v>-2849706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'EAST-EGM-GL'!AF71+'EAST-LRC-GL'!AF71</f>
        <v>0</v>
      </c>
      <c r="AG71" s="38">
        <f>'EAST-EGM-GL'!AG71+'EAST-LRC-GL'!AG71</f>
        <v>0</v>
      </c>
      <c r="AH71" s="60">
        <f>'EAST-EGM-GL'!AJ71+'EAST-LRC-GL'!AJ71</f>
        <v>0</v>
      </c>
      <c r="AI71" s="38">
        <f>'EAST-EGM-GL'!AK71+'EAST-LRC-GL'!AK71</f>
        <v>0</v>
      </c>
      <c r="AJ71" s="60">
        <f>'EAST-EGM-GL'!AN71+'EAST-LRC-GL'!AN71</f>
        <v>0</v>
      </c>
      <c r="AK71" s="38">
        <f>'EAST-EGM-GL'!AO71+'EAST-LRC-GL'!AO71</f>
        <v>0</v>
      </c>
      <c r="AL71" s="60">
        <f>'EAST-EGM-GL'!AP71+'EAST-LRC-GL'!AP71</f>
        <v>0</v>
      </c>
      <c r="AM71" s="38">
        <f>'EAST-EGM-GL'!AQ71+'EAST-LRC-GL'!AQ71</f>
        <v>0</v>
      </c>
    </row>
    <row r="72" spans="1:39" x14ac:dyDescent="0.25">
      <c r="A72" s="9"/>
      <c r="B72" s="3"/>
      <c r="C72" s="55" t="s">
        <v>72</v>
      </c>
      <c r="D72" s="61">
        <f>SUM(D70:D71)</f>
        <v>0</v>
      </c>
      <c r="E72" s="39">
        <f>SUM(E70:E71)</f>
        <v>2829851.95</v>
      </c>
      <c r="F72" s="61">
        <f t="shared" ref="F72:W72" si="31">SUM(F70:F71)</f>
        <v>0</v>
      </c>
      <c r="G72" s="39">
        <f t="shared" si="31"/>
        <v>2829851.95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'EAST-EGM-GL'!AF73+'EAST-LRC-GL'!AF73</f>
        <v>0</v>
      </c>
      <c r="AG73" s="38">
        <f>'EAST-EGM-GL'!AG73+'EAST-LRC-GL'!AG73</f>
        <v>0</v>
      </c>
      <c r="AH73" s="60">
        <f>'EAST-EGM-GL'!AJ73+'EAST-LRC-GL'!AJ73</f>
        <v>0</v>
      </c>
      <c r="AI73" s="38">
        <f>'EAST-EGM-GL'!AK73+'EAST-LRC-GL'!AK73</f>
        <v>0</v>
      </c>
      <c r="AJ73" s="60">
        <f>'EAST-EGM-GL'!AN73+'EAST-LRC-GL'!AN73</f>
        <v>0</v>
      </c>
      <c r="AK73" s="38">
        <f>'EAST-EGM-GL'!AO73+'EAST-LRC-GL'!AO73</f>
        <v>0</v>
      </c>
      <c r="AL73" s="60">
        <f>'EAST-EGM-GL'!AP73+'EAST-LRC-GL'!AP73</f>
        <v>0</v>
      </c>
      <c r="AM73" s="38">
        <f>'EAST-EGM-GL'!AQ73+'EAST-LRC-GL'!AQ73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-1847776</v>
      </c>
      <c r="F74" s="60">
        <f>('TIE-OUT'!J74+'TIE-OUT'!H74)+(RECLASS!J74+RECLASS!H74)</f>
        <v>0</v>
      </c>
      <c r="G74" s="60">
        <f>('TIE-OUT'!K74+'TIE-OUT'!I74)+(RECLASS!K74+RECLASS!I74)</f>
        <v>-1830766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-17010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'EAST-EGM-GL'!AF74+'EAST-LRC-GL'!AF74</f>
        <v>0</v>
      </c>
      <c r="AG74" s="38">
        <f>'EAST-EGM-GL'!AG74+'EAST-LRC-GL'!AG74</f>
        <v>0</v>
      </c>
      <c r="AH74" s="60">
        <f>'EAST-EGM-GL'!AJ74+'EAST-LRC-GL'!AJ74</f>
        <v>0</v>
      </c>
      <c r="AI74" s="38">
        <f>'EAST-EGM-GL'!AK74+'EAST-LRC-GL'!AK74</f>
        <v>0</v>
      </c>
      <c r="AJ74" s="60">
        <f>'EAST-EGM-GL'!AN74+'EAST-LRC-GL'!AN74</f>
        <v>0</v>
      </c>
      <c r="AK74" s="38">
        <f>'EAST-EGM-GL'!AO74+'EAST-LRC-GL'!AO74</f>
        <v>0</v>
      </c>
      <c r="AL74" s="60">
        <f>'EAST-EGM-GL'!AP74+'EAST-LRC-GL'!AP74</f>
        <v>0</v>
      </c>
      <c r="AM74" s="38">
        <f>'EAST-EGM-GL'!AQ74+'EAST-LRC-GL'!AQ74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59000</v>
      </c>
      <c r="F75" s="60">
        <f>('TIE-OUT'!J75+'TIE-OUT'!H75)+(RECLASS!J75+RECLASS!H75)</f>
        <v>0</v>
      </c>
      <c r="G75" s="60">
        <f>('TIE-OUT'!K75+'TIE-OUT'!I75)+(RECLASS!K75+RECLASS!I75)</f>
        <v>59000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'EAST-EGM-GL'!AF75+'EAST-LRC-GL'!AF75</f>
        <v>0</v>
      </c>
      <c r="AG75" s="38">
        <f>'EAST-EGM-GL'!AG75+'EAST-LRC-GL'!AG75</f>
        <v>0</v>
      </c>
      <c r="AH75" s="60">
        <f>'EAST-EGM-GL'!AJ75+'EAST-LRC-GL'!AJ75</f>
        <v>0</v>
      </c>
      <c r="AI75" s="38">
        <f>'EAST-EGM-GL'!AK75+'EAST-LRC-GL'!AK75</f>
        <v>0</v>
      </c>
      <c r="AJ75" s="60">
        <f>'EAST-EGM-GL'!AN75+'EAST-LRC-GL'!AN75</f>
        <v>0</v>
      </c>
      <c r="AK75" s="38">
        <f>'EAST-EGM-GL'!AO75+'EAST-LRC-GL'!AO75</f>
        <v>0</v>
      </c>
      <c r="AL75" s="60">
        <f>'EAST-EGM-GL'!AP75+'EAST-LRC-GL'!AP75</f>
        <v>0</v>
      </c>
      <c r="AM75" s="38">
        <f>'EAST-EGM-GL'!AQ75+'EAST-LRC-GL'!AQ75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-259215.52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0</v>
      </c>
      <c r="J76" s="60">
        <f>'EAST-EGM-GL'!J76+'EAST-LRC-GL'!J76</f>
        <v>0</v>
      </c>
      <c r="K76" s="38">
        <f>'EAST-EGM-GL'!K76+'EAST-LRC-GL'!K76</f>
        <v>-259215.52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'EAST-EGM-GL'!AF76+'EAST-LRC-GL'!AF76</f>
        <v>0</v>
      </c>
      <c r="AG76" s="38">
        <f>'EAST-EGM-GL'!AG76+'EAST-LRC-GL'!AG76</f>
        <v>0</v>
      </c>
      <c r="AH76" s="60">
        <f>'EAST-EGM-GL'!AJ76+'EAST-LRC-GL'!AJ76</f>
        <v>0</v>
      </c>
      <c r="AI76" s="38">
        <f>'EAST-EGM-GL'!AK76+'EAST-LRC-GL'!AK76</f>
        <v>0</v>
      </c>
      <c r="AJ76" s="60">
        <f>'EAST-EGM-GL'!AN76+'EAST-LRC-GL'!AN76</f>
        <v>0</v>
      </c>
      <c r="AK76" s="38">
        <f>'EAST-EGM-GL'!AO76+'EAST-LRC-GL'!AO76</f>
        <v>0</v>
      </c>
      <c r="AL76" s="60">
        <f>'EAST-EGM-GL'!AP76+'EAST-LRC-GL'!AP76</f>
        <v>0</v>
      </c>
      <c r="AM76" s="38">
        <f>'EAST-EGM-GL'!AQ76+'EAST-LRC-GL'!AQ76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-3933809</v>
      </c>
      <c r="F77" s="60">
        <f>('TIE-OUT'!J77+'TIE-OUT'!H77)+(RECLASS!J77+RECLASS!H77)</f>
        <v>0</v>
      </c>
      <c r="G77" s="60">
        <f>('TIE-OUT'!K77+'TIE-OUT'!I77)+(RECLASS!K77+RECLASS!I77)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'EAST-EGM-GL'!AF77+'EAST-LRC-GL'!AF77</f>
        <v>0</v>
      </c>
      <c r="AG77" s="38">
        <f>'EAST-EGM-GL'!AG77+'EAST-LRC-GL'!AG77</f>
        <v>0</v>
      </c>
      <c r="AH77" s="60">
        <f>'EAST-EGM-GL'!AJ77+'EAST-LRC-GL'!AJ77</f>
        <v>0</v>
      </c>
      <c r="AI77" s="38">
        <f>'EAST-EGM-GL'!AK77+'EAST-LRC-GL'!AK77</f>
        <v>0</v>
      </c>
      <c r="AJ77" s="60">
        <f>'EAST-EGM-GL'!AN77+'EAST-LRC-GL'!AN77</f>
        <v>0</v>
      </c>
      <c r="AK77" s="38">
        <f>'EAST-EGM-GL'!AO77+'EAST-LRC-GL'!AO77</f>
        <v>0</v>
      </c>
      <c r="AL77" s="60">
        <f>'EAST-EGM-GL'!AP77+'EAST-LRC-GL'!AP77</f>
        <v>0</v>
      </c>
      <c r="AM77" s="38">
        <f>'EAST-EGM-GL'!AQ77+'EAST-LRC-GL'!AQ77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'EAST-EGM-GL'!AF78+'EAST-LRC-GL'!AF78</f>
        <v>0</v>
      </c>
      <c r="AG78" s="38">
        <f>'EAST-EGM-GL'!AG78+'EAST-LRC-GL'!AG78</f>
        <v>0</v>
      </c>
      <c r="AH78" s="60">
        <f>'EAST-EGM-GL'!AJ78+'EAST-LRC-GL'!AJ78</f>
        <v>0</v>
      </c>
      <c r="AI78" s="38">
        <f>'EAST-EGM-GL'!AK78+'EAST-LRC-GL'!AK78</f>
        <v>0</v>
      </c>
      <c r="AJ78" s="60">
        <f>'EAST-EGM-GL'!AN78+'EAST-LRC-GL'!AN78</f>
        <v>0</v>
      </c>
      <c r="AK78" s="38">
        <f>'EAST-EGM-GL'!AO78+'EAST-LRC-GL'!AO78</f>
        <v>0</v>
      </c>
      <c r="AL78" s="60">
        <f>'EAST-EGM-GL'!AP78+'EAST-LRC-GL'!AP78</f>
        <v>0</v>
      </c>
      <c r="AM78" s="38">
        <f>'EAST-EGM-GL'!AQ78+'EAST-LRC-GL'!AQ78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224706</v>
      </c>
      <c r="F79" s="60">
        <f>('TIE-OUT'!J79+'TIE-OUT'!H79)+(RECLASS!J79+RECLASS!H79)</f>
        <v>0</v>
      </c>
      <c r="G79" s="60">
        <f>('TIE-OUT'!K79+'TIE-OUT'!I79)+(RECLASS!K79+RECLASS!I79)</f>
        <v>224706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'EAST-EGM-GL'!AF79+'EAST-LRC-GL'!AF79</f>
        <v>0</v>
      </c>
      <c r="AG79" s="38">
        <f>'EAST-EGM-GL'!AG79+'EAST-LRC-GL'!AG79</f>
        <v>0</v>
      </c>
      <c r="AH79" s="60">
        <f>'EAST-EGM-GL'!AJ79+'EAST-LRC-GL'!AJ79</f>
        <v>0</v>
      </c>
      <c r="AI79" s="38">
        <f>'EAST-EGM-GL'!AK79+'EAST-LRC-GL'!AK79</f>
        <v>0</v>
      </c>
      <c r="AJ79" s="60">
        <f>'EAST-EGM-GL'!AN79+'EAST-LRC-GL'!AN79</f>
        <v>0</v>
      </c>
      <c r="AK79" s="38">
        <f>'EAST-EGM-GL'!AO79+'EAST-LRC-GL'!AO79</f>
        <v>0</v>
      </c>
      <c r="AL79" s="60">
        <f>'EAST-EGM-GL'!AP79+'EAST-LRC-GL'!AP79</f>
        <v>0</v>
      </c>
      <c r="AM79" s="38">
        <f>'EAST-EGM-GL'!AQ79+'EAST-LRC-GL'!AQ79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'EAST-EGM-GL'!AF80+'EAST-LRC-GL'!AF80</f>
        <v>0</v>
      </c>
      <c r="AG80" s="38">
        <f>'EAST-EGM-GL'!AG80+'EAST-LRC-GL'!AG80</f>
        <v>0</v>
      </c>
      <c r="AH80" s="60">
        <f>'EAST-EGM-GL'!AJ80+'EAST-LRC-GL'!AJ80</f>
        <v>0</v>
      </c>
      <c r="AI80" s="38">
        <f>'EAST-EGM-GL'!AK80+'EAST-LRC-GL'!AK80</f>
        <v>0</v>
      </c>
      <c r="AJ80" s="60">
        <f>'EAST-EGM-GL'!AN80+'EAST-LRC-GL'!AN80</f>
        <v>0</v>
      </c>
      <c r="AK80" s="38">
        <f>'EAST-EGM-GL'!AO80+'EAST-LRC-GL'!AO80</f>
        <v>0</v>
      </c>
      <c r="AL80" s="60">
        <f>'EAST-EGM-GL'!AP80+'EAST-LRC-GL'!AP80</f>
        <v>0</v>
      </c>
      <c r="AM80" s="38">
        <f>'EAST-EGM-GL'!AQ80+'EAST-LRC-GL'!AQ80</f>
        <v>0</v>
      </c>
    </row>
    <row r="81" spans="1:71" x14ac:dyDescent="0.25">
      <c r="A81" s="9">
        <v>40</v>
      </c>
      <c r="B81" s="3"/>
      <c r="C81" s="10" t="s">
        <v>81</v>
      </c>
      <c r="D81" s="60">
        <f t="shared" si="34"/>
        <v>1116361</v>
      </c>
      <c r="E81" s="38">
        <f t="shared" si="35"/>
        <v>789835.96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1116361</v>
      </c>
      <c r="I81" s="38">
        <f>'EAST-EGM-GL'!I81+'EAST-LRC-GL'!I81</f>
        <v>750268.76</v>
      </c>
      <c r="J81" s="60">
        <f>'EAST-EGM-GL'!J81+'EAST-LRC-GL'!J81</f>
        <v>0</v>
      </c>
      <c r="K81" s="38">
        <f>'EAST-EGM-GL'!K81+'EAST-LRC-GL'!K81</f>
        <v>39567.199999999997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'EAST-EGM-GL'!AF81+'EAST-LRC-GL'!AF81</f>
        <v>0</v>
      </c>
      <c r="AG81" s="38">
        <f>'EAST-EGM-GL'!AG81+'EAST-LRC-GL'!AG81</f>
        <v>0</v>
      </c>
      <c r="AH81" s="60">
        <f>'EAST-EGM-GL'!AJ81+'EAST-LRC-GL'!AJ81</f>
        <v>0</v>
      </c>
      <c r="AI81" s="38">
        <f>'EAST-EGM-GL'!AK81+'EAST-LRC-GL'!AK81</f>
        <v>0</v>
      </c>
      <c r="AJ81" s="60">
        <f>'EAST-EGM-GL'!AN81+'EAST-LRC-GL'!AN81</f>
        <v>0</v>
      </c>
      <c r="AK81" s="38">
        <f>'EAST-EGM-GL'!AO81+'EAST-LRC-GL'!AO81</f>
        <v>0</v>
      </c>
      <c r="AL81" s="60">
        <f>'EAST-EGM-GL'!AP81+'EAST-LRC-GL'!AP81</f>
        <v>0</v>
      </c>
      <c r="AM81" s="38">
        <f>'EAST-EGM-GL'!AQ81+'EAST-LRC-GL'!AQ81</f>
        <v>0</v>
      </c>
    </row>
    <row r="82" spans="1:71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2250</v>
      </c>
      <c r="E82" s="93">
        <f>SUM(E72:E81)+E16+E24+E29+E36+E43+E45+E47+E49+E51+E56+E61+E66</f>
        <v>-1911174.4050000212</v>
      </c>
      <c r="F82" s="92">
        <f>F16+F24+F29+F36+F43+F45+F47+F49</f>
        <v>0</v>
      </c>
      <c r="G82" s="93">
        <f>SUM(G72:G81)+G16+G24+G29+G36+G43+G45+G47+G49+G51+G56+G61+G66</f>
        <v>-3741924.08</v>
      </c>
      <c r="H82" s="92">
        <f>H16+H24+H29+H36+H43+H45+H47+H49</f>
        <v>2250</v>
      </c>
      <c r="I82" s="93">
        <f>SUM(I72:I81)+I16+I24+I29+I36+I43+I45+I47+I49+I51+I56+I61+I66</f>
        <v>3975612.9790000161</v>
      </c>
      <c r="J82" s="92">
        <f>J16+J24+J29+J36+J43+J45+J47+J49</f>
        <v>0</v>
      </c>
      <c r="K82" s="93">
        <f>SUM(K72:K81)+K16+K24+K29+K36+K43+K45+K47+K49+K51+K56+K61+K66</f>
        <v>14738600.435000002</v>
      </c>
      <c r="L82" s="92">
        <f>L16+L24+L29+L36+L43+L45+L47+L49</f>
        <v>0</v>
      </c>
      <c r="M82" s="93">
        <f>SUM(M72:M81)+M16+M24+M29+M36+M43+M45+M47+M49+M51+M56+M61+M66</f>
        <v>-56217.350000000311</v>
      </c>
      <c r="N82" s="92">
        <f>N16+N24+N29+N36+N43+N45+N47+N49</f>
        <v>0</v>
      </c>
      <c r="O82" s="93">
        <f>SUM(O72:O81)+O16+O24+O29+O36+O43+O45+O47+O49+O51+O56+O61+O66</f>
        <v>-82113.101000000024</v>
      </c>
      <c r="P82" s="92">
        <f>P16+P24+P29+P36+P43+P45+P47+P49</f>
        <v>0</v>
      </c>
      <c r="Q82" s="93">
        <f>SUM(Q72:Q81)+Q16+Q24+Q29+Q36+Q43+Q45+Q47+Q49+Q51+Q56+Q61+Q66</f>
        <v>-16312452.987000002</v>
      </c>
      <c r="R82" s="92">
        <f>R16+R24+R29+R36+R43+R45+R47+R49</f>
        <v>0</v>
      </c>
      <c r="S82" s="93">
        <f>SUM(S72:S81)+S16+S24+S29+S36+S43+S45+S47+S49+S51+S56+S61+S66</f>
        <v>-146467.64800000004</v>
      </c>
      <c r="T82" s="92">
        <f>T16+T24+T29+T36+T43+T45+T47+T49</f>
        <v>0</v>
      </c>
      <c r="U82" s="93">
        <f>SUM(U72:U81)+U16+U24+U29+U36+U43+U45+U47+U49+U51+U56+U61+U66</f>
        <v>-8961.0519999999888</v>
      </c>
      <c r="V82" s="92">
        <f>V16+V24+V29+V36+V43+V45+V47+V49</f>
        <v>0</v>
      </c>
      <c r="W82" s="93">
        <f>SUM(W72:W81)+W16+W24+W29+W36+W43+W45+W47+W49+W51+W56+W61+W66</f>
        <v>-103260.947</v>
      </c>
      <c r="X82" s="92">
        <f>X16+X24+X29+X36+X43+X45+X47+X49</f>
        <v>0</v>
      </c>
      <c r="Y82" s="93">
        <f>SUM(Y72:Y81)+Y16+Y24+Y29+Y36+Y43+Y45+Y47+Y49+Y51+Y56+Y61+Y66</f>
        <v>-99955.82</v>
      </c>
      <c r="Z82" s="92">
        <f>Z16+Z24+Z29+Z36+Z43+Z45+Z47+Z49</f>
        <v>0</v>
      </c>
      <c r="AA82" s="93">
        <f>SUM(AA72:AA81)+AA16+AA24+AA29+AA36+AA43+AA45+AA47+AA49+AA51+AA56+AA61+AA66</f>
        <v>2194.6569999999774</v>
      </c>
      <c r="AB82" s="92">
        <f>AB16+AB24+AB29+AB36+AB43+AB45+AB47+AB49</f>
        <v>0</v>
      </c>
      <c r="AC82" s="93">
        <f>SUM(AC72:AC81)+AC16+AC24+AC29+AC36+AC43+AC45+AC47+AC49+AC51+AC56+AC61+AC66</f>
        <v>-2874.39</v>
      </c>
      <c r="AD82" s="92">
        <f>AD16+AD24+AD29+AD36+AD43+AD45+AD47+AD49</f>
        <v>0</v>
      </c>
      <c r="AE82" s="93">
        <f>SUM(AE72:AE81)+AE16+AE24+AE29+AE36+AE43+AE45+AE47+AE49+AE51+AE56+AE61+AE66</f>
        <v>-61780.003000000004</v>
      </c>
      <c r="AF82" s="92">
        <f>AF16+AF24+AF29+AF36+AF43+AF45+AF47+AF49</f>
        <v>0</v>
      </c>
      <c r="AG82" s="93">
        <f>SUM(AG72:AG81)+AG16+AG24+AG29+AG36+AG43+AG45+AG47+AG49+AG51+AG56+AG61+AG66</f>
        <v>-11575.098000000002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  <c r="E84" s="14">
        <f>+'EAST-LRC-GL'!E82+'EAST-EGM-GL'!E82</f>
        <v>-1911174.4249999714</v>
      </c>
      <c r="G84" s="14">
        <f>+'EAST-LRC-GL'!G82+'EAST-EGM-GL'!G82</f>
        <v>-3741924.0799999996</v>
      </c>
      <c r="I84" s="14">
        <f>+'EAST-LRC-GL'!I82+'EAST-EGM-GL'!I82</f>
        <v>3975612.9790000147</v>
      </c>
      <c r="K84" s="14">
        <f>+'EAST-LRC-GL'!K82+'EAST-EGM-GL'!K82</f>
        <v>14738600.435000004</v>
      </c>
    </row>
    <row r="85" spans="1:71" x14ac:dyDescent="0.25">
      <c r="A85" s="4" t="s">
        <v>183</v>
      </c>
      <c r="B85" s="3"/>
      <c r="F85" s="31"/>
      <c r="G85" s="31"/>
      <c r="H85" s="31"/>
      <c r="I85" s="31"/>
      <c r="L85" s="45"/>
    </row>
    <row r="86" spans="1:71" s="3" customFormat="1" x14ac:dyDescent="0.25">
      <c r="A86" s="172"/>
      <c r="C86" s="10" t="s">
        <v>176</v>
      </c>
      <c r="D86" s="173">
        <f t="shared" ref="D86:E88" si="36">SUM(F86,H86,J86,L86,N86,P86,R86,T86,V86,X86,Z86,AB86,AD86)</f>
        <v>0</v>
      </c>
      <c r="E86" s="173">
        <f t="shared" si="36"/>
        <v>229124</v>
      </c>
      <c r="F86" s="173">
        <f>'EAST-EGM-GL'!F86+'EAST-LRC-GL'!F86</f>
        <v>0</v>
      </c>
      <c r="G86" s="173">
        <f>'EAST-EGM-GL'!G86+'EAST-LRC-GL'!G86</f>
        <v>229124</v>
      </c>
      <c r="H86" s="173">
        <f>'EAST-EGM-GL'!H86+'EAST-LRC-GL'!H86</f>
        <v>0</v>
      </c>
      <c r="I86" s="173">
        <f>'EAST-EGM-GL'!I86+'EAST-LRC-GL'!I86</f>
        <v>0</v>
      </c>
      <c r="J86" s="173">
        <f>'EAST-EGM-GL'!J86+'EAST-LRC-GL'!J86</f>
        <v>0</v>
      </c>
      <c r="K86" s="173">
        <f>'EAST-EGM-GL'!K86+'EAST-LRC-GL'!K86</f>
        <v>0</v>
      </c>
      <c r="L86" s="173">
        <f>'EAST-EGM-GL'!L86+'EAST-LRC-GL'!L86</f>
        <v>0</v>
      </c>
      <c r="M86" s="173">
        <f>'EAST-EGM-GL'!M86+'EAST-LRC-GL'!M86</f>
        <v>0</v>
      </c>
      <c r="N86" s="173">
        <f>'EAST-EGM-GL'!N86+'EAST-LRC-GL'!N86</f>
        <v>0</v>
      </c>
      <c r="O86" s="173">
        <f>'EAST-EGM-GL'!O86+'EAST-LRC-GL'!O86</f>
        <v>0</v>
      </c>
      <c r="P86" s="173">
        <f>'EAST-EGM-GL'!P86+'EAST-LRC-GL'!P86</f>
        <v>0</v>
      </c>
      <c r="Q86" s="173">
        <f>'EAST-EGM-GL'!Q86+'EAST-LRC-GL'!Q86</f>
        <v>0</v>
      </c>
      <c r="R86" s="173">
        <f>'EAST-EGM-GL'!R86+'EAST-LRC-GL'!R86</f>
        <v>0</v>
      </c>
      <c r="S86" s="173">
        <f>'EAST-EGM-GL'!S86+'EAST-LRC-GL'!S86</f>
        <v>0</v>
      </c>
      <c r="T86" s="173">
        <f>'EAST-EGM-GL'!T86+'EAST-LRC-GL'!T86</f>
        <v>0</v>
      </c>
      <c r="U86" s="173">
        <f>'EAST-EGM-GL'!U86+'EAST-LRC-GL'!U86</f>
        <v>0</v>
      </c>
      <c r="V86" s="173">
        <f>'EAST-EGM-GL'!V86+'EAST-LRC-GL'!V86</f>
        <v>0</v>
      </c>
      <c r="W86" s="173">
        <f>'EAST-EGM-GL'!W86+'EAST-LRC-GL'!W86</f>
        <v>0</v>
      </c>
      <c r="X86" s="173">
        <f>'EAST-EGM-GL'!X86+'EAST-LRC-GL'!X86</f>
        <v>0</v>
      </c>
      <c r="Y86" s="173">
        <f>'EAST-EGM-GL'!Y86+'EAST-LRC-GL'!Y86</f>
        <v>0</v>
      </c>
      <c r="Z86" s="173">
        <f>'EAST-EGM-GL'!Z86+'EAST-LRC-GL'!Z86</f>
        <v>0</v>
      </c>
      <c r="AA86" s="173">
        <f>'EAST-EGM-GL'!AA86+'EAST-LRC-GL'!AA86</f>
        <v>0</v>
      </c>
      <c r="AB86" s="173">
        <f>'EAST-EGM-GL'!AB86+'EAST-LRC-GL'!AB86</f>
        <v>0</v>
      </c>
      <c r="AC86" s="173">
        <f>'EAST-EGM-GL'!AC86+'EAST-LRC-GL'!AC86</f>
        <v>0</v>
      </c>
      <c r="AD86" s="173">
        <f>'EAST-EGM-GL'!AD86+'EAST-LRC-GL'!AD86</f>
        <v>0</v>
      </c>
      <c r="AE86" s="173">
        <f>'EAST-EGM-GL'!AE86+'EAST-LRC-GL'!AE86</f>
        <v>0</v>
      </c>
      <c r="AF86" s="173">
        <f>'EAST-EGM-GL'!AF86+'EAST-LRC-GL'!AF86</f>
        <v>0</v>
      </c>
      <c r="AG86" s="173">
        <f>'EAST-EGM-GL'!AG86+'EAST-LRC-GL'!AG86</f>
        <v>0</v>
      </c>
      <c r="AH86" s="173">
        <f>'EAST-EGM-GL'!AJ86+'EAST-LRC-GL'!AJ86</f>
        <v>0</v>
      </c>
      <c r="AI86" s="173">
        <f>'EAST-EGM-GL'!AK86+'EAST-LRC-GL'!AK86</f>
        <v>0</v>
      </c>
      <c r="AJ86" s="173">
        <f>'EAST-EGM-GL'!AN86+'EAST-LRC-GL'!AN86</f>
        <v>0</v>
      </c>
      <c r="AK86" s="173">
        <f>'EAST-EGM-GL'!AO86+'EAST-LRC-GL'!AO86</f>
        <v>0</v>
      </c>
      <c r="AL86" s="173">
        <f>'EAST-EGM-GL'!AP86+'EAST-LRC-GL'!AP86</f>
        <v>0</v>
      </c>
      <c r="AM86" s="173">
        <f>'EAST-EGM-GL'!AQ86+'EAST-LRC-GL'!AQ86</f>
        <v>0</v>
      </c>
    </row>
    <row r="87" spans="1:71" s="3" customFormat="1" x14ac:dyDescent="0.25">
      <c r="A87" s="172"/>
      <c r="C87" s="10" t="s">
        <v>74</v>
      </c>
      <c r="D87" s="174">
        <f t="shared" si="36"/>
        <v>0</v>
      </c>
      <c r="E87" s="174">
        <f t="shared" si="36"/>
        <v>0</v>
      </c>
      <c r="F87" s="174">
        <f>'EAST-EGM-GL'!F87+'EAST-LRC-GL'!F87</f>
        <v>0</v>
      </c>
      <c r="G87" s="174">
        <f>'EAST-EGM-GL'!G87+'EAST-LRC-GL'!G87</f>
        <v>0</v>
      </c>
      <c r="H87" s="174">
        <f>'EAST-EGM-GL'!H87+'EAST-LRC-GL'!H87</f>
        <v>0</v>
      </c>
      <c r="I87" s="174">
        <f>'EAST-EGM-GL'!I87+'EAST-LRC-GL'!I87</f>
        <v>0</v>
      </c>
      <c r="J87" s="174">
        <f>'EAST-EGM-GL'!J87+'EAST-LRC-GL'!J87</f>
        <v>0</v>
      </c>
      <c r="K87" s="174">
        <f>'EAST-EGM-GL'!K87+'EAST-LRC-GL'!K87</f>
        <v>0</v>
      </c>
      <c r="L87" s="174">
        <f>'EAST-EGM-GL'!L87+'EAST-LRC-GL'!L87</f>
        <v>0</v>
      </c>
      <c r="M87" s="174">
        <f>'EAST-EGM-GL'!M87+'EAST-LRC-GL'!M87</f>
        <v>0</v>
      </c>
      <c r="N87" s="174">
        <f>'EAST-EGM-GL'!N87+'EAST-LRC-GL'!N87</f>
        <v>0</v>
      </c>
      <c r="O87" s="174">
        <f>'EAST-EGM-GL'!O87+'EAST-LRC-GL'!O87</f>
        <v>0</v>
      </c>
      <c r="P87" s="174">
        <f>'EAST-EGM-GL'!P87+'EAST-LRC-GL'!P87</f>
        <v>0</v>
      </c>
      <c r="Q87" s="174">
        <f>'EAST-EGM-GL'!Q87+'EAST-LRC-GL'!Q87</f>
        <v>0</v>
      </c>
      <c r="R87" s="174">
        <f>'EAST-EGM-GL'!R87+'EAST-LRC-GL'!R87</f>
        <v>0</v>
      </c>
      <c r="S87" s="174">
        <f>'EAST-EGM-GL'!S87+'EAST-LRC-GL'!S87</f>
        <v>0</v>
      </c>
      <c r="T87" s="174">
        <f>'EAST-EGM-GL'!T87+'EAST-LRC-GL'!T87</f>
        <v>0</v>
      </c>
      <c r="U87" s="174">
        <f>'EAST-EGM-GL'!U87+'EAST-LRC-GL'!U87</f>
        <v>0</v>
      </c>
      <c r="V87" s="174">
        <f>'EAST-EGM-GL'!V87+'EAST-LRC-GL'!V87</f>
        <v>0</v>
      </c>
      <c r="W87" s="174">
        <f>'EAST-EGM-GL'!W87+'EAST-LRC-GL'!W87</f>
        <v>0</v>
      </c>
      <c r="X87" s="174">
        <f>'EAST-EGM-GL'!X87+'EAST-LRC-GL'!X87</f>
        <v>0</v>
      </c>
      <c r="Y87" s="174">
        <f>'EAST-EGM-GL'!Y87+'EAST-LRC-GL'!Y87</f>
        <v>0</v>
      </c>
      <c r="Z87" s="174">
        <f>'EAST-EGM-GL'!Z87+'EAST-LRC-GL'!Z87</f>
        <v>0</v>
      </c>
      <c r="AA87" s="174">
        <f>'EAST-EGM-GL'!AA87+'EAST-LRC-GL'!AA87</f>
        <v>0</v>
      </c>
      <c r="AB87" s="174">
        <f>'EAST-EGM-GL'!AB87+'EAST-LRC-GL'!AB87</f>
        <v>0</v>
      </c>
      <c r="AC87" s="174">
        <f>'EAST-EGM-GL'!AC87+'EAST-LRC-GL'!AC87</f>
        <v>0</v>
      </c>
      <c r="AD87" s="174">
        <f>'EAST-EGM-GL'!AD87+'EAST-LRC-GL'!AD87</f>
        <v>0</v>
      </c>
      <c r="AE87" s="174">
        <f>'EAST-EGM-GL'!AE87+'EAST-LRC-GL'!AE87</f>
        <v>0</v>
      </c>
      <c r="AF87" s="174">
        <f>'EAST-EGM-GL'!AF87+'EAST-LRC-GL'!AF87</f>
        <v>0</v>
      </c>
      <c r="AG87" s="174">
        <f>'EAST-EGM-GL'!AG87+'EAST-LRC-GL'!AG87</f>
        <v>0</v>
      </c>
      <c r="AH87" s="174">
        <f>'EAST-EGM-GL'!AJ87+'EAST-LRC-GL'!AJ87</f>
        <v>0</v>
      </c>
      <c r="AI87" s="174">
        <f>'EAST-EGM-GL'!AK87+'EAST-LRC-GL'!AK87</f>
        <v>0</v>
      </c>
      <c r="AJ87" s="174">
        <f>'EAST-EGM-GL'!AN87+'EAST-LRC-GL'!AN87</f>
        <v>0</v>
      </c>
      <c r="AK87" s="174">
        <f>'EAST-EGM-GL'!AO87+'EAST-LRC-GL'!AO87</f>
        <v>0</v>
      </c>
      <c r="AL87" s="174">
        <f>'EAST-EGM-GL'!AP87+'EAST-LRC-GL'!AP87</f>
        <v>0</v>
      </c>
      <c r="AM87" s="174">
        <f>'EAST-EGM-GL'!AQ87+'EAST-LRC-GL'!AQ87</f>
        <v>0</v>
      </c>
    </row>
    <row r="88" spans="1:71" s="3" customFormat="1" x14ac:dyDescent="0.25">
      <c r="A88" s="172"/>
      <c r="C88" s="10" t="s">
        <v>75</v>
      </c>
      <c r="D88" s="175">
        <f t="shared" si="36"/>
        <v>0</v>
      </c>
      <c r="E88" s="175">
        <f t="shared" si="36"/>
        <v>-9800</v>
      </c>
      <c r="F88" s="175">
        <f>'EAST-EGM-GL'!F88+'EAST-LRC-GL'!F88</f>
        <v>0</v>
      </c>
      <c r="G88" s="175">
        <f>'EAST-EGM-GL'!G88+'EAST-LRC-GL'!G88</f>
        <v>-9800</v>
      </c>
      <c r="H88" s="175">
        <f>'EAST-EGM-GL'!H88+'EAST-LRC-GL'!H88</f>
        <v>0</v>
      </c>
      <c r="I88" s="175">
        <f>'EAST-EGM-GL'!I88+'EAST-LRC-GL'!I88</f>
        <v>0</v>
      </c>
      <c r="J88" s="175">
        <f>'EAST-EGM-GL'!J88+'EAST-LRC-GL'!J88</f>
        <v>0</v>
      </c>
      <c r="K88" s="175">
        <f>'EAST-EGM-GL'!K88+'EAST-LRC-GL'!K88</f>
        <v>0</v>
      </c>
      <c r="L88" s="175">
        <f>'EAST-EGM-GL'!L88+'EAST-LRC-GL'!L88</f>
        <v>0</v>
      </c>
      <c r="M88" s="175">
        <f>'EAST-EGM-GL'!M88+'EAST-LRC-GL'!M88</f>
        <v>0</v>
      </c>
      <c r="N88" s="175">
        <f>'EAST-EGM-GL'!N88+'EAST-LRC-GL'!N88</f>
        <v>0</v>
      </c>
      <c r="O88" s="175">
        <f>'EAST-EGM-GL'!O88+'EAST-LRC-GL'!O88</f>
        <v>0</v>
      </c>
      <c r="P88" s="175">
        <f>'EAST-EGM-GL'!P88+'EAST-LRC-GL'!P88</f>
        <v>0</v>
      </c>
      <c r="Q88" s="175">
        <f>'EAST-EGM-GL'!Q88+'EAST-LRC-GL'!Q88</f>
        <v>0</v>
      </c>
      <c r="R88" s="175">
        <f>'EAST-EGM-GL'!R88+'EAST-LRC-GL'!R88</f>
        <v>0</v>
      </c>
      <c r="S88" s="175">
        <f>'EAST-EGM-GL'!S88+'EAST-LRC-GL'!S88</f>
        <v>0</v>
      </c>
      <c r="T88" s="175">
        <f>'EAST-EGM-GL'!T88+'EAST-LRC-GL'!T88</f>
        <v>0</v>
      </c>
      <c r="U88" s="175">
        <f>'EAST-EGM-GL'!U88+'EAST-LRC-GL'!U88</f>
        <v>0</v>
      </c>
      <c r="V88" s="175">
        <f>'EAST-EGM-GL'!V88+'EAST-LRC-GL'!V88</f>
        <v>0</v>
      </c>
      <c r="W88" s="175">
        <f>'EAST-EGM-GL'!W88+'EAST-LRC-GL'!W88</f>
        <v>0</v>
      </c>
      <c r="X88" s="175">
        <f>'EAST-EGM-GL'!X88+'EAST-LRC-GL'!X88</f>
        <v>0</v>
      </c>
      <c r="Y88" s="175">
        <f>'EAST-EGM-GL'!Y88+'EAST-LRC-GL'!Y88</f>
        <v>0</v>
      </c>
      <c r="Z88" s="175">
        <f>'EAST-EGM-GL'!Z88+'EAST-LRC-GL'!Z88</f>
        <v>0</v>
      </c>
      <c r="AA88" s="175">
        <f>'EAST-EGM-GL'!AA88+'EAST-LRC-GL'!AA88</f>
        <v>0</v>
      </c>
      <c r="AB88" s="175">
        <f>'EAST-EGM-GL'!AB88+'EAST-LRC-GL'!AB88</f>
        <v>0</v>
      </c>
      <c r="AC88" s="175">
        <f>'EAST-EGM-GL'!AC88+'EAST-LRC-GL'!AC88</f>
        <v>0</v>
      </c>
      <c r="AD88" s="175">
        <f>'EAST-EGM-GL'!AD88+'EAST-LRC-GL'!AD88</f>
        <v>0</v>
      </c>
      <c r="AE88" s="175">
        <f>'EAST-EGM-GL'!AE88+'EAST-LRC-GL'!AE88</f>
        <v>0</v>
      </c>
      <c r="AF88" s="175">
        <f>'EAST-EGM-GL'!AF88+'EAST-LRC-GL'!AF88</f>
        <v>0</v>
      </c>
      <c r="AG88" s="175">
        <f>'EAST-EGM-GL'!AG88+'EAST-LRC-GL'!AG88</f>
        <v>0</v>
      </c>
      <c r="AH88" s="175">
        <f>'EAST-EGM-GL'!AJ88+'EAST-LRC-GL'!AJ88</f>
        <v>0</v>
      </c>
      <c r="AI88" s="175">
        <f>'EAST-EGM-GL'!AK88+'EAST-LRC-GL'!AK88</f>
        <v>0</v>
      </c>
      <c r="AJ88" s="175">
        <f>'EAST-EGM-GL'!AN88+'EAST-LRC-GL'!AN88</f>
        <v>0</v>
      </c>
      <c r="AK88" s="175">
        <f>'EAST-EGM-GL'!AO88+'EAST-LRC-GL'!AO88</f>
        <v>0</v>
      </c>
      <c r="AL88" s="175">
        <f>'EAST-EGM-GL'!AP88+'EAST-LRC-GL'!AP88</f>
        <v>0</v>
      </c>
      <c r="AM88" s="175">
        <f>'EAST-EGM-GL'!AQ88+'EAST-LRC-GL'!AQ88</f>
        <v>0</v>
      </c>
    </row>
    <row r="89" spans="1:71" s="44" customFormat="1" ht="20.25" customHeight="1" x14ac:dyDescent="0.25">
      <c r="A89" s="179"/>
      <c r="B89" s="180"/>
      <c r="C89" s="185" t="s">
        <v>179</v>
      </c>
      <c r="D89" s="183">
        <f>SUM(D86:D88)</f>
        <v>0</v>
      </c>
      <c r="E89" s="183">
        <f t="shared" ref="E89:M89" si="37">SUM(E86:E88)</f>
        <v>219324</v>
      </c>
      <c r="F89" s="183">
        <f t="shared" si="37"/>
        <v>0</v>
      </c>
      <c r="G89" s="183">
        <f t="shared" si="37"/>
        <v>219324</v>
      </c>
      <c r="H89" s="183">
        <f t="shared" si="37"/>
        <v>0</v>
      </c>
      <c r="I89" s="183">
        <f t="shared" si="37"/>
        <v>0</v>
      </c>
      <c r="J89" s="183">
        <f t="shared" si="37"/>
        <v>0</v>
      </c>
      <c r="K89" s="183">
        <f t="shared" si="37"/>
        <v>0</v>
      </c>
      <c r="L89" s="183">
        <f t="shared" si="37"/>
        <v>0</v>
      </c>
      <c r="M89" s="183">
        <f t="shared" si="37"/>
        <v>0</v>
      </c>
      <c r="N89" s="183">
        <f t="shared" ref="N89:AE89" si="38">SUM(N86:N88)</f>
        <v>0</v>
      </c>
      <c r="O89" s="183">
        <f t="shared" si="38"/>
        <v>0</v>
      </c>
      <c r="P89" s="183">
        <f t="shared" si="38"/>
        <v>0</v>
      </c>
      <c r="Q89" s="183">
        <f t="shared" si="38"/>
        <v>0</v>
      </c>
      <c r="R89" s="183">
        <f t="shared" si="38"/>
        <v>0</v>
      </c>
      <c r="S89" s="183">
        <f t="shared" si="38"/>
        <v>0</v>
      </c>
      <c r="T89" s="183">
        <f t="shared" si="38"/>
        <v>0</v>
      </c>
      <c r="U89" s="183">
        <f t="shared" si="38"/>
        <v>0</v>
      </c>
      <c r="V89" s="183">
        <f t="shared" si="38"/>
        <v>0</v>
      </c>
      <c r="W89" s="183">
        <f t="shared" si="38"/>
        <v>0</v>
      </c>
      <c r="X89" s="183">
        <f t="shared" si="38"/>
        <v>0</v>
      </c>
      <c r="Y89" s="183">
        <f t="shared" si="38"/>
        <v>0</v>
      </c>
      <c r="Z89" s="183">
        <f t="shared" si="38"/>
        <v>0</v>
      </c>
      <c r="AA89" s="183">
        <f t="shared" si="38"/>
        <v>0</v>
      </c>
      <c r="AB89" s="183">
        <f t="shared" si="38"/>
        <v>0</v>
      </c>
      <c r="AC89" s="183">
        <f t="shared" si="38"/>
        <v>0</v>
      </c>
      <c r="AD89" s="183">
        <f t="shared" si="38"/>
        <v>0</v>
      </c>
      <c r="AE89" s="183">
        <f t="shared" si="38"/>
        <v>0</v>
      </c>
      <c r="AF89" s="183">
        <f t="shared" ref="AF89:AK89" si="39">SUM(AF86:AF88)</f>
        <v>0</v>
      </c>
      <c r="AG89" s="183">
        <f t="shared" si="39"/>
        <v>0</v>
      </c>
      <c r="AH89" s="183">
        <f t="shared" si="39"/>
        <v>0</v>
      </c>
      <c r="AI89" s="183">
        <f t="shared" si="39"/>
        <v>0</v>
      </c>
      <c r="AJ89" s="183">
        <f t="shared" si="39"/>
        <v>0</v>
      </c>
      <c r="AK89" s="183">
        <f t="shared" si="39"/>
        <v>0</v>
      </c>
      <c r="AL89" s="183">
        <f>SUM(AL86:AL88)</f>
        <v>0</v>
      </c>
      <c r="AM89" s="183">
        <f>SUM(AM86:AM88)</f>
        <v>0</v>
      </c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</row>
    <row r="91" spans="1:71" s="143" customFormat="1" ht="20.25" customHeight="1" x14ac:dyDescent="0.25">
      <c r="A91" s="186"/>
      <c r="B91" s="187"/>
      <c r="C91" s="185" t="s">
        <v>182</v>
      </c>
      <c r="D91" s="188">
        <f>+D82+D89</f>
        <v>2250</v>
      </c>
      <c r="E91" s="188">
        <f t="shared" ref="E91:M91" si="40">+E82+E89</f>
        <v>-1691850.4050000212</v>
      </c>
      <c r="F91" s="188">
        <f t="shared" si="40"/>
        <v>0</v>
      </c>
      <c r="G91" s="188">
        <f t="shared" si="40"/>
        <v>-3522600.08</v>
      </c>
      <c r="H91" s="188">
        <f t="shared" si="40"/>
        <v>2250</v>
      </c>
      <c r="I91" s="188">
        <f t="shared" si="40"/>
        <v>3975612.9790000161</v>
      </c>
      <c r="J91" s="188">
        <f t="shared" si="40"/>
        <v>0</v>
      </c>
      <c r="K91" s="188">
        <f t="shared" si="40"/>
        <v>14738600.435000002</v>
      </c>
      <c r="L91" s="188">
        <f t="shared" si="40"/>
        <v>0</v>
      </c>
      <c r="M91" s="188">
        <f t="shared" si="40"/>
        <v>-56217.350000000311</v>
      </c>
      <c r="N91" s="188">
        <f t="shared" ref="N91:AE91" si="41">+N82+N89</f>
        <v>0</v>
      </c>
      <c r="O91" s="188">
        <f t="shared" si="41"/>
        <v>-82113.101000000024</v>
      </c>
      <c r="P91" s="188">
        <f t="shared" si="41"/>
        <v>0</v>
      </c>
      <c r="Q91" s="188">
        <f t="shared" si="41"/>
        <v>-16312452.987000002</v>
      </c>
      <c r="R91" s="188">
        <f t="shared" si="41"/>
        <v>0</v>
      </c>
      <c r="S91" s="188">
        <f t="shared" si="41"/>
        <v>-146467.64800000004</v>
      </c>
      <c r="T91" s="188">
        <f t="shared" si="41"/>
        <v>0</v>
      </c>
      <c r="U91" s="188">
        <f t="shared" si="41"/>
        <v>-8961.0519999999888</v>
      </c>
      <c r="V91" s="188">
        <f t="shared" si="41"/>
        <v>0</v>
      </c>
      <c r="W91" s="188">
        <f t="shared" si="41"/>
        <v>-103260.947</v>
      </c>
      <c r="X91" s="188">
        <f t="shared" si="41"/>
        <v>0</v>
      </c>
      <c r="Y91" s="188">
        <f t="shared" si="41"/>
        <v>-99955.82</v>
      </c>
      <c r="Z91" s="188">
        <f t="shared" si="41"/>
        <v>0</v>
      </c>
      <c r="AA91" s="188">
        <f t="shared" si="41"/>
        <v>2194.6569999999774</v>
      </c>
      <c r="AB91" s="188">
        <f t="shared" si="41"/>
        <v>0</v>
      </c>
      <c r="AC91" s="188">
        <f t="shared" si="41"/>
        <v>-2874.39</v>
      </c>
      <c r="AD91" s="188">
        <f t="shared" si="41"/>
        <v>0</v>
      </c>
      <c r="AE91" s="188">
        <f t="shared" si="41"/>
        <v>-61780.003000000004</v>
      </c>
      <c r="AF91" s="188">
        <f t="shared" ref="AF91:AK91" si="42">+AF82+AF89</f>
        <v>0</v>
      </c>
      <c r="AG91" s="188">
        <f t="shared" si="42"/>
        <v>-11575.098000000002</v>
      </c>
      <c r="AH91" s="188">
        <f t="shared" si="42"/>
        <v>0</v>
      </c>
      <c r="AI91" s="188">
        <f t="shared" si="42"/>
        <v>0</v>
      </c>
      <c r="AJ91" s="188">
        <f t="shared" si="42"/>
        <v>0</v>
      </c>
      <c r="AK91" s="188">
        <f t="shared" si="42"/>
        <v>0</v>
      </c>
      <c r="AL91" s="188">
        <f>+AL82+AL89</f>
        <v>0</v>
      </c>
      <c r="AM91" s="188">
        <f>+AM82+AM89</f>
        <v>0</v>
      </c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M179"/>
  <sheetViews>
    <sheetView zoomScale="75" workbookViewId="0">
      <pane xSplit="3" ySplit="9" topLeftCell="N29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9" width="15.44140625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  <c r="AL11" s="127">
        <f>+Actuals!AI204</f>
        <v>0</v>
      </c>
      <c r="AM11" s="128">
        <f>+Actuals!AJ204</f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  <c r="AL12" s="127">
        <f>+Actuals!AI205</f>
        <v>0</v>
      </c>
      <c r="AM12" s="128">
        <f>+Actuals!AJ205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  <c r="AL13" s="127">
        <f>+Actuals!AI206</f>
        <v>0</v>
      </c>
      <c r="AM13" s="128">
        <f>+Actuals!AJ206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  <c r="AL14" s="127">
        <f>+Actuals!AI207</f>
        <v>0</v>
      </c>
      <c r="AM14" s="128">
        <f>+Actuals!AJ207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  <c r="AL15" s="127">
        <f>+Actuals!AI208</f>
        <v>0</v>
      </c>
      <c r="AM15" s="128">
        <f>+Actuals!AJ208</f>
        <v>0</v>
      </c>
    </row>
    <row r="16" spans="1:39" x14ac:dyDescent="0.25">
      <c r="A16" s="9"/>
      <c r="B16" s="7" t="s">
        <v>33</v>
      </c>
      <c r="C16" s="6"/>
      <c r="D16" s="61">
        <f t="shared" ref="D16:W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  <c r="AL19" s="127">
        <f>+Actuals!AI209</f>
        <v>0</v>
      </c>
      <c r="AM19" s="128">
        <f>+Actuals!AJ209</f>
        <v>0</v>
      </c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  <c r="AL20" s="127">
        <f>+Actuals!AI210</f>
        <v>0</v>
      </c>
      <c r="AM20" s="128">
        <f>+Actuals!AJ210</f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  <c r="AL21" s="127">
        <f>+Actuals!AI211</f>
        <v>0</v>
      </c>
      <c r="AM21" s="128">
        <f>+Actuals!AJ211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  <c r="AL22" s="127">
        <f>+Actuals!AI212</f>
        <v>0</v>
      </c>
      <c r="AM22" s="128">
        <f>+Actuals!AJ212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  <c r="AL23" s="127">
        <f>+Actuals!AI213</f>
        <v>0</v>
      </c>
      <c r="AM23" s="128">
        <f>+Actuals!AJ213</f>
        <v>0</v>
      </c>
    </row>
    <row r="24" spans="1:39" x14ac:dyDescent="0.25">
      <c r="A24" s="9"/>
      <c r="B24" s="7" t="s">
        <v>36</v>
      </c>
      <c r="C24" s="6"/>
      <c r="D24" s="61">
        <f t="shared" ref="D24:W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  <c r="AL27" s="127">
        <f>+Actuals!AI214</f>
        <v>0</v>
      </c>
      <c r="AM27" s="128">
        <f>+Actuals!AJ214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  <c r="AL28" s="127">
        <f>+Actuals!AI215</f>
        <v>0</v>
      </c>
      <c r="AM28" s="128">
        <f>+Actuals!AJ215</f>
        <v>0</v>
      </c>
    </row>
    <row r="29" spans="1:39" x14ac:dyDescent="0.25">
      <c r="A29" s="9"/>
      <c r="B29" s="7" t="s">
        <v>40</v>
      </c>
      <c r="C29" s="18"/>
      <c r="D29" s="61">
        <f t="shared" ref="D29:W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  <c r="AL32" s="127">
        <f>+Actuals!AI216</f>
        <v>0</v>
      </c>
      <c r="AM32" s="128">
        <f>+Actuals!AJ216</f>
        <v>0</v>
      </c>
    </row>
    <row r="33" spans="1:39" x14ac:dyDescent="0.25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  <c r="AL33" s="127">
        <f>+Actuals!AI217</f>
        <v>0</v>
      </c>
      <c r="AM33" s="128">
        <f>+Actuals!AJ217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  <c r="AL34" s="127">
        <f>+Actuals!AI218</f>
        <v>0</v>
      </c>
      <c r="AM34" s="128">
        <f>+Actuals!AJ218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  <c r="AF35" s="127">
        <f>+Actuals!AC219</f>
        <v>0</v>
      </c>
      <c r="AG35" s="128">
        <f>+Actuals!AD219</f>
        <v>0</v>
      </c>
      <c r="AH35" s="127">
        <f>+Actuals!AE219</f>
        <v>0</v>
      </c>
      <c r="AI35" s="128">
        <f>+Actuals!AF219</f>
        <v>0</v>
      </c>
      <c r="AJ35" s="127">
        <f>+Actuals!AG219</f>
        <v>0</v>
      </c>
      <c r="AK35" s="128">
        <f>+Actuals!AH219</f>
        <v>0</v>
      </c>
      <c r="AL35" s="127">
        <f>+Actuals!AI219</f>
        <v>0</v>
      </c>
      <c r="AM35" s="128">
        <f>+Actuals!AJ219</f>
        <v>0</v>
      </c>
    </row>
    <row r="36" spans="1:39" x14ac:dyDescent="0.25">
      <c r="A36" s="9"/>
      <c r="B36" s="7" t="s">
        <v>46</v>
      </c>
      <c r="C36" s="6"/>
      <c r="D36" s="61">
        <f t="shared" ref="D36:W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  <c r="AL39" s="127">
        <f>+Actuals!AI220</f>
        <v>0</v>
      </c>
      <c r="AM39" s="128">
        <f>+Actuals!AJ220</f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  <c r="AL40" s="127">
        <f>+Actuals!AI221</f>
        <v>0</v>
      </c>
      <c r="AM40" s="128">
        <f>+Actuals!AJ221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  <c r="AL41" s="127">
        <f>+Actuals!AI222</f>
        <v>0</v>
      </c>
      <c r="AM41" s="128">
        <f>+Actuals!AJ222</f>
        <v>0</v>
      </c>
    </row>
    <row r="42" spans="1:39" x14ac:dyDescent="0.25">
      <c r="A42" s="9"/>
      <c r="B42" s="7"/>
      <c r="C42" s="53" t="s">
        <v>51</v>
      </c>
      <c r="D42" s="61">
        <f t="shared" ref="D42:W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 t="shared" ref="D43:W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  <c r="AL45" s="127">
        <f>+Actuals!AI223</f>
        <v>0</v>
      </c>
      <c r="AM45" s="128">
        <f>+Actuals!AJ223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  <c r="AL47" s="127">
        <f>+Actuals!AI224</f>
        <v>0</v>
      </c>
      <c r="AM47" s="128">
        <f>+Actuals!AJ224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  <c r="AL49" s="127">
        <f>+Actuals!AI225</f>
        <v>0</v>
      </c>
      <c r="AM49" s="128">
        <f>+Actuals!AJ225</f>
        <v>0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  <c r="AL51" s="127">
        <f>+Actuals!AI226</f>
        <v>0</v>
      </c>
      <c r="AM51" s="128">
        <f>+Actuals!AJ226</f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  <c r="AL54" s="127">
        <f>+Actuals!AI227</f>
        <v>0</v>
      </c>
      <c r="AM54" s="128">
        <f>+Actuals!AJ227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  <c r="AL55" s="127">
        <f>+Actuals!AI228</f>
        <v>0</v>
      </c>
      <c r="AM55" s="128">
        <f>+Actuals!AJ228</f>
        <v>0</v>
      </c>
    </row>
    <row r="56" spans="1:39" x14ac:dyDescent="0.25">
      <c r="A56" s="9"/>
      <c r="B56" s="7" t="s">
        <v>60</v>
      </c>
      <c r="C56" s="6"/>
      <c r="D56" s="61">
        <f t="shared" ref="D56:W56" si="22">SUM(D54:D55)</f>
        <v>0</v>
      </c>
      <c r="E56" s="39">
        <f t="shared" si="22"/>
        <v>0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39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  <c r="AL59" s="127">
        <f>+Actuals!AI229</f>
        <v>0</v>
      </c>
      <c r="AM59" s="128">
        <f>+Actuals!AJ229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  <c r="AL60" s="127">
        <f>+Actuals!AI230</f>
        <v>0</v>
      </c>
      <c r="AM60" s="128">
        <f>+Actuals!AJ230</f>
        <v>0</v>
      </c>
    </row>
    <row r="61" spans="1:39" x14ac:dyDescent="0.25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  <c r="AL64" s="127">
        <f>+Actuals!AI231</f>
        <v>0</v>
      </c>
      <c r="AM64" s="128">
        <f>+Actuals!AJ231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  <c r="AL65" s="127">
        <f>+Actuals!AI232</f>
        <v>0</v>
      </c>
      <c r="AM65" s="128">
        <f>+Actuals!AJ232</f>
        <v>0</v>
      </c>
    </row>
    <row r="66" spans="1:39" x14ac:dyDescent="0.25">
      <c r="A66" s="9"/>
      <c r="B66" s="7" t="s">
        <v>67</v>
      </c>
      <c r="C66" s="6"/>
      <c r="D66" s="61">
        <f t="shared" ref="D66:W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  <c r="AL70" s="127">
        <f>+Actuals!AI233</f>
        <v>0</v>
      </c>
      <c r="AM70" s="128">
        <f>+Actuals!AJ233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  <c r="AL71" s="127">
        <f>+Actuals!AI234</f>
        <v>0</v>
      </c>
      <c r="AM71" s="128">
        <f>+Actuals!AJ234</f>
        <v>0</v>
      </c>
    </row>
    <row r="72" spans="1:39" x14ac:dyDescent="0.25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  <c r="AL73" s="127">
        <f>+Actuals!AI235</f>
        <v>0</v>
      </c>
      <c r="AM73" s="128">
        <f>+Actuals!AJ235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  <c r="AL74" s="127">
        <f>+Actuals!AI236</f>
        <v>0</v>
      </c>
      <c r="AM74" s="128">
        <f>+Actuals!AJ236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  <c r="AL75" s="127">
        <f>+Actuals!AI237</f>
        <v>0</v>
      </c>
      <c r="AM75" s="128">
        <f>+Actuals!AJ237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  <c r="AL76" s="127">
        <f>+Actuals!AI238</f>
        <v>0</v>
      </c>
      <c r="AM76" s="128">
        <f>+Actuals!AJ238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  <c r="AL77" s="127">
        <f>+Actuals!AI239</f>
        <v>0</v>
      </c>
      <c r="AM77" s="128">
        <f>+Actuals!AJ239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  <c r="AL78" s="127">
        <f>+Actuals!AI240</f>
        <v>0</v>
      </c>
      <c r="AM78" s="128">
        <f>+Actuals!AJ240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  <c r="AL79" s="127">
        <f>+Actuals!AI241</f>
        <v>0</v>
      </c>
      <c r="AM79" s="128">
        <f>+Actuals!AJ241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  <c r="AL80" s="127">
        <f>+Actuals!AI242</f>
        <v>0</v>
      </c>
      <c r="AM80" s="128">
        <f>+Actuals!AJ242</f>
        <v>0</v>
      </c>
    </row>
    <row r="81" spans="1:39" x14ac:dyDescent="0.25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  <c r="AL81" s="127">
        <f>+Actuals!AI243</f>
        <v>0</v>
      </c>
      <c r="AM81" s="128">
        <f>+Actuals!AJ243</f>
        <v>0</v>
      </c>
    </row>
    <row r="82" spans="1:39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8" thickTop="1" x14ac:dyDescent="0.25">
      <c r="A83" s="4"/>
      <c r="B83" s="3"/>
    </row>
    <row r="84" spans="1:39" x14ac:dyDescent="0.25">
      <c r="A84" s="4"/>
      <c r="B84" s="3"/>
    </row>
    <row r="85" spans="1:39" x14ac:dyDescent="0.25">
      <c r="A85" s="4"/>
      <c r="B85" s="3"/>
    </row>
    <row r="86" spans="1:39" x14ac:dyDescent="0.25">
      <c r="A86" s="4"/>
      <c r="B86" s="3"/>
    </row>
    <row r="87" spans="1:39" x14ac:dyDescent="0.25">
      <c r="A87" s="4"/>
      <c r="B87" s="3"/>
    </row>
    <row r="88" spans="1:39" x14ac:dyDescent="0.25">
      <c r="A88" s="4"/>
      <c r="B88" s="3"/>
    </row>
    <row r="89" spans="1:39" x14ac:dyDescent="0.25">
      <c r="A89" s="4"/>
      <c r="B89" s="3"/>
    </row>
    <row r="90" spans="1:39" x14ac:dyDescent="0.25">
      <c r="A90" s="4"/>
      <c r="B90" s="3"/>
    </row>
    <row r="91" spans="1:39" x14ac:dyDescent="0.25">
      <c r="A91" s="4"/>
      <c r="B91" s="3"/>
    </row>
    <row r="92" spans="1:39" x14ac:dyDescent="0.25">
      <c r="A92" s="4"/>
      <c r="B92" s="3"/>
    </row>
    <row r="93" spans="1:39" x14ac:dyDescent="0.25">
      <c r="A93" s="4"/>
      <c r="B93" s="3"/>
    </row>
    <row r="94" spans="1:39" x14ac:dyDescent="0.25">
      <c r="A94" s="4"/>
      <c r="B94" s="3"/>
    </row>
    <row r="95" spans="1:39" x14ac:dyDescent="0.25">
      <c r="A95" s="4"/>
      <c r="B95" s="3"/>
    </row>
    <row r="96" spans="1:3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F7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M89" sqref="AM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9" width="15.44140625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47688785</v>
      </c>
      <c r="E11" s="38">
        <f t="shared" si="0"/>
        <v>104001855.53</v>
      </c>
      <c r="F11" s="60">
        <f>'TIE-OUT'!R11+RECLASS!R11</f>
        <v>0</v>
      </c>
      <c r="G11" s="38">
        <f>'TIE-OUT'!S11+RECLASS!S11</f>
        <v>1346250</v>
      </c>
      <c r="H11" s="127">
        <f>+Actuals!E244</f>
        <v>48159423</v>
      </c>
      <c r="I11" s="128">
        <f>+Actuals!F244</f>
        <v>109500227.32000001</v>
      </c>
      <c r="J11" s="127">
        <f>+Actuals!G244</f>
        <v>1633872</v>
      </c>
      <c r="K11" s="147">
        <f>+Actuals!H244</f>
        <v>-2224726.25</v>
      </c>
      <c r="L11" s="127">
        <f>+Actuals!I244</f>
        <v>-1308754</v>
      </c>
      <c r="M11" s="128">
        <f>+Actuals!J244</f>
        <v>-2828581.08</v>
      </c>
      <c r="N11" s="127">
        <f>+Actuals!K244</f>
        <v>-22790</v>
      </c>
      <c r="O11" s="128">
        <f>+Actuals!L244</f>
        <v>-58647.72</v>
      </c>
      <c r="P11" s="127">
        <f>+Actuals!M244</f>
        <v>-522399</v>
      </c>
      <c r="Q11" s="128">
        <f>+Actuals!N244</f>
        <v>-1200987.27</v>
      </c>
      <c r="R11" s="127">
        <f>+Actuals!O244</f>
        <v>-20492</v>
      </c>
      <c r="S11" s="128">
        <f>+Actuals!P244</f>
        <v>-55936.83</v>
      </c>
      <c r="T11" s="127">
        <f>+Actuals!Q244</f>
        <v>0</v>
      </c>
      <c r="U11" s="128">
        <f>+Actuals!R244</f>
        <v>-2131.31</v>
      </c>
      <c r="V11" s="127">
        <f>+Actuals!S444</f>
        <v>0</v>
      </c>
      <c r="W11" s="128">
        <f>+Actuals!T444</f>
        <v>-2827.78</v>
      </c>
      <c r="X11" s="127">
        <f>+Actuals!U444</f>
        <v>-2500</v>
      </c>
      <c r="Y11" s="128">
        <f>+Actuals!V444</f>
        <v>-5530.95</v>
      </c>
      <c r="Z11" s="127">
        <f>+Actuals!W444</f>
        <v>-1261</v>
      </c>
      <c r="AA11" s="128">
        <f>+Actuals!X444</f>
        <v>-2867.75</v>
      </c>
      <c r="AB11" s="127">
        <f>+Actuals!Y444</f>
        <v>27810</v>
      </c>
      <c r="AC11" s="128">
        <f>+Actuals!Z444</f>
        <v>60237.3</v>
      </c>
      <c r="AD11" s="127">
        <f>+Actuals!AA444</f>
        <v>36885</v>
      </c>
      <c r="AE11" s="128">
        <f>+Actuals!AB444</f>
        <v>138526.26999999999</v>
      </c>
      <c r="AF11" s="127">
        <f>+Actuals!AC444</f>
        <v>-291009</v>
      </c>
      <c r="AG11" s="128">
        <f>+Actuals!AD444</f>
        <v>-658417.32999999996</v>
      </c>
      <c r="AH11" s="127">
        <f>+Actuals!AE444</f>
        <v>0</v>
      </c>
      <c r="AI11" s="128">
        <v>-2731.09</v>
      </c>
      <c r="AJ11" s="127">
        <f>+Actuals!AG444</f>
        <v>0</v>
      </c>
      <c r="AK11" s="128">
        <v>0</v>
      </c>
      <c r="AL11" s="127">
        <f>+Actuals!AI444</f>
        <v>0</v>
      </c>
      <c r="AM11" s="128"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-3223285.24</v>
      </c>
      <c r="F12" s="60">
        <f>'TIE-OUT'!R12+RECLASS!R12</f>
        <v>0</v>
      </c>
      <c r="G12" s="38">
        <f>'TIE-OUT'!S12+RECLASS!S12</f>
        <v>-3223285.24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60">
        <f>+Actuals!H245</f>
        <v>0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+Actuals!S445</f>
        <v>0</v>
      </c>
      <c r="W12" s="128">
        <f>+Actuals!T445</f>
        <v>0</v>
      </c>
      <c r="X12" s="127">
        <f>+Actuals!U445</f>
        <v>0</v>
      </c>
      <c r="Y12" s="128">
        <f>+Actuals!V445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  <c r="AL12" s="127">
        <f>+Actuals!AI445</f>
        <v>0</v>
      </c>
      <c r="AM12" s="128">
        <f>+Actuals!AJ445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28708483</v>
      </c>
      <c r="E13" s="38">
        <f t="shared" si="0"/>
        <v>65345130</v>
      </c>
      <c r="F13" s="60">
        <f>'TIE-OUT'!R13+RECLASS!R13</f>
        <v>0</v>
      </c>
      <c r="G13" s="38">
        <f>'TIE-OUT'!S13+RECLASS!S13</f>
        <v>0</v>
      </c>
      <c r="H13" s="127">
        <f>+Actuals!E246</f>
        <v>28708483</v>
      </c>
      <c r="I13" s="128">
        <f>+Actuals!F246</f>
        <v>65345130</v>
      </c>
      <c r="J13" s="127">
        <f>+Actuals!G246</f>
        <v>0</v>
      </c>
      <c r="K13" s="147">
        <f>+Actuals!H246</f>
        <v>0</v>
      </c>
      <c r="L13" s="127">
        <f>+Actuals!I246</f>
        <v>0</v>
      </c>
      <c r="M13" s="128">
        <f>+Actuals!J246</f>
        <v>0</v>
      </c>
      <c r="N13" s="127">
        <f>+Actuals!K246</f>
        <v>0</v>
      </c>
      <c r="O13" s="128">
        <f>+Actuals!L246</f>
        <v>0</v>
      </c>
      <c r="P13" s="127">
        <f>+Actuals!M246</f>
        <v>1457527</v>
      </c>
      <c r="Q13" s="128">
        <f>+Actuals!N246</f>
        <v>3236246</v>
      </c>
      <c r="R13" s="127">
        <f>+Actuals!O246</f>
        <v>1457527</v>
      </c>
      <c r="S13" s="128">
        <f>+Actuals!P246</f>
        <v>3236246</v>
      </c>
      <c r="T13" s="127">
        <f>+Actuals!Q246</f>
        <v>-2915054</v>
      </c>
      <c r="U13" s="128">
        <f>+Actuals!R246</f>
        <v>-6472492</v>
      </c>
      <c r="V13" s="127">
        <f>+Actuals!S446</f>
        <v>2915054</v>
      </c>
      <c r="W13" s="128">
        <f>+Actuals!T446</f>
        <v>6472492</v>
      </c>
      <c r="X13" s="127">
        <f>+Actuals!U446</f>
        <v>0</v>
      </c>
      <c r="Y13" s="128">
        <f>+Actuals!V446</f>
        <v>0</v>
      </c>
      <c r="Z13" s="127">
        <f>+Actuals!W446</f>
        <v>-2915054</v>
      </c>
      <c r="AA13" s="128">
        <f>+Actuals!X446</f>
        <v>-6472492</v>
      </c>
      <c r="AB13" s="127">
        <f>+Actuals!Y446</f>
        <v>0</v>
      </c>
      <c r="AC13" s="128">
        <f>+Actuals!Z446</f>
        <v>0</v>
      </c>
      <c r="AD13" s="127">
        <f>+Actuals!AA446</f>
        <v>0</v>
      </c>
      <c r="AE13" s="128">
        <f>+Actuals!AB446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  <c r="AL13" s="127">
        <f>+Actuals!AI446</f>
        <v>0</v>
      </c>
      <c r="AM13" s="128">
        <f>+Actuals!AJ446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+Actuals!S447</f>
        <v>0</v>
      </c>
      <c r="W14" s="128">
        <f>+Actuals!T447</f>
        <v>0</v>
      </c>
      <c r="X14" s="127">
        <f>+Actuals!U447</f>
        <v>0</v>
      </c>
      <c r="Y14" s="128">
        <f>+Actuals!V447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  <c r="AL14" s="127">
        <f>+Actuals!AI447</f>
        <v>0</v>
      </c>
      <c r="AM14" s="128">
        <f>+Actuals!AJ447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+Actuals!Q248</f>
        <v>0</v>
      </c>
      <c r="U15" s="128">
        <f>+Actuals!R248</f>
        <v>0</v>
      </c>
      <c r="V15" s="127">
        <f>+Actuals!S448</f>
        <v>0</v>
      </c>
      <c r="W15" s="128">
        <f>+Actuals!T448</f>
        <v>0</v>
      </c>
      <c r="X15" s="127">
        <f>+Actuals!U448</f>
        <v>0</v>
      </c>
      <c r="Y15" s="128">
        <f>+Actuals!V448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  <c r="AL15" s="127">
        <f>+Actuals!AI448</f>
        <v>0</v>
      </c>
      <c r="AM15" s="128">
        <f>+Actuals!AJ448</f>
        <v>0</v>
      </c>
    </row>
    <row r="16" spans="1:39" x14ac:dyDescent="0.25">
      <c r="A16" s="9"/>
      <c r="B16" s="7" t="s">
        <v>33</v>
      </c>
      <c r="C16" s="6"/>
      <c r="D16" s="61">
        <f t="shared" ref="D16:W16" si="1">SUM(D11:D15)</f>
        <v>76397268</v>
      </c>
      <c r="E16" s="39">
        <f t="shared" si="1"/>
        <v>166123700.29000002</v>
      </c>
      <c r="F16" s="61">
        <f t="shared" si="1"/>
        <v>0</v>
      </c>
      <c r="G16" s="39">
        <f t="shared" si="1"/>
        <v>-1877035.2400000002</v>
      </c>
      <c r="H16" s="61">
        <f t="shared" si="1"/>
        <v>76867906</v>
      </c>
      <c r="I16" s="39">
        <f t="shared" si="1"/>
        <v>174845357.31999999</v>
      </c>
      <c r="J16" s="61">
        <f t="shared" si="1"/>
        <v>1633872</v>
      </c>
      <c r="K16" s="148">
        <f t="shared" si="1"/>
        <v>-2224726.25</v>
      </c>
      <c r="L16" s="61">
        <f t="shared" si="1"/>
        <v>-1308754</v>
      </c>
      <c r="M16" s="39">
        <f t="shared" si="1"/>
        <v>-2828581.08</v>
      </c>
      <c r="N16" s="61">
        <f t="shared" si="1"/>
        <v>-22790</v>
      </c>
      <c r="O16" s="39">
        <f t="shared" si="1"/>
        <v>-58647.72</v>
      </c>
      <c r="P16" s="61">
        <f t="shared" si="1"/>
        <v>935128</v>
      </c>
      <c r="Q16" s="39">
        <f t="shared" si="1"/>
        <v>2035258.73</v>
      </c>
      <c r="R16" s="61">
        <f t="shared" si="1"/>
        <v>1437035</v>
      </c>
      <c r="S16" s="39">
        <f t="shared" si="1"/>
        <v>3180309.17</v>
      </c>
      <c r="T16" s="61">
        <f t="shared" si="1"/>
        <v>-2915054</v>
      </c>
      <c r="U16" s="39">
        <f t="shared" si="1"/>
        <v>-6474623.3099999996</v>
      </c>
      <c r="V16" s="61">
        <f t="shared" si="1"/>
        <v>2915054</v>
      </c>
      <c r="W16" s="39">
        <f t="shared" si="1"/>
        <v>6469664.2199999997</v>
      </c>
      <c r="X16" s="61">
        <f t="shared" ref="X16:AC16" si="2">SUM(X11:X15)</f>
        <v>-2500</v>
      </c>
      <c r="Y16" s="39">
        <f t="shared" si="2"/>
        <v>-5530.95</v>
      </c>
      <c r="Z16" s="61">
        <f t="shared" si="2"/>
        <v>-2916315</v>
      </c>
      <c r="AA16" s="39">
        <f t="shared" si="2"/>
        <v>-6475359.75</v>
      </c>
      <c r="AB16" s="61">
        <f t="shared" si="2"/>
        <v>27810</v>
      </c>
      <c r="AC16" s="39">
        <f t="shared" si="2"/>
        <v>60237.3</v>
      </c>
      <c r="AD16" s="61">
        <f t="shared" ref="AD16:AI16" si="3">SUM(AD11:AD15)</f>
        <v>36885</v>
      </c>
      <c r="AE16" s="39">
        <f t="shared" si="3"/>
        <v>138526.26999999999</v>
      </c>
      <c r="AF16" s="61">
        <f t="shared" si="3"/>
        <v>-291009</v>
      </c>
      <c r="AG16" s="39">
        <f t="shared" si="3"/>
        <v>-658417.32999999996</v>
      </c>
      <c r="AH16" s="61">
        <f t="shared" si="3"/>
        <v>0</v>
      </c>
      <c r="AI16" s="39">
        <f t="shared" si="3"/>
        <v>-2731.09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-33592249</v>
      </c>
      <c r="E19" s="38">
        <f t="shared" si="4"/>
        <v>-73128552.680000037</v>
      </c>
      <c r="F19" s="64">
        <f>'TIE-OUT'!R19+RECLASS!R19</f>
        <v>0</v>
      </c>
      <c r="G19" s="68">
        <f>'TIE-OUT'!S19+RECLASS!S19</f>
        <v>0</v>
      </c>
      <c r="H19" s="127">
        <f>+Actuals!E249</f>
        <v>-33064835</v>
      </c>
      <c r="I19" s="128">
        <f>+Actuals!F249</f>
        <v>-71967617.620000005</v>
      </c>
      <c r="J19" s="127">
        <f>+Actuals!G249</f>
        <v>-351128</v>
      </c>
      <c r="K19" s="147">
        <f>+Actuals!H249</f>
        <v>-786601.65</v>
      </c>
      <c r="L19" s="127">
        <f>+Actuals!I249</f>
        <v>158900</v>
      </c>
      <c r="M19" s="128">
        <f>+Actuals!J249</f>
        <v>357534.6</v>
      </c>
      <c r="N19" s="127">
        <f>+Actuals!K249</f>
        <v>-2649</v>
      </c>
      <c r="O19" s="128">
        <f>+Actuals!L249</f>
        <v>-5476.77</v>
      </c>
      <c r="P19" s="127">
        <f>+Actuals!M249</f>
        <v>17202</v>
      </c>
      <c r="Q19" s="128">
        <f>+Actuals!N249</f>
        <v>37236.22</v>
      </c>
      <c r="R19" s="127">
        <f>+Actuals!O249</f>
        <v>-8719</v>
      </c>
      <c r="S19" s="128">
        <f>+Actuals!P249</f>
        <v>-17400.810000000001</v>
      </c>
      <c r="T19" s="127">
        <f>+Actuals!Q249</f>
        <v>0</v>
      </c>
      <c r="U19" s="128">
        <f>+Actuals!R249</f>
        <v>828.66</v>
      </c>
      <c r="V19" s="127">
        <f>+Actuals!S449</f>
        <v>0</v>
      </c>
      <c r="W19" s="128">
        <f>+Actuals!T449</f>
        <v>581.16999999999996</v>
      </c>
      <c r="X19" s="127">
        <f>+Actuals!U449</f>
        <v>8346</v>
      </c>
      <c r="Y19" s="128">
        <f>+Actuals!V449</f>
        <v>17860.439999999999</v>
      </c>
      <c r="Z19" s="127">
        <f>+Actuals!W449</f>
        <v>1261</v>
      </c>
      <c r="AA19" s="128">
        <f>+Actuals!X449</f>
        <v>1590.19</v>
      </c>
      <c r="AB19" s="127">
        <f>+Actuals!Y449</f>
        <v>-39663</v>
      </c>
      <c r="AC19" s="128">
        <f>+Actuals!Z449</f>
        <v>-85846.92</v>
      </c>
      <c r="AD19" s="127">
        <f>+Actuals!AA449</f>
        <v>-302167</v>
      </c>
      <c r="AE19" s="128">
        <f>+Actuals!AB449</f>
        <v>-658009.92000000004</v>
      </c>
      <c r="AF19" s="127">
        <f>+Actuals!AC449</f>
        <v>-18412</v>
      </c>
      <c r="AG19" s="128">
        <f>+Actuals!AD449</f>
        <v>-43260.84</v>
      </c>
      <c r="AH19" s="127">
        <v>9370</v>
      </c>
      <c r="AI19" s="128">
        <v>19864.41</v>
      </c>
      <c r="AJ19" s="127">
        <v>54461</v>
      </c>
      <c r="AK19" s="128">
        <v>118654.91</v>
      </c>
      <c r="AL19" s="127">
        <v>-54216</v>
      </c>
      <c r="AM19" s="128">
        <v>-118488.75</v>
      </c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5455023.3499999996</v>
      </c>
      <c r="F20" s="60">
        <f>'TIE-OUT'!R20+RECLASS!R20</f>
        <v>0</v>
      </c>
      <c r="G20" s="38">
        <f>'TIE-OUT'!S20+RECLASS!S20</f>
        <v>5455023.3499999996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+Actuals!Q250</f>
        <v>0</v>
      </c>
      <c r="U20" s="128">
        <f>+Actuals!R250</f>
        <v>0</v>
      </c>
      <c r="V20" s="127">
        <f>+Actuals!S450</f>
        <v>0</v>
      </c>
      <c r="W20" s="157">
        <v>0</v>
      </c>
      <c r="X20" s="127">
        <f>+Actuals!U450</f>
        <v>0</v>
      </c>
      <c r="Y20" s="128">
        <v>0</v>
      </c>
      <c r="Z20" s="127">
        <f>+Actuals!W450</f>
        <v>0</v>
      </c>
      <c r="AA20" s="128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  <c r="AL20" s="127">
        <f>+Actuals!AI450</f>
        <v>0</v>
      </c>
      <c r="AM20" s="128"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-30437214</v>
      </c>
      <c r="E21" s="38">
        <f t="shared" si="4"/>
        <v>-69190550</v>
      </c>
      <c r="F21" s="60">
        <f>'TIE-OUT'!R21+RECLASS!R21</f>
        <v>0</v>
      </c>
      <c r="G21" s="38">
        <f>'TIE-OUT'!S21+RECLASS!S21</f>
        <v>0</v>
      </c>
      <c r="H21" s="127">
        <f>+Actuals!E251</f>
        <v>-30437214</v>
      </c>
      <c r="I21" s="128">
        <f>+Actuals!F251</f>
        <v>-69190550</v>
      </c>
      <c r="J21" s="127">
        <f>+Actuals!G251</f>
        <v>0</v>
      </c>
      <c r="K21" s="147">
        <f>+Actuals!H251</f>
        <v>0</v>
      </c>
      <c r="L21" s="127">
        <f>+Actuals!I251</f>
        <v>271205</v>
      </c>
      <c r="M21" s="128">
        <f>+Actuals!J251</f>
        <v>609175</v>
      </c>
      <c r="N21" s="127">
        <f>+Actuals!K251</f>
        <v>0</v>
      </c>
      <c r="O21" s="128">
        <f>+Actuals!L251</f>
        <v>0</v>
      </c>
      <c r="P21" s="127">
        <f>+Actuals!M251</f>
        <v>-1457527</v>
      </c>
      <c r="Q21" s="128">
        <f>+Actuals!N251</f>
        <v>-3236246</v>
      </c>
      <c r="R21" s="127">
        <f>+Actuals!O251</f>
        <v>-1457527</v>
      </c>
      <c r="S21" s="128">
        <f>+Actuals!P251</f>
        <v>-3236246</v>
      </c>
      <c r="T21" s="127">
        <f>+Actuals!Q251</f>
        <v>2643849</v>
      </c>
      <c r="U21" s="128">
        <f>+Actuals!R251</f>
        <v>5863317</v>
      </c>
      <c r="V21" s="127">
        <f>+Actuals!S451</f>
        <v>-2643849</v>
      </c>
      <c r="W21" s="128">
        <f>+Actuals!T451</f>
        <v>-5863317</v>
      </c>
      <c r="X21" s="127">
        <f>+Actuals!U451</f>
        <v>0</v>
      </c>
      <c r="Y21" s="128">
        <f>+Actuals!V451</f>
        <v>0</v>
      </c>
      <c r="Z21" s="127">
        <f>+Actuals!W451</f>
        <v>2643849</v>
      </c>
      <c r="AA21" s="128">
        <f>+Actuals!X451</f>
        <v>5863317</v>
      </c>
      <c r="AB21" s="127">
        <f>+Actuals!Y451</f>
        <v>0</v>
      </c>
      <c r="AC21" s="128">
        <f>+Actuals!Z451</f>
        <v>0</v>
      </c>
      <c r="AD21" s="127">
        <f>+Actuals!AA451</f>
        <v>0</v>
      </c>
      <c r="AE21" s="128">
        <f>+Actuals!AB451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  <c r="AL21" s="127">
        <f>+Actuals!AI451</f>
        <v>0</v>
      </c>
      <c r="AM21" s="128">
        <f>+Actuals!AJ451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+Actuals!S452</f>
        <v>0</v>
      </c>
      <c r="W22" s="128">
        <f>+Actuals!T452</f>
        <v>0</v>
      </c>
      <c r="X22" s="127">
        <f>+Actuals!U452</f>
        <v>0</v>
      </c>
      <c r="Y22" s="128">
        <f>+Actuals!V452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  <c r="AL22" s="127">
        <f>+Actuals!AI452</f>
        <v>0</v>
      </c>
      <c r="AM22" s="128">
        <f>+Actuals!AJ452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2985</v>
      </c>
      <c r="E23" s="38">
        <f t="shared" si="4"/>
        <v>6510.2849999999999</v>
      </c>
      <c r="F23" s="81">
        <f>'TIE-OUT'!R23+RECLASS!R23</f>
        <v>0</v>
      </c>
      <c r="G23" s="82">
        <f>'TIE-OUT'!S23+RECLASS!S23</f>
        <v>0</v>
      </c>
      <c r="H23" s="127">
        <f>+Actuals!E253</f>
        <v>60</v>
      </c>
      <c r="I23" s="128">
        <f>+Actuals!F253</f>
        <v>130.86000000000001</v>
      </c>
      <c r="J23" s="127">
        <f>+Actuals!G253</f>
        <v>2920</v>
      </c>
      <c r="K23" s="147">
        <f>+Actuals!H253</f>
        <v>6368.52</v>
      </c>
      <c r="L23" s="127">
        <f>+Actuals!I253</f>
        <v>0</v>
      </c>
      <c r="M23" s="128">
        <f>+Actuals!J253</f>
        <v>0</v>
      </c>
      <c r="N23" s="127">
        <f>+Actuals!K253</f>
        <v>0</v>
      </c>
      <c r="O23" s="128">
        <f>+Actuals!L253</f>
        <v>0</v>
      </c>
      <c r="P23" s="127">
        <f>+Actuals!M253</f>
        <v>0</v>
      </c>
      <c r="Q23" s="128">
        <f>+Actuals!N253</f>
        <v>0</v>
      </c>
      <c r="R23" s="127">
        <f>+Actuals!O253</f>
        <v>0</v>
      </c>
      <c r="S23" s="128">
        <f>+Actuals!P253</f>
        <v>0</v>
      </c>
      <c r="T23" s="127">
        <f>+Actuals!Q253</f>
        <v>0</v>
      </c>
      <c r="U23" s="128">
        <f>+Actuals!R253</f>
        <v>0</v>
      </c>
      <c r="V23" s="127">
        <f>+Actuals!S453</f>
        <v>0</v>
      </c>
      <c r="W23" s="128">
        <f>+Actuals!T453</f>
        <v>0</v>
      </c>
      <c r="X23" s="127">
        <f>+Actuals!U453</f>
        <v>0</v>
      </c>
      <c r="Y23" s="128">
        <f>+Actuals!V453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5</v>
      </c>
      <c r="AE23" s="128">
        <f>+Actuals!AB453</f>
        <v>10.904999999999999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  <c r="AL23" s="127">
        <f>+Actuals!AI453</f>
        <v>0</v>
      </c>
      <c r="AM23" s="128">
        <f>+Actuals!AJ453</f>
        <v>0</v>
      </c>
    </row>
    <row r="24" spans="1:39" x14ac:dyDescent="0.25">
      <c r="A24" s="9"/>
      <c r="B24" s="7" t="s">
        <v>36</v>
      </c>
      <c r="C24" s="6"/>
      <c r="D24" s="61">
        <f t="shared" ref="D24:W24" si="5">SUM(D19:D23)</f>
        <v>-64026478</v>
      </c>
      <c r="E24" s="39">
        <f t="shared" si="5"/>
        <v>-136857569.04500005</v>
      </c>
      <c r="F24" s="61">
        <f t="shared" si="5"/>
        <v>0</v>
      </c>
      <c r="G24" s="39">
        <f t="shared" si="5"/>
        <v>5455023.3499999996</v>
      </c>
      <c r="H24" s="61">
        <f t="shared" si="5"/>
        <v>-63501989</v>
      </c>
      <c r="I24" s="39">
        <f t="shared" si="5"/>
        <v>-141158036.75999999</v>
      </c>
      <c r="J24" s="61">
        <f t="shared" si="5"/>
        <v>-348208</v>
      </c>
      <c r="K24" s="148">
        <f t="shared" si="5"/>
        <v>-780233.13</v>
      </c>
      <c r="L24" s="61">
        <f t="shared" si="5"/>
        <v>430105</v>
      </c>
      <c r="M24" s="39">
        <f t="shared" si="5"/>
        <v>966709.6</v>
      </c>
      <c r="N24" s="61">
        <f t="shared" si="5"/>
        <v>-2649</v>
      </c>
      <c r="O24" s="39">
        <f t="shared" si="5"/>
        <v>-5476.77</v>
      </c>
      <c r="P24" s="61">
        <f t="shared" si="5"/>
        <v>-1440325</v>
      </c>
      <c r="Q24" s="39">
        <f t="shared" si="5"/>
        <v>-3199009.78</v>
      </c>
      <c r="R24" s="61">
        <f t="shared" si="5"/>
        <v>-1466246</v>
      </c>
      <c r="S24" s="39">
        <f t="shared" si="5"/>
        <v>-3253646.81</v>
      </c>
      <c r="T24" s="61">
        <f t="shared" si="5"/>
        <v>2643849</v>
      </c>
      <c r="U24" s="39">
        <f t="shared" si="5"/>
        <v>5864145.6600000001</v>
      </c>
      <c r="V24" s="61">
        <f t="shared" si="5"/>
        <v>-2643849</v>
      </c>
      <c r="W24" s="39">
        <f t="shared" si="5"/>
        <v>-5862735.8300000001</v>
      </c>
      <c r="X24" s="61">
        <f t="shared" ref="X24:AC24" si="6">SUM(X19:X23)</f>
        <v>8346</v>
      </c>
      <c r="Y24" s="39">
        <f t="shared" si="6"/>
        <v>17860.439999999999</v>
      </c>
      <c r="Z24" s="61">
        <f t="shared" si="6"/>
        <v>2645110</v>
      </c>
      <c r="AA24" s="39">
        <f t="shared" si="6"/>
        <v>5864907.1900000004</v>
      </c>
      <c r="AB24" s="61">
        <f t="shared" si="6"/>
        <v>-39663</v>
      </c>
      <c r="AC24" s="39">
        <f t="shared" si="6"/>
        <v>-85846.92</v>
      </c>
      <c r="AD24" s="61">
        <f t="shared" ref="AD24:AI24" si="7">SUM(AD19:AD23)</f>
        <v>-302162</v>
      </c>
      <c r="AE24" s="39">
        <f t="shared" si="7"/>
        <v>-657999.01500000001</v>
      </c>
      <c r="AF24" s="61">
        <f t="shared" si="7"/>
        <v>-18412</v>
      </c>
      <c r="AG24" s="39">
        <f t="shared" si="7"/>
        <v>-43260.84</v>
      </c>
      <c r="AH24" s="61">
        <f t="shared" si="7"/>
        <v>9370</v>
      </c>
      <c r="AI24" s="39">
        <f t="shared" si="7"/>
        <v>19864.41</v>
      </c>
      <c r="AJ24" s="61">
        <f>SUM(AJ19:AJ23)</f>
        <v>54461</v>
      </c>
      <c r="AK24" s="39">
        <f>SUM(AK19:AK23)</f>
        <v>118654.91</v>
      </c>
      <c r="AL24" s="61">
        <f>SUM(AL19:AL23)</f>
        <v>-54216</v>
      </c>
      <c r="AM24" s="39">
        <f>SUM(AM19:AM23)</f>
        <v>-118488.75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152219</v>
      </c>
      <c r="E27" s="38">
        <f>SUM(G27,I27,K27,M27,O27,Q27,S27,U27,W27,Y27,AA27,AC27,AE27,AG27,AI27,AK27,AM27)</f>
        <v>340595.12</v>
      </c>
      <c r="F27" s="64">
        <f>'TIE-OUT'!R27+RECLASS!R27</f>
        <v>0</v>
      </c>
      <c r="G27" s="68">
        <f>'TIE-OUT'!S27+RECLASS!S27</f>
        <v>0</v>
      </c>
      <c r="H27" s="127">
        <f>+Actuals!E254</f>
        <v>145650</v>
      </c>
      <c r="I27" s="128">
        <f>+Actuals!F254</f>
        <v>326256</v>
      </c>
      <c r="J27" s="127">
        <f>+Actuals!G254</f>
        <v>8086</v>
      </c>
      <c r="K27" s="147">
        <f>+Actuals!H254</f>
        <v>18112</v>
      </c>
      <c r="L27" s="127">
        <f>+Actuals!I254</f>
        <v>0</v>
      </c>
      <c r="M27" s="128">
        <f>+Actuals!J254</f>
        <v>0</v>
      </c>
      <c r="N27" s="127">
        <f>+Actuals!K254</f>
        <v>0</v>
      </c>
      <c r="O27" s="128">
        <f>+Actuals!L254</f>
        <v>0</v>
      </c>
      <c r="P27" s="127">
        <f>+Actuals!M254</f>
        <v>0</v>
      </c>
      <c r="Q27" s="128">
        <f>+Actuals!N254</f>
        <v>0</v>
      </c>
      <c r="R27" s="127">
        <f>+Actuals!O254</f>
        <v>-10890</v>
      </c>
      <c r="S27" s="128">
        <f>+Actuals!P254</f>
        <v>-24393.599999999999</v>
      </c>
      <c r="T27" s="127">
        <f>+Actuals!Q254</f>
        <v>0</v>
      </c>
      <c r="U27" s="128">
        <f>+Actuals!R254</f>
        <v>0</v>
      </c>
      <c r="V27" s="127">
        <f>+Actuals!S454</f>
        <v>0</v>
      </c>
      <c r="W27" s="128">
        <f>+Actuals!T454</f>
        <v>0</v>
      </c>
      <c r="X27" s="127">
        <f>+Actuals!U454</f>
        <v>0</v>
      </c>
      <c r="Y27" s="128">
        <f>+Actuals!V454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3</v>
      </c>
      <c r="AE27" s="128">
        <f>+Actuals!AB454</f>
        <v>6.72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  <c r="AL27" s="127">
        <v>9370</v>
      </c>
      <c r="AM27" s="128">
        <v>20614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-14786680</v>
      </c>
      <c r="E28" s="38">
        <f>SUM(G28,I28,K28,M28,O28,Q28,S28,U28,W28,Y28,AA28,AC28,AE28,AG28,AI28,AK28,AM28)</f>
        <v>-32993767.929999992</v>
      </c>
      <c r="F28" s="81">
        <f>'TIE-OUT'!R28+RECLASS!R28</f>
        <v>0</v>
      </c>
      <c r="G28" s="82">
        <f>'TIE-OUT'!S28+RECLASS!S28</f>
        <v>0</v>
      </c>
      <c r="H28" s="127">
        <f>+Actuals!E255</f>
        <v>-14769361</v>
      </c>
      <c r="I28" s="128">
        <f>+Actuals!F255</f>
        <v>-32954915.649999999</v>
      </c>
      <c r="J28" s="127">
        <f>+Actuals!G255</f>
        <v>-1051471</v>
      </c>
      <c r="K28" s="147">
        <f>+Actuals!H255</f>
        <v>-748386.51</v>
      </c>
      <c r="L28" s="127">
        <f>+Actuals!I255</f>
        <v>1015204</v>
      </c>
      <c r="M28" s="128">
        <f>+Actuals!J255</f>
        <v>666719.51</v>
      </c>
      <c r="N28" s="127">
        <f>+Actuals!K255</f>
        <v>0</v>
      </c>
      <c r="O28" s="128">
        <f>+Actuals!L255</f>
        <v>0</v>
      </c>
      <c r="P28" s="127">
        <f>+Actuals!M255</f>
        <v>12899</v>
      </c>
      <c r="Q28" s="128">
        <f>+Actuals!N255</f>
        <v>28893.759999999998</v>
      </c>
      <c r="R28" s="127">
        <f>+Actuals!O255</f>
        <v>15492</v>
      </c>
      <c r="S28" s="128">
        <f>+Actuals!P255</f>
        <v>34702.080000000002</v>
      </c>
      <c r="T28" s="127">
        <f>+Actuals!Q255</f>
        <v>0</v>
      </c>
      <c r="U28" s="128">
        <f>+Actuals!R255</f>
        <v>0</v>
      </c>
      <c r="V28" s="127">
        <f>+Actuals!S455</f>
        <v>0</v>
      </c>
      <c r="W28" s="128">
        <f>+Actuals!T455</f>
        <v>0</v>
      </c>
      <c r="X28" s="127">
        <f>+Actuals!U455</f>
        <v>0</v>
      </c>
      <c r="Y28" s="128">
        <f>+Actuals!V455</f>
        <v>0</v>
      </c>
      <c r="Z28" s="127">
        <f>+Actuals!W455</f>
        <v>0</v>
      </c>
      <c r="AA28" s="128">
        <f>+Actuals!X455</f>
        <v>0</v>
      </c>
      <c r="AB28" s="127">
        <f>+Actuals!Y455</f>
        <v>0</v>
      </c>
      <c r="AC28" s="128">
        <f>+Actuals!Z455</f>
        <v>0</v>
      </c>
      <c r="AD28" s="127">
        <f>+Actuals!AA455</f>
        <v>-3</v>
      </c>
      <c r="AE28" s="128">
        <f>+Actuals!AB455</f>
        <v>-6.72</v>
      </c>
      <c r="AF28" s="127">
        <f>+Actuals!AC455</f>
        <v>-70</v>
      </c>
      <c r="AG28" s="128">
        <f>+Actuals!AD455</f>
        <v>-160.4</v>
      </c>
      <c r="AH28" s="127">
        <f>+Actuals!AE455</f>
        <v>0</v>
      </c>
      <c r="AI28" s="128">
        <f>+Actuals!AF455</f>
        <v>0</v>
      </c>
      <c r="AJ28" s="127">
        <f>+Actuals!AG455</f>
        <v>0</v>
      </c>
      <c r="AK28" s="128">
        <f>+Actuals!AH455</f>
        <v>0</v>
      </c>
      <c r="AL28" s="127">
        <v>-9370</v>
      </c>
      <c r="AM28" s="128">
        <v>-20614</v>
      </c>
    </row>
    <row r="29" spans="1:39" x14ac:dyDescent="0.25">
      <c r="A29" s="9"/>
      <c r="B29" s="7" t="s">
        <v>40</v>
      </c>
      <c r="C29" s="18"/>
      <c r="D29" s="61">
        <f t="shared" ref="D29:W29" si="8">SUM(D27:D28)</f>
        <v>-14634461</v>
      </c>
      <c r="E29" s="39">
        <f t="shared" si="8"/>
        <v>-32653172.809999991</v>
      </c>
      <c r="F29" s="61">
        <f t="shared" si="8"/>
        <v>0</v>
      </c>
      <c r="G29" s="39">
        <f t="shared" si="8"/>
        <v>0</v>
      </c>
      <c r="H29" s="61">
        <f t="shared" si="8"/>
        <v>-14623711</v>
      </c>
      <c r="I29" s="39">
        <f t="shared" si="8"/>
        <v>-32628659.649999999</v>
      </c>
      <c r="J29" s="61">
        <f t="shared" si="8"/>
        <v>-1043385</v>
      </c>
      <c r="K29" s="148">
        <f t="shared" si="8"/>
        <v>-730274.51</v>
      </c>
      <c r="L29" s="61">
        <f t="shared" si="8"/>
        <v>1015204</v>
      </c>
      <c r="M29" s="39">
        <f t="shared" si="8"/>
        <v>666719.51</v>
      </c>
      <c r="N29" s="61">
        <f t="shared" si="8"/>
        <v>0</v>
      </c>
      <c r="O29" s="39">
        <f t="shared" si="8"/>
        <v>0</v>
      </c>
      <c r="P29" s="61">
        <f t="shared" si="8"/>
        <v>12899</v>
      </c>
      <c r="Q29" s="39">
        <f t="shared" si="8"/>
        <v>28893.759999999998</v>
      </c>
      <c r="R29" s="61">
        <f t="shared" si="8"/>
        <v>4602</v>
      </c>
      <c r="S29" s="39">
        <f t="shared" si="8"/>
        <v>10308.480000000003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-70</v>
      </c>
      <c r="AG29" s="39">
        <f t="shared" si="10"/>
        <v>-160.4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-218378</v>
      </c>
      <c r="E32" s="38">
        <f t="shared" si="11"/>
        <v>-476282.69800000021</v>
      </c>
      <c r="F32" s="64">
        <f>'TIE-OUT'!R32+RECLASS!R32</f>
        <v>0</v>
      </c>
      <c r="G32" s="68">
        <f>'TIE-OUT'!S32+RECLASS!S32</f>
        <v>0</v>
      </c>
      <c r="H32" s="127">
        <f>+Actuals!E256</f>
        <v>783989</v>
      </c>
      <c r="I32" s="128">
        <f>+Actuals!F256</f>
        <v>1709880.01</v>
      </c>
      <c r="J32" s="127">
        <f>+Actuals!G256</f>
        <v>-1076701</v>
      </c>
      <c r="K32" s="147">
        <f>+Actuals!H256</f>
        <v>-2422577.25</v>
      </c>
      <c r="L32" s="127">
        <f>+Actuals!I256</f>
        <v>864790</v>
      </c>
      <c r="M32" s="128">
        <f>+Actuals!J256</f>
        <v>1788550.524</v>
      </c>
      <c r="N32" s="127">
        <f>+Actuals!K256</f>
        <v>240532</v>
      </c>
      <c r="O32" s="128">
        <f>+Actuals!L256</f>
        <v>716297.09</v>
      </c>
      <c r="P32" s="127">
        <f>+Actuals!M256</f>
        <v>-74490</v>
      </c>
      <c r="Q32" s="128">
        <f>+Actuals!N256</f>
        <v>-182331.64</v>
      </c>
      <c r="R32" s="127">
        <f>+Actuals!O256</f>
        <v>-426283</v>
      </c>
      <c r="S32" s="128">
        <f>+Actuals!P256</f>
        <v>-929723.21799999999</v>
      </c>
      <c r="T32" s="127">
        <f>+Actuals!Q256</f>
        <v>0</v>
      </c>
      <c r="U32" s="128">
        <f>+Actuals!R256</f>
        <v>0</v>
      </c>
      <c r="V32" s="127">
        <f>+Actuals!S456</f>
        <v>0</v>
      </c>
      <c r="W32" s="128">
        <f>+Actuals!T456</f>
        <v>0</v>
      </c>
      <c r="X32" s="127">
        <f>+Actuals!U456</f>
        <v>-791964</v>
      </c>
      <c r="Y32" s="128">
        <f>+Actuals!V456</f>
        <v>-1727252.7849999999</v>
      </c>
      <c r="Z32" s="127">
        <f>+Actuals!W456</f>
        <v>0</v>
      </c>
      <c r="AA32" s="128">
        <f>+Actuals!X456</f>
        <v>0</v>
      </c>
      <c r="AB32" s="127">
        <f>+Actuals!Y456</f>
        <v>-18485</v>
      </c>
      <c r="AC32" s="128">
        <f>+Actuals!Z456</f>
        <v>-40315.785000000003</v>
      </c>
      <c r="AD32" s="127">
        <f>+Actuals!AA456</f>
        <v>-13464</v>
      </c>
      <c r="AE32" s="128">
        <f>+Actuals!AB456</f>
        <v>-29364.984</v>
      </c>
      <c r="AF32" s="127">
        <f>+Actuals!AC456</f>
        <v>308930</v>
      </c>
      <c r="AG32" s="128">
        <f>+Actuals!AD456</f>
        <v>673776.33</v>
      </c>
      <c r="AH32" s="127">
        <f>20910-48714</f>
        <v>-27804</v>
      </c>
      <c r="AI32" s="128">
        <f>45604.71-106245.23</f>
        <v>-60640.52</v>
      </c>
      <c r="AJ32" s="127">
        <v>2834</v>
      </c>
      <c r="AK32" s="128">
        <v>6180.95</v>
      </c>
      <c r="AL32" s="127">
        <v>9738</v>
      </c>
      <c r="AM32" s="128">
        <v>21238.58</v>
      </c>
    </row>
    <row r="33" spans="1:39" x14ac:dyDescent="0.25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0</v>
      </c>
      <c r="U33" s="128">
        <f>+Actuals!R257</f>
        <v>0</v>
      </c>
      <c r="V33" s="127">
        <f>+Actuals!S457</f>
        <v>0</v>
      </c>
      <c r="W33" s="128">
        <f>+Actuals!T457</f>
        <v>0</v>
      </c>
      <c r="X33" s="127">
        <f>+Actuals!U457</f>
        <v>0</v>
      </c>
      <c r="Y33" s="128">
        <f>+Actuals!V457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  <c r="AL33" s="127">
        <f>+Actuals!AI457</f>
        <v>0</v>
      </c>
      <c r="AM33" s="128">
        <f>+Actuals!AJ457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+Actuals!Q258</f>
        <v>0</v>
      </c>
      <c r="U34" s="128">
        <f>+Actuals!R258</f>
        <v>0</v>
      </c>
      <c r="V34" s="127">
        <f>+Actuals!S458</f>
        <v>0</v>
      </c>
      <c r="W34" s="128">
        <f>+Actuals!T458</f>
        <v>0</v>
      </c>
      <c r="X34" s="127">
        <f>+Actuals!U458</f>
        <v>0</v>
      </c>
      <c r="Y34" s="128">
        <f>+Actuals!V458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  <c r="AL34" s="127">
        <f>+Actuals!AI458</f>
        <v>0</v>
      </c>
      <c r="AM34" s="128">
        <f>+Actuals!AJ458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0.01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+Actuals!S459</f>
        <v>0</v>
      </c>
      <c r="W35" s="128">
        <f>+Actuals!T459</f>
        <v>0</v>
      </c>
      <c r="X35" s="127">
        <f>+Actuals!U459</f>
        <v>0</v>
      </c>
      <c r="Y35" s="128">
        <f>+Actuals!V459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  <c r="AL35" s="127">
        <f>+Actuals!AI459</f>
        <v>0</v>
      </c>
      <c r="AM35" s="128">
        <f>+Actuals!AJ459</f>
        <v>0</v>
      </c>
    </row>
    <row r="36" spans="1:39" x14ac:dyDescent="0.25">
      <c r="A36" s="9"/>
      <c r="B36" s="7" t="s">
        <v>46</v>
      </c>
      <c r="C36" s="6"/>
      <c r="D36" s="61">
        <f t="shared" ref="D36:W36" si="12">SUM(D32:D35)</f>
        <v>-218378</v>
      </c>
      <c r="E36" s="39">
        <f t="shared" si="12"/>
        <v>-476282.6880000002</v>
      </c>
      <c r="F36" s="61">
        <f t="shared" si="12"/>
        <v>0</v>
      </c>
      <c r="G36" s="39">
        <f t="shared" si="12"/>
        <v>0</v>
      </c>
      <c r="H36" s="61">
        <f t="shared" si="12"/>
        <v>783989</v>
      </c>
      <c r="I36" s="39">
        <f t="shared" si="12"/>
        <v>1709880.02</v>
      </c>
      <c r="J36" s="61">
        <f t="shared" si="12"/>
        <v>-1076701</v>
      </c>
      <c r="K36" s="148">
        <f t="shared" si="12"/>
        <v>-2422577.25</v>
      </c>
      <c r="L36" s="61">
        <f t="shared" si="12"/>
        <v>864790</v>
      </c>
      <c r="M36" s="39">
        <f t="shared" si="12"/>
        <v>1788550.524</v>
      </c>
      <c r="N36" s="61">
        <f t="shared" si="12"/>
        <v>240532</v>
      </c>
      <c r="O36" s="39">
        <f t="shared" si="12"/>
        <v>716297.09</v>
      </c>
      <c r="P36" s="61">
        <f t="shared" si="12"/>
        <v>-74490</v>
      </c>
      <c r="Q36" s="39">
        <f t="shared" si="12"/>
        <v>-182331.64</v>
      </c>
      <c r="R36" s="61">
        <f t="shared" si="12"/>
        <v>-426283</v>
      </c>
      <c r="S36" s="39">
        <f t="shared" si="12"/>
        <v>-929723.21799999999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-791964</v>
      </c>
      <c r="Y36" s="39">
        <f t="shared" si="13"/>
        <v>-1727252.7849999999</v>
      </c>
      <c r="Z36" s="61">
        <f t="shared" si="13"/>
        <v>0</v>
      </c>
      <c r="AA36" s="39">
        <f t="shared" si="13"/>
        <v>0</v>
      </c>
      <c r="AB36" s="61">
        <f t="shared" si="13"/>
        <v>-18485</v>
      </c>
      <c r="AC36" s="39">
        <f t="shared" si="13"/>
        <v>-40315.785000000003</v>
      </c>
      <c r="AD36" s="61">
        <f t="shared" ref="AD36:AI36" si="14">SUM(AD32:AD35)</f>
        <v>-13464</v>
      </c>
      <c r="AE36" s="39">
        <f t="shared" si="14"/>
        <v>-29364.984</v>
      </c>
      <c r="AF36" s="61">
        <f t="shared" si="14"/>
        <v>308930</v>
      </c>
      <c r="AG36" s="39">
        <f t="shared" si="14"/>
        <v>673776.33</v>
      </c>
      <c r="AH36" s="61">
        <f t="shared" si="14"/>
        <v>-27804</v>
      </c>
      <c r="AI36" s="39">
        <f t="shared" si="14"/>
        <v>-60640.52</v>
      </c>
      <c r="AJ36" s="61">
        <f>SUM(AJ32:AJ35)</f>
        <v>2834</v>
      </c>
      <c r="AK36" s="39">
        <f>SUM(AK32:AK35)</f>
        <v>6180.95</v>
      </c>
      <c r="AL36" s="61">
        <f>SUM(AL32:AL35)</f>
        <v>9738</v>
      </c>
      <c r="AM36" s="39">
        <f>SUM(AM32:AM35)</f>
        <v>21238.58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2177098</v>
      </c>
      <c r="E39" s="38">
        <f t="shared" si="15"/>
        <v>5142866.3500000006</v>
      </c>
      <c r="F39" s="64">
        <f>'TIE-OUT'!R39+RECLASS!R39</f>
        <v>0</v>
      </c>
      <c r="G39" s="68">
        <f>'TIE-OUT'!S39+RECLASS!S39</f>
        <v>0</v>
      </c>
      <c r="H39" s="127">
        <f>+Actuals!E260</f>
        <v>0</v>
      </c>
      <c r="I39" s="128">
        <f>+Actuals!F260</f>
        <v>0</v>
      </c>
      <c r="J39" s="127">
        <f>+Actuals!G260</f>
        <v>2006264</v>
      </c>
      <c r="K39" s="147">
        <f>+Actuals!H260</f>
        <v>4473968.72</v>
      </c>
      <c r="L39" s="127">
        <f>+Actuals!I260</f>
        <v>-100803</v>
      </c>
      <c r="M39" s="128">
        <f>+Actuals!J260</f>
        <v>67448.86</v>
      </c>
      <c r="N39" s="127">
        <f>+Actuals!K260</f>
        <v>-28760</v>
      </c>
      <c r="O39" s="128">
        <f>+Actuals!L260</f>
        <v>-69409.38</v>
      </c>
      <c r="P39" s="127">
        <f>+Actuals!M260</f>
        <v>-10353</v>
      </c>
      <c r="Q39" s="128">
        <f>+Actuals!N260</f>
        <v>-24985.93</v>
      </c>
      <c r="R39" s="127">
        <f>+Actuals!O260</f>
        <v>0</v>
      </c>
      <c r="S39" s="128">
        <f>+Actuals!P260</f>
        <v>0</v>
      </c>
      <c r="T39" s="127">
        <f>+Actuals!Q260</f>
        <v>0</v>
      </c>
      <c r="U39" s="128">
        <f>+Actuals!R260</f>
        <v>-45015</v>
      </c>
      <c r="V39" s="127">
        <f>+Actuals!S460</f>
        <v>0</v>
      </c>
      <c r="W39" s="128">
        <f>+Actuals!T460</f>
        <v>0</v>
      </c>
      <c r="X39" s="127">
        <f>+Actuals!U460</f>
        <v>0</v>
      </c>
      <c r="Y39" s="128">
        <f>+Actuals!V460</f>
        <v>0</v>
      </c>
      <c r="Z39" s="127">
        <f>+Actuals!W460</f>
        <v>0</v>
      </c>
      <c r="AA39" s="128">
        <f>+Actuals!X460</f>
        <v>0</v>
      </c>
      <c r="AB39" s="127">
        <f>+Actuals!Y460</f>
        <v>1500</v>
      </c>
      <c r="AC39" s="128">
        <f>+Actuals!Z460</f>
        <v>51129.15</v>
      </c>
      <c r="AD39" s="127">
        <f>+Actuals!AA460</f>
        <v>330000</v>
      </c>
      <c r="AE39" s="128">
        <f>+Actuals!AB460</f>
        <v>739200</v>
      </c>
      <c r="AF39" s="127">
        <f>+Actuals!AC460</f>
        <v>160</v>
      </c>
      <c r="AG39" s="128">
        <f>+Actuals!AD460</f>
        <v>381.46</v>
      </c>
      <c r="AH39" s="127">
        <v>-20910</v>
      </c>
      <c r="AI39" s="128">
        <v>-49851.53</v>
      </c>
      <c r="AJ39" s="127">
        <v>0</v>
      </c>
      <c r="AK39" s="128">
        <v>0</v>
      </c>
      <c r="AL39" s="127">
        <v>0</v>
      </c>
      <c r="AM39" s="128"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-10738</v>
      </c>
      <c r="E40" s="38">
        <f t="shared" si="15"/>
        <v>-27433.810000000009</v>
      </c>
      <c r="F40" s="60">
        <f>'TIE-OUT'!R40+RECLASS!R40</f>
        <v>0</v>
      </c>
      <c r="G40" s="38">
        <f>'TIE-OUT'!S40+RECLASS!S40</f>
        <v>0</v>
      </c>
      <c r="H40" s="127">
        <f>+Actuals!E261</f>
        <v>-30000</v>
      </c>
      <c r="I40" s="128">
        <f>+Actuals!F261</f>
        <v>-60534.6</v>
      </c>
      <c r="J40" s="127">
        <f>+Actuals!G261</f>
        <v>-1648</v>
      </c>
      <c r="K40" s="147">
        <f>+Actuals!H261</f>
        <v>-3325.37</v>
      </c>
      <c r="L40" s="127">
        <f>+Actuals!I261</f>
        <v>0</v>
      </c>
      <c r="M40" s="128">
        <f>+Actuals!J261</f>
        <v>-6715.07</v>
      </c>
      <c r="N40" s="127">
        <f>+Actuals!K261</f>
        <v>0</v>
      </c>
      <c r="O40" s="128">
        <f>+Actuals!L261</f>
        <v>0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+Actuals!S461</f>
        <v>0</v>
      </c>
      <c r="W40" s="128">
        <f>+Actuals!T461</f>
        <v>0</v>
      </c>
      <c r="X40" s="127">
        <f>+Actuals!U461</f>
        <v>0</v>
      </c>
      <c r="Y40" s="128">
        <f>+Actuals!V461</f>
        <v>0</v>
      </c>
      <c r="Z40" s="127">
        <f>+Actuals!W461</f>
        <v>0</v>
      </c>
      <c r="AA40" s="128">
        <f>+Actuals!X461</f>
        <v>0</v>
      </c>
      <c r="AB40" s="127">
        <f>+Actuals!Y461</f>
        <v>0</v>
      </c>
      <c r="AC40" s="128">
        <f>+Actuals!Z461</f>
        <v>0</v>
      </c>
      <c r="AD40" s="127">
        <f>+Actuals!AA461</f>
        <v>0</v>
      </c>
      <c r="AE40" s="128">
        <f>+Actuals!AB461</f>
        <v>0</v>
      </c>
      <c r="AF40" s="127">
        <f>+Actuals!AC461</f>
        <v>0</v>
      </c>
      <c r="AG40" s="128">
        <f>+Actuals!AD461</f>
        <v>0</v>
      </c>
      <c r="AH40" s="127">
        <v>20910</v>
      </c>
      <c r="AI40" s="128">
        <v>43145.49</v>
      </c>
      <c r="AJ40" s="127">
        <v>0</v>
      </c>
      <c r="AK40" s="128">
        <v>-4.26</v>
      </c>
      <c r="AL40" s="127">
        <v>0</v>
      </c>
      <c r="AM40" s="128"/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78532</v>
      </c>
      <c r="F41" s="81">
        <f>'TIE-OUT'!R41+RECLASS!R41</f>
        <v>0</v>
      </c>
      <c r="G41" s="82">
        <f>'TIE-OUT'!S41+RECLASS!S41</f>
        <v>-6483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+Actuals!S462</f>
        <v>0</v>
      </c>
      <c r="W41" s="128">
        <f>+Actuals!T462</f>
        <v>0</v>
      </c>
      <c r="X41" s="127">
        <f>+Actuals!U462</f>
        <v>0</v>
      </c>
      <c r="Y41" s="128">
        <f>+Actuals!V462</f>
        <v>0</v>
      </c>
      <c r="Z41" s="127">
        <f>+Actuals!W462</f>
        <v>0</v>
      </c>
      <c r="AA41" s="160">
        <v>85015</v>
      </c>
      <c r="AB41" s="127">
        <f>+Actuals!Y462</f>
        <v>0</v>
      </c>
      <c r="AC41" s="128"/>
      <c r="AD41" s="127">
        <f>+Actuals!AA462</f>
        <v>0</v>
      </c>
      <c r="AE41" s="128"/>
      <c r="AF41" s="127">
        <f>+Actuals!AC462</f>
        <v>0</v>
      </c>
      <c r="AG41" s="128"/>
      <c r="AH41" s="127">
        <f>+Actuals!AE462</f>
        <v>0</v>
      </c>
      <c r="AI41" s="128"/>
      <c r="AJ41" s="127">
        <f>+Actuals!AG462</f>
        <v>0</v>
      </c>
      <c r="AK41" s="128"/>
      <c r="AL41" s="127">
        <f>+Actuals!AI462</f>
        <v>0</v>
      </c>
      <c r="AM41" s="128"/>
    </row>
    <row r="42" spans="1:39" x14ac:dyDescent="0.25">
      <c r="A42" s="9"/>
      <c r="B42" s="7"/>
      <c r="C42" s="53" t="s">
        <v>51</v>
      </c>
      <c r="D42" s="61">
        <f t="shared" ref="D42:W42" si="16">SUM(D40:D41)</f>
        <v>-10738</v>
      </c>
      <c r="E42" s="39">
        <f t="shared" si="16"/>
        <v>51098.189999999988</v>
      </c>
      <c r="F42" s="61">
        <f t="shared" si="16"/>
        <v>0</v>
      </c>
      <c r="G42" s="39">
        <f t="shared" si="16"/>
        <v>-6483</v>
      </c>
      <c r="H42" s="61">
        <f t="shared" si="16"/>
        <v>-30000</v>
      </c>
      <c r="I42" s="39">
        <f t="shared" si="16"/>
        <v>-60534.6</v>
      </c>
      <c r="J42" s="61">
        <f t="shared" si="16"/>
        <v>-1648</v>
      </c>
      <c r="K42" s="148">
        <f t="shared" si="16"/>
        <v>-3325.37</v>
      </c>
      <c r="L42" s="61">
        <f t="shared" si="16"/>
        <v>0</v>
      </c>
      <c r="M42" s="39">
        <f t="shared" si="16"/>
        <v>-6715.07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85015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20910</v>
      </c>
      <c r="AI42" s="39">
        <f t="shared" si="18"/>
        <v>43145.49</v>
      </c>
      <c r="AJ42" s="61">
        <f>SUM(AJ40:AJ41)</f>
        <v>0</v>
      </c>
      <c r="AK42" s="39">
        <f>SUM(AK40:AK41)</f>
        <v>-4.26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 t="shared" ref="D43:W43" si="19">D42+D39</f>
        <v>2166360</v>
      </c>
      <c r="E43" s="39">
        <f t="shared" si="19"/>
        <v>5193964.540000001</v>
      </c>
      <c r="F43" s="61">
        <f t="shared" si="19"/>
        <v>0</v>
      </c>
      <c r="G43" s="39">
        <f t="shared" si="19"/>
        <v>-6483</v>
      </c>
      <c r="H43" s="61">
        <f t="shared" si="19"/>
        <v>-30000</v>
      </c>
      <c r="I43" s="39">
        <f t="shared" si="19"/>
        <v>-60534.6</v>
      </c>
      <c r="J43" s="61">
        <f t="shared" si="19"/>
        <v>2004616</v>
      </c>
      <c r="K43" s="148">
        <f t="shared" si="19"/>
        <v>4470643.3499999996</v>
      </c>
      <c r="L43" s="61">
        <f t="shared" si="19"/>
        <v>-100803</v>
      </c>
      <c r="M43" s="39">
        <f t="shared" si="19"/>
        <v>60733.79</v>
      </c>
      <c r="N43" s="61">
        <f t="shared" si="19"/>
        <v>-28760</v>
      </c>
      <c r="O43" s="39">
        <f t="shared" si="19"/>
        <v>-69409.38</v>
      </c>
      <c r="P43" s="61">
        <f t="shared" si="19"/>
        <v>-10353</v>
      </c>
      <c r="Q43" s="39">
        <f t="shared" si="19"/>
        <v>-24985.93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-45015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85015</v>
      </c>
      <c r="AB43" s="61">
        <f t="shared" si="20"/>
        <v>1500</v>
      </c>
      <c r="AC43" s="39">
        <f t="shared" si="20"/>
        <v>51129.15</v>
      </c>
      <c r="AD43" s="61">
        <f t="shared" ref="AD43:AI43" si="21">AD42+AD39</f>
        <v>330000</v>
      </c>
      <c r="AE43" s="39">
        <f t="shared" si="21"/>
        <v>739200</v>
      </c>
      <c r="AF43" s="61">
        <f t="shared" si="21"/>
        <v>160</v>
      </c>
      <c r="AG43" s="39">
        <f t="shared" si="21"/>
        <v>381.46</v>
      </c>
      <c r="AH43" s="61">
        <f t="shared" si="21"/>
        <v>0</v>
      </c>
      <c r="AI43" s="39">
        <f t="shared" si="21"/>
        <v>-6706.0400000000009</v>
      </c>
      <c r="AJ43" s="61">
        <f>AJ42+AJ39</f>
        <v>0</v>
      </c>
      <c r="AK43" s="39">
        <f>AK42+AK39</f>
        <v>-4.26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+Actuals!S463</f>
        <v>0</v>
      </c>
      <c r="W45" s="128">
        <f>+Actuals!T463</f>
        <v>0</v>
      </c>
      <c r="X45" s="127">
        <f>+Actuals!U463</f>
        <v>0</v>
      </c>
      <c r="Y45" s="128">
        <f>+Actuals!V463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  <c r="AL45" s="127">
        <f>+Actuals!AI463</f>
        <v>0</v>
      </c>
      <c r="AM45" s="128">
        <f>+Actuals!AJ463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+Actuals!S464</f>
        <v>0</v>
      </c>
      <c r="W47" s="128">
        <f>+Actuals!T464</f>
        <v>0</v>
      </c>
      <c r="X47" s="127">
        <f>+Actuals!U464</f>
        <v>0</v>
      </c>
      <c r="Y47" s="128">
        <f>+Actuals!V464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  <c r="AL47" s="127">
        <f>+Actuals!AI464</f>
        <v>0</v>
      </c>
      <c r="AM47" s="128">
        <f>+Actuals!AJ464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315689</v>
      </c>
      <c r="E49" s="38">
        <f>SUM(G49,I49,K49,M49,O49,Q49,S49,U49,W49,Y49,AA49,AC49,AE49,AG49,AI49,AK49,AM49)</f>
        <v>688154.07199999969</v>
      </c>
      <c r="F49" s="60">
        <f>'TIE-OUT'!R49+RECLASS!R49</f>
        <v>0</v>
      </c>
      <c r="G49" s="38">
        <f>'TIE-OUT'!S49+RECLASS!S49</f>
        <v>0</v>
      </c>
      <c r="H49" s="127">
        <f>+Actuals!E265</f>
        <v>503805</v>
      </c>
      <c r="I49" s="128">
        <f>+Actuals!F265</f>
        <v>1098798.7050000001</v>
      </c>
      <c r="J49" s="127">
        <f>+Actuals!G265</f>
        <v>-1170194</v>
      </c>
      <c r="K49" s="147">
        <f>+Actuals!H265</f>
        <v>-2552193.1140000001</v>
      </c>
      <c r="L49" s="127">
        <f>+Actuals!I265</f>
        <v>-900542</v>
      </c>
      <c r="M49" s="128">
        <f>+Actuals!J265</f>
        <v>-1964082.102</v>
      </c>
      <c r="N49" s="127">
        <f>+Actuals!K265</f>
        <v>-186333</v>
      </c>
      <c r="O49" s="128">
        <f>+Actuals!L265</f>
        <v>-406392.27299999999</v>
      </c>
      <c r="P49" s="127">
        <f>+Actuals!M265</f>
        <v>577141</v>
      </c>
      <c r="Q49" s="128">
        <f>+Actuals!N265</f>
        <v>1258744.5209999999</v>
      </c>
      <c r="R49" s="127">
        <f>+Actuals!O265</f>
        <v>450892</v>
      </c>
      <c r="S49" s="128">
        <f>+Actuals!P265</f>
        <v>983395.45200000005</v>
      </c>
      <c r="T49" s="127">
        <f>+Actuals!Q265</f>
        <v>271205</v>
      </c>
      <c r="U49" s="128">
        <f>+Actuals!R265</f>
        <v>591498.10499999998</v>
      </c>
      <c r="V49" s="127">
        <f>+Actuals!S465</f>
        <v>-271205</v>
      </c>
      <c r="W49" s="128">
        <f>+Actuals!T465</f>
        <v>-591498.10499999998</v>
      </c>
      <c r="X49" s="127">
        <f>+Actuals!U465</f>
        <v>786118</v>
      </c>
      <c r="Y49" s="128">
        <f>+Actuals!V465</f>
        <v>1714523.358</v>
      </c>
      <c r="Z49" s="127">
        <f>+Actuals!W465</f>
        <v>271205</v>
      </c>
      <c r="AA49" s="128">
        <f>+Actuals!X465</f>
        <v>591498.10499999998</v>
      </c>
      <c r="AB49" s="127">
        <f>+Actuals!Y465</f>
        <v>28838</v>
      </c>
      <c r="AC49" s="128">
        <f>+Actuals!Z465</f>
        <v>62895.678</v>
      </c>
      <c r="AD49" s="127">
        <f>+Actuals!AA465</f>
        <v>-51259</v>
      </c>
      <c r="AE49" s="128">
        <f>+Actuals!AB465</f>
        <v>-111795.879</v>
      </c>
      <c r="AF49" s="127">
        <f>+Actuals!AC465</f>
        <v>401</v>
      </c>
      <c r="AG49" s="128">
        <f>+Actuals!AD465</f>
        <v>874.58100000000002</v>
      </c>
      <c r="AH49" s="127">
        <f>-9370+27804</f>
        <v>18434</v>
      </c>
      <c r="AI49" s="128">
        <f>-20435.97+58916.68</f>
        <v>38480.71</v>
      </c>
      <c r="AJ49" s="127">
        <v>-57295</v>
      </c>
      <c r="AK49" s="128">
        <v>-121408.11</v>
      </c>
      <c r="AL49" s="127">
        <v>44478</v>
      </c>
      <c r="AM49" s="128">
        <v>94814.44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-2985</v>
      </c>
      <c r="E51" s="38">
        <f>SUM(G51,I51,K51,M51,O51,Q51,S51,U51,W51,Y51,AA51,AC51,AE51,AG51,AI51,AK51,AM51)</f>
        <v>-6510.2849999999999</v>
      </c>
      <c r="F51" s="60">
        <f>'TIE-OUT'!R51+RECLASS!R51</f>
        <v>0</v>
      </c>
      <c r="G51" s="38">
        <f>'TIE-OUT'!S51+RECLASS!S51</f>
        <v>0</v>
      </c>
      <c r="H51" s="127">
        <f>+Actuals!E266</f>
        <v>-60</v>
      </c>
      <c r="I51" s="128">
        <f>+Actuals!F266</f>
        <v>-130.86000000000001</v>
      </c>
      <c r="J51" s="127">
        <f>+Actuals!G266</f>
        <v>-2920</v>
      </c>
      <c r="K51" s="147">
        <f>+Actuals!H266</f>
        <v>-6368.52</v>
      </c>
      <c r="L51" s="127">
        <f>+Actuals!I266</f>
        <v>0</v>
      </c>
      <c r="M51" s="128">
        <f>+Actuals!J266</f>
        <v>0</v>
      </c>
      <c r="N51" s="127">
        <f>+Actuals!K266</f>
        <v>0</v>
      </c>
      <c r="O51" s="128">
        <f>+Actuals!L266</f>
        <v>0</v>
      </c>
      <c r="P51" s="127">
        <f>+Actuals!M266</f>
        <v>0</v>
      </c>
      <c r="Q51" s="128">
        <f>+Actuals!N266</f>
        <v>0</v>
      </c>
      <c r="R51" s="127">
        <f>+Actuals!O266</f>
        <v>0</v>
      </c>
      <c r="S51" s="128">
        <f>+Actuals!P266</f>
        <v>0</v>
      </c>
      <c r="T51" s="127">
        <f>+Actuals!Q266</f>
        <v>0</v>
      </c>
      <c r="U51" s="128">
        <f>+Actuals!R266</f>
        <v>0</v>
      </c>
      <c r="V51" s="127">
        <f>+Actuals!S466</f>
        <v>0</v>
      </c>
      <c r="W51" s="128">
        <f>+Actuals!T466</f>
        <v>0</v>
      </c>
      <c r="X51" s="127">
        <f>+Actuals!U466</f>
        <v>0</v>
      </c>
      <c r="Y51" s="128">
        <f>+Actuals!V466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-5</v>
      </c>
      <c r="AE51" s="128">
        <f>+Actuals!AB466</f>
        <v>-10.904999999999999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>
        <f>+Actuals!AG466</f>
        <v>0</v>
      </c>
      <c r="AK51" s="128">
        <f>+Actuals!AH466</f>
        <v>0</v>
      </c>
      <c r="AL51" s="127"/>
      <c r="AM51" s="128"/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-7111924</v>
      </c>
      <c r="E54" s="38">
        <f>SUM(G54,I54,K54,M54,O54,Q54,S54,U54,W54,Y54,AA54,AC54,AE54,AG54,AI54,AK54,AM54)</f>
        <v>-406270.73000000004</v>
      </c>
      <c r="F54" s="64">
        <f>'TIE-OUT'!R54+RECLASS!R54</f>
        <v>0</v>
      </c>
      <c r="G54" s="68">
        <f>'TIE-OUT'!S54+RECLASS!S54</f>
        <v>-1475</v>
      </c>
      <c r="H54" s="127">
        <f>+Actuals!E267</f>
        <v>-6560291</v>
      </c>
      <c r="I54" s="128">
        <f>+Actuals!F267</f>
        <v>-518841.77</v>
      </c>
      <c r="J54" s="127">
        <f>+Actuals!G267</f>
        <v>-516106</v>
      </c>
      <c r="K54" s="147">
        <f>+Actuals!H267</f>
        <v>124435</v>
      </c>
      <c r="L54" s="127">
        <f>+Actuals!I267</f>
        <v>222564</v>
      </c>
      <c r="M54" s="128">
        <f>+Actuals!J267</f>
        <v>7178</v>
      </c>
      <c r="N54" s="127">
        <f>+Actuals!K267</f>
        <v>42868</v>
      </c>
      <c r="O54" s="128">
        <f>+Actuals!L267</f>
        <v>882.6</v>
      </c>
      <c r="P54" s="127">
        <f>+Actuals!M267</f>
        <v>-8457</v>
      </c>
      <c r="Q54" s="128">
        <f>+Actuals!N267</f>
        <v>26680.5</v>
      </c>
      <c r="R54" s="127">
        <f>+Actuals!O267</f>
        <v>-48936</v>
      </c>
      <c r="S54" s="128">
        <f>+Actuals!P267</f>
        <v>-29367.75</v>
      </c>
      <c r="T54" s="127">
        <f>+Actuals!Q267</f>
        <v>-166459</v>
      </c>
      <c r="U54" s="128">
        <f>+Actuals!R267</f>
        <v>-658.85</v>
      </c>
      <c r="V54" s="127">
        <f>+Actuals!S467</f>
        <v>-5143</v>
      </c>
      <c r="W54" s="128">
        <f>+Actuals!T467</f>
        <v>-1027.9100000000001</v>
      </c>
      <c r="X54" s="127">
        <f>+Actuals!U467</f>
        <v>0</v>
      </c>
      <c r="Y54" s="128">
        <f>+Actuals!V467</f>
        <v>-0.01</v>
      </c>
      <c r="Z54" s="127">
        <f>+Actuals!W467</f>
        <v>-18893</v>
      </c>
      <c r="AA54" s="128">
        <f>+Actuals!X467</f>
        <v>638.95000000000005</v>
      </c>
      <c r="AB54" s="127">
        <f>+Actuals!Y467</f>
        <v>-7353</v>
      </c>
      <c r="AC54" s="128">
        <f>+Actuals!Z467</f>
        <v>211.47</v>
      </c>
      <c r="AD54" s="127">
        <f>+Actuals!AA467</f>
        <v>-71562</v>
      </c>
      <c r="AE54" s="128">
        <f>+Actuals!AB467</f>
        <v>-3776.73</v>
      </c>
      <c r="AF54" s="127">
        <f>+Actuals!AC467</f>
        <v>473</v>
      </c>
      <c r="AG54" s="128">
        <f>+Actuals!AD467</f>
        <v>-4361.26</v>
      </c>
      <c r="AH54" s="127">
        <f>-44348-34452</f>
        <v>-78800</v>
      </c>
      <c r="AI54" s="128">
        <f>47.1-762.1</f>
        <v>-715</v>
      </c>
      <c r="AJ54" s="127">
        <v>-9386</v>
      </c>
      <c r="AK54" s="128">
        <v>-1270.8900000000001</v>
      </c>
      <c r="AL54" s="127">
        <v>113557</v>
      </c>
      <c r="AM54" s="128">
        <v>-4802.08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2834</v>
      </c>
      <c r="E55" s="38">
        <f>SUM(G55,I55,K55,M55,O55,Q55,S55,U55,W55,Y55,AA55,AC55,AE55,AG55,AI55,AK55,AM55)</f>
        <v>2956.3799999999997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0</v>
      </c>
      <c r="T55" s="127">
        <f>+Actuals!Q268</f>
        <v>0</v>
      </c>
      <c r="U55" s="128">
        <f>+Actuals!R268</f>
        <v>-93300</v>
      </c>
      <c r="V55" s="127">
        <f>+Actuals!S468</f>
        <v>0</v>
      </c>
      <c r="W55" s="128">
        <f>+Actuals!T468</f>
        <v>93300</v>
      </c>
      <c r="X55" s="127">
        <f>+Actuals!U468</f>
        <v>0</v>
      </c>
      <c r="Y55" s="128">
        <f>+Actuals!V468</f>
        <v>0</v>
      </c>
      <c r="Z55" s="127">
        <f>+Actuals!W468</f>
        <v>0</v>
      </c>
      <c r="AA55" s="128">
        <f>+Actuals!X468</f>
        <v>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f>+Actuals!AD468</f>
        <v>0</v>
      </c>
      <c r="AH55" s="127">
        <f>+Actuals!AE468</f>
        <v>0</v>
      </c>
      <c r="AI55" s="128">
        <v>2998.89</v>
      </c>
      <c r="AJ55" s="127">
        <v>2834</v>
      </c>
      <c r="AK55" s="128">
        <v>-42.51</v>
      </c>
      <c r="AL55" s="127"/>
      <c r="AM55" s="128"/>
    </row>
    <row r="56" spans="1:39" x14ac:dyDescent="0.25">
      <c r="A56" s="9"/>
      <c r="B56" s="7" t="s">
        <v>60</v>
      </c>
      <c r="C56" s="6"/>
      <c r="D56" s="61">
        <f t="shared" ref="D56:W56" si="22">SUM(D54:D55)</f>
        <v>-7109090</v>
      </c>
      <c r="E56" s="39">
        <f t="shared" si="22"/>
        <v>-403314.35000000003</v>
      </c>
      <c r="F56" s="61">
        <f t="shared" si="22"/>
        <v>0</v>
      </c>
      <c r="G56" s="39">
        <f t="shared" si="22"/>
        <v>-1475</v>
      </c>
      <c r="H56" s="61">
        <f t="shared" si="22"/>
        <v>-6560291</v>
      </c>
      <c r="I56" s="39">
        <f t="shared" si="22"/>
        <v>-518841.77</v>
      </c>
      <c r="J56" s="61">
        <f t="shared" si="22"/>
        <v>-516106</v>
      </c>
      <c r="K56" s="148">
        <f t="shared" si="22"/>
        <v>124435</v>
      </c>
      <c r="L56" s="61">
        <f t="shared" si="22"/>
        <v>222564</v>
      </c>
      <c r="M56" s="39">
        <f t="shared" si="22"/>
        <v>7178</v>
      </c>
      <c r="N56" s="61">
        <f t="shared" si="22"/>
        <v>42868</v>
      </c>
      <c r="O56" s="39">
        <f t="shared" si="22"/>
        <v>882.6</v>
      </c>
      <c r="P56" s="61">
        <f t="shared" si="22"/>
        <v>-8457</v>
      </c>
      <c r="Q56" s="39">
        <f t="shared" si="22"/>
        <v>26680.5</v>
      </c>
      <c r="R56" s="61">
        <f t="shared" si="22"/>
        <v>-48936</v>
      </c>
      <c r="S56" s="39">
        <f t="shared" si="22"/>
        <v>-29367.75</v>
      </c>
      <c r="T56" s="61">
        <f t="shared" si="22"/>
        <v>-166459</v>
      </c>
      <c r="U56" s="39">
        <f t="shared" si="22"/>
        <v>-93958.85</v>
      </c>
      <c r="V56" s="61">
        <f t="shared" si="22"/>
        <v>-5143</v>
      </c>
      <c r="W56" s="39">
        <f t="shared" si="22"/>
        <v>92272.09</v>
      </c>
      <c r="X56" s="61">
        <f t="shared" ref="X56:AC56" si="23">SUM(X54:X55)</f>
        <v>0</v>
      </c>
      <c r="Y56" s="39">
        <f t="shared" si="23"/>
        <v>-0.01</v>
      </c>
      <c r="Z56" s="61">
        <f t="shared" si="23"/>
        <v>-18893</v>
      </c>
      <c r="AA56" s="39">
        <f t="shared" si="23"/>
        <v>638.95000000000005</v>
      </c>
      <c r="AB56" s="61">
        <f t="shared" si="23"/>
        <v>-7353</v>
      </c>
      <c r="AC56" s="39">
        <f t="shared" si="23"/>
        <v>211.47</v>
      </c>
      <c r="AD56" s="61">
        <f t="shared" ref="AD56:AI56" si="24">SUM(AD54:AD55)</f>
        <v>-71562</v>
      </c>
      <c r="AE56" s="39">
        <f t="shared" si="24"/>
        <v>-3776.73</v>
      </c>
      <c r="AF56" s="61">
        <f t="shared" si="24"/>
        <v>473</v>
      </c>
      <c r="AG56" s="39">
        <f t="shared" si="24"/>
        <v>-4361.26</v>
      </c>
      <c r="AH56" s="61">
        <f t="shared" si="24"/>
        <v>-78800</v>
      </c>
      <c r="AI56" s="39">
        <f t="shared" si="24"/>
        <v>2283.89</v>
      </c>
      <c r="AJ56" s="61">
        <f>SUM(AJ54:AJ55)</f>
        <v>-6552</v>
      </c>
      <c r="AK56" s="39">
        <f>SUM(AK54:AK55)</f>
        <v>-1313.4</v>
      </c>
      <c r="AL56" s="61">
        <f>SUM(AL54:AL55)</f>
        <v>113557</v>
      </c>
      <c r="AM56" s="39">
        <f>SUM(AM54:AM55)</f>
        <v>-4802.08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40780.620000000003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35662.5</v>
      </c>
      <c r="J59" s="127">
        <f>+Actuals!G269</f>
        <v>0</v>
      </c>
      <c r="K59" s="147">
        <f>+Actuals!H269</f>
        <v>0</v>
      </c>
      <c r="L59" s="127">
        <f>+Actuals!I269</f>
        <v>0</v>
      </c>
      <c r="M59" s="128">
        <f>+Actuals!J269</f>
        <v>200</v>
      </c>
      <c r="N59" s="127">
        <f>+Actuals!K269</f>
        <v>0</v>
      </c>
      <c r="O59" s="128">
        <f>+Actuals!L269</f>
        <v>-200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5118.12</v>
      </c>
      <c r="T59" s="127">
        <f>+Actuals!Q269</f>
        <v>0</v>
      </c>
      <c r="U59" s="128">
        <f>+Actuals!R269</f>
        <v>0</v>
      </c>
      <c r="V59" s="127">
        <f>+Actuals!S469</f>
        <v>0</v>
      </c>
      <c r="W59" s="128">
        <f>+Actuals!T469</f>
        <v>0</v>
      </c>
      <c r="X59" s="127">
        <f>+Actuals!U469</f>
        <v>0</v>
      </c>
      <c r="Y59" s="128">
        <f>+Actuals!V469</f>
        <v>0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  <c r="AL59" s="127">
        <f>+Actuals!AI469</f>
        <v>0</v>
      </c>
      <c r="AM59" s="128">
        <f>+Actuals!AJ469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+Actuals!S470</f>
        <v>0</v>
      </c>
      <c r="W60" s="128">
        <f>+Actuals!T470</f>
        <v>0</v>
      </c>
      <c r="X60" s="127">
        <f>+Actuals!U470</f>
        <v>0</v>
      </c>
      <c r="Y60" s="128">
        <f>+Actuals!V470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  <c r="AL60" s="127">
        <f>+Actuals!AI470</f>
        <v>0</v>
      </c>
      <c r="AM60" s="128">
        <f>+Actuals!AJ470</f>
        <v>0</v>
      </c>
    </row>
    <row r="61" spans="1:39" x14ac:dyDescent="0.25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40780.620000000003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35662.5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200</v>
      </c>
      <c r="N61" s="61">
        <f t="shared" si="25"/>
        <v>0</v>
      </c>
      <c r="O61" s="39">
        <f t="shared" si="25"/>
        <v>-200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5118.12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-44769270</v>
      </c>
      <c r="E64" s="38">
        <f>SUM(G64,I64,K64,M64,O64,Q64,S64,U64,W64,Y64,AA64,AC64,AE64,AG64,AI64,AK64)</f>
        <v>-1120692.8800000001</v>
      </c>
      <c r="F64" s="64">
        <f>'TIE-OUT'!R64+RECLASS!R64</f>
        <v>0</v>
      </c>
      <c r="G64" s="68">
        <f>'TIE-OUT'!S64+RECLASS!S64</f>
        <v>0</v>
      </c>
      <c r="H64" s="127">
        <f>+Actuals!E271</f>
        <v>-26120781</v>
      </c>
      <c r="I64" s="128">
        <f>+Actuals!F271</f>
        <v>-981470.29</v>
      </c>
      <c r="J64" s="127">
        <f>+Actuals!G271</f>
        <v>-15911713</v>
      </c>
      <c r="K64" s="147">
        <f>+Actuals!H271</f>
        <v>-137390</v>
      </c>
      <c r="L64" s="127">
        <f>+Actuals!I271</f>
        <v>-2771326</v>
      </c>
      <c r="M64" s="128">
        <f>+Actuals!J271</f>
        <v>128</v>
      </c>
      <c r="N64" s="127">
        <f>+Actuals!K271</f>
        <v>34550</v>
      </c>
      <c r="O64" s="128">
        <f>+Actuals!L271</f>
        <v>0.27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+Actuals!Q271</f>
        <v>0</v>
      </c>
      <c r="U64" s="128">
        <f>+Actuals!R271</f>
        <v>0</v>
      </c>
      <c r="V64" s="127">
        <f>+Actuals!S471</f>
        <v>0</v>
      </c>
      <c r="W64" s="128">
        <f>+Actuals!T471</f>
        <v>0</v>
      </c>
      <c r="X64" s="127">
        <f>+Actuals!U471</f>
        <v>0</v>
      </c>
      <c r="Y64" s="128">
        <f>+Actuals!V471</f>
        <v>0</v>
      </c>
      <c r="Z64" s="127">
        <f>+Actuals!W471</f>
        <v>0</v>
      </c>
      <c r="AA64" s="128">
        <f>+Actuals!X471</f>
        <v>0</v>
      </c>
      <c r="AB64" s="127">
        <f>+Actuals!Y471</f>
        <v>0</v>
      </c>
      <c r="AC64" s="128">
        <f>+Actuals!Z471</f>
        <v>1.06</v>
      </c>
      <c r="AD64" s="127">
        <f>+Actuals!AA471</f>
        <v>0</v>
      </c>
      <c r="AE64" s="128">
        <f>+Actuals!AB471</f>
        <v>-18.809999999999999</v>
      </c>
      <c r="AF64" s="127">
        <f>+Actuals!AC471</f>
        <v>0</v>
      </c>
      <c r="AG64" s="128">
        <f>+Actuals!AD471</f>
        <v>-1943.11</v>
      </c>
      <c r="AH64" s="127">
        <f>+Actuals!AE471</f>
        <v>0</v>
      </c>
      <c r="AI64" s="128">
        <f>+Actuals!AF471</f>
        <v>0</v>
      </c>
      <c r="AJ64" s="127">
        <f>+Actuals!AG471</f>
        <v>0</v>
      </c>
      <c r="AK64" s="128">
        <f>+Actuals!AH471</f>
        <v>0</v>
      </c>
      <c r="AL64" s="127">
        <f>+Actuals!AI471</f>
        <v>0</v>
      </c>
      <c r="AM64" s="128">
        <f>+Actuals!AJ471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1115981</v>
      </c>
      <c r="F65" s="81">
        <f>'TIE-OUT'!R65+RECLASS!R65</f>
        <v>0</v>
      </c>
      <c r="G65" s="82">
        <f>'TIE-OUT'!S65+RECLASS!S65</f>
        <v>990206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</f>
        <v>0</v>
      </c>
      <c r="L65" s="127">
        <f>+Actuals!I272</f>
        <v>0</v>
      </c>
      <c r="M65" s="157">
        <f>+Actuals!J272+124221</f>
        <v>124221</v>
      </c>
      <c r="N65" s="127">
        <f>+Actuals!K272</f>
        <v>0</v>
      </c>
      <c r="O65" s="128">
        <f>+Actuals!L272+1554</f>
        <v>1554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</f>
        <v>0</v>
      </c>
      <c r="V65" s="127">
        <f>+Actuals!S472</f>
        <v>0</v>
      </c>
      <c r="W65" s="128">
        <f>+Actuals!T472</f>
        <v>0</v>
      </c>
      <c r="X65" s="127">
        <f>+Actuals!U472</f>
        <v>0</v>
      </c>
      <c r="Y65" s="128">
        <f>+Actuals!V472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  <c r="AL65" s="127">
        <f>+Actuals!AI472</f>
        <v>0</v>
      </c>
      <c r="AM65" s="128">
        <f>+Actuals!AJ472</f>
        <v>0</v>
      </c>
    </row>
    <row r="66" spans="1:39" x14ac:dyDescent="0.25">
      <c r="A66" s="9"/>
      <c r="B66" s="7" t="s">
        <v>67</v>
      </c>
      <c r="C66" s="6"/>
      <c r="D66" s="61">
        <f t="shared" ref="D66:W66" si="28">SUM(D64:D65)</f>
        <v>-44769270</v>
      </c>
      <c r="E66" s="39">
        <f t="shared" si="28"/>
        <v>-4711.8800000001211</v>
      </c>
      <c r="F66" s="61">
        <f t="shared" si="28"/>
        <v>0</v>
      </c>
      <c r="G66" s="39">
        <f t="shared" si="28"/>
        <v>990206</v>
      </c>
      <c r="H66" s="61">
        <f t="shared" si="28"/>
        <v>-26120781</v>
      </c>
      <c r="I66" s="39">
        <f t="shared" si="28"/>
        <v>-981470.29</v>
      </c>
      <c r="J66" s="61">
        <f t="shared" si="28"/>
        <v>-15911713</v>
      </c>
      <c r="K66" s="148">
        <f t="shared" si="28"/>
        <v>-137390</v>
      </c>
      <c r="L66" s="61">
        <f t="shared" si="28"/>
        <v>-2771326</v>
      </c>
      <c r="M66" s="39">
        <f t="shared" si="28"/>
        <v>124349</v>
      </c>
      <c r="N66" s="61">
        <f t="shared" si="28"/>
        <v>34550</v>
      </c>
      <c r="O66" s="39">
        <f t="shared" si="28"/>
        <v>1554.27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1.06</v>
      </c>
      <c r="AD66" s="61">
        <f t="shared" ref="AD66:AI66" si="30">SUM(AD64:AD65)</f>
        <v>0</v>
      </c>
      <c r="AE66" s="39">
        <f t="shared" si="30"/>
        <v>-18.809999999999999</v>
      </c>
      <c r="AF66" s="61">
        <f t="shared" si="30"/>
        <v>0</v>
      </c>
      <c r="AG66" s="39">
        <f t="shared" si="30"/>
        <v>-1943.11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722248.91</v>
      </c>
      <c r="F70" s="64">
        <f>'TIE-OUT'!R70+RECLASS!R70</f>
        <v>0</v>
      </c>
      <c r="G70" s="68">
        <f>'TIE-OUT'!S70+RECLASS!S70</f>
        <v>722248.91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+Actuals!S473</f>
        <v>0</v>
      </c>
      <c r="W70" s="128">
        <f>+Actuals!T473</f>
        <v>0</v>
      </c>
      <c r="X70" s="127">
        <f>+Actuals!U473</f>
        <v>0</v>
      </c>
      <c r="Y70" s="128">
        <f>+Actuals!V473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  <c r="AL70" s="127">
        <f>+Actuals!AI473</f>
        <v>0</v>
      </c>
      <c r="AM70" s="128">
        <f>+Actuals!AJ473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-250999</v>
      </c>
      <c r="F71" s="81">
        <f>'TIE-OUT'!R71+RECLASS!R71</f>
        <v>0</v>
      </c>
      <c r="G71" s="82">
        <f>'TIE-OUT'!S71+RECLASS!S71</f>
        <v>-250999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+Actuals!S474</f>
        <v>0</v>
      </c>
      <c r="W71" s="128">
        <f>+Actuals!T474</f>
        <v>0</v>
      </c>
      <c r="X71" s="127">
        <f>+Actuals!U474</f>
        <v>0</v>
      </c>
      <c r="Y71" s="128">
        <f>+Actuals!V474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  <c r="AL71" s="127">
        <f>+Actuals!AI474</f>
        <v>0</v>
      </c>
      <c r="AM71" s="128">
        <f>+Actuals!AJ474</f>
        <v>0</v>
      </c>
    </row>
    <row r="72" spans="1:39" x14ac:dyDescent="0.25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471249.91000000003</v>
      </c>
      <c r="F72" s="61">
        <f t="shared" si="31"/>
        <v>0</v>
      </c>
      <c r="G72" s="39">
        <f t="shared" si="31"/>
        <v>471249.91000000003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+Actuals!S475</f>
        <v>0</v>
      </c>
      <c r="W73" s="128">
        <f>+Actuals!T475</f>
        <v>0</v>
      </c>
      <c r="X73" s="127">
        <f>+Actuals!U475</f>
        <v>0</v>
      </c>
      <c r="Y73" s="128">
        <f>+Actuals!V475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  <c r="AL73" s="127">
        <f>+Actuals!AI475</f>
        <v>0</v>
      </c>
      <c r="AM73" s="128">
        <f>+Actuals!AJ475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787615</v>
      </c>
      <c r="F74" s="60">
        <f>'TIE-OUT'!R74+RECLASS!R74</f>
        <v>0</v>
      </c>
      <c r="G74" s="60">
        <f>'TIE-OUT'!S74+RECLASS!S74</f>
        <v>901537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v>40680</v>
      </c>
      <c r="L74" s="127">
        <f>+Actuals!I276</f>
        <v>0</v>
      </c>
      <c r="M74" s="157">
        <v>-154602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+Actuals!S476</f>
        <v>0</v>
      </c>
      <c r="W74" s="128">
        <f>+Actuals!T476</f>
        <v>0</v>
      </c>
      <c r="X74" s="127">
        <f>+Actuals!U476</f>
        <v>0</v>
      </c>
      <c r="Y74" s="128">
        <f>+Actuals!V476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  <c r="AL74" s="127">
        <f>+Actuals!AI476</f>
        <v>0</v>
      </c>
      <c r="AM74" s="128">
        <f>+Actuals!AJ476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126900</v>
      </c>
      <c r="F75" s="60">
        <f>'TIE-OUT'!R75+RECLASS!R75</f>
        <v>0</v>
      </c>
      <c r="G75" s="60">
        <f>'TIE-OUT'!S75+RECLASS!S75</f>
        <v>126900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+Actuals!S477</f>
        <v>0</v>
      </c>
      <c r="W75" s="128">
        <f>+Actuals!T477</f>
        <v>0</v>
      </c>
      <c r="X75" s="127">
        <f>+Actuals!U477</f>
        <v>0</v>
      </c>
      <c r="Y75" s="128">
        <f>+Actuals!V477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  <c r="AL75" s="127">
        <f>+Actuals!AI477</f>
        <v>0</v>
      </c>
      <c r="AM75" s="128">
        <f>+Actuals!AJ477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-247584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-245622.75</v>
      </c>
      <c r="J76" s="127">
        <f>+Actuals!G278</f>
        <v>0</v>
      </c>
      <c r="K76" s="147">
        <f>+Actuals!H278</f>
        <v>-1961.25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+Actuals!S478</f>
        <v>0</v>
      </c>
      <c r="W76" s="128">
        <f>+Actuals!T478</f>
        <v>0</v>
      </c>
      <c r="X76" s="127">
        <f>+Actuals!U478</f>
        <v>0</v>
      </c>
      <c r="Y76" s="128">
        <f>+Actuals!V478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  <c r="AL76" s="127">
        <f>+Actuals!AI478</f>
        <v>0</v>
      </c>
      <c r="AM76" s="128">
        <f>+Actuals!AJ478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+Actuals!S479</f>
        <v>0</v>
      </c>
      <c r="W77" s="128">
        <f>+Actuals!T479</f>
        <v>0</v>
      </c>
      <c r="X77" s="127">
        <f>+Actuals!U479</f>
        <v>0</v>
      </c>
      <c r="Y77" s="128">
        <f>+Actuals!V479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  <c r="AL77" s="127">
        <f>+Actuals!AI479</f>
        <v>0</v>
      </c>
      <c r="AM77" s="128">
        <f>+Actuals!AJ479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+Actuals!S480</f>
        <v>0</v>
      </c>
      <c r="W78" s="128">
        <f>+Actuals!T480</f>
        <v>0</v>
      </c>
      <c r="X78" s="127">
        <f>+Actuals!U480</f>
        <v>0</v>
      </c>
      <c r="Y78" s="128">
        <f>+Actuals!V480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  <c r="AL78" s="127">
        <f>+Actuals!AI480</f>
        <v>0</v>
      </c>
      <c r="AM78" s="128">
        <f>+Actuals!AJ480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+Actuals!S481</f>
        <v>0</v>
      </c>
      <c r="W79" s="128">
        <f>+Actuals!T481</f>
        <v>0</v>
      </c>
      <c r="X79" s="127">
        <f>+Actuals!U481</f>
        <v>0</v>
      </c>
      <c r="Y79" s="128">
        <f>+Actuals!V481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  <c r="AL79" s="127">
        <f>+Actuals!AI481</f>
        <v>0</v>
      </c>
      <c r="AM79" s="128">
        <f>+Actuals!AJ481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+Actuals!S482</f>
        <v>0</v>
      </c>
      <c r="W80" s="128">
        <f>+Actuals!T482</f>
        <v>0</v>
      </c>
      <c r="X80" s="127">
        <f>+Actuals!U482</f>
        <v>0</v>
      </c>
      <c r="Y80" s="128">
        <f>+Actuals!V482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  <c r="AL80" s="127">
        <f>+Actuals!AI482</f>
        <v>0</v>
      </c>
      <c r="AM80" s="128">
        <f>+Actuals!AJ482</f>
        <v>0</v>
      </c>
    </row>
    <row r="81" spans="1:71" x14ac:dyDescent="0.25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+Actuals!F283-5708904</f>
        <v>-5708904</v>
      </c>
      <c r="J81" s="127">
        <f>+Actuals!G283</f>
        <v>0</v>
      </c>
      <c r="K81" s="147">
        <v>5708904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+Actuals!S483</f>
        <v>0</v>
      </c>
      <c r="W81" s="128">
        <f>+Actuals!T483</f>
        <v>0</v>
      </c>
      <c r="X81" s="127">
        <f>+Actuals!U483</f>
        <v>0</v>
      </c>
      <c r="Y81" s="128">
        <f>+Actuals!V483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  <c r="AL81" s="127">
        <f>+Actuals!AI483</f>
        <v>0</v>
      </c>
      <c r="AM81" s="128">
        <f>+Actuals!AJ483</f>
        <v>0</v>
      </c>
    </row>
    <row r="82" spans="1:71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2783219.3739999803</v>
      </c>
      <c r="F82" s="92">
        <f>F16+F24+F29+F36+F43+F45+F47+F49</f>
        <v>0</v>
      </c>
      <c r="G82" s="93">
        <f>SUM(G72:G81)+G16+G24+G29+G36+G43+G45+G47+G49+G51+G56+G61+G66</f>
        <v>6059923.0199999996</v>
      </c>
      <c r="H82" s="92">
        <f>H16+H24+H29+H36+H43+H45+H47+H49</f>
        <v>0</v>
      </c>
      <c r="I82" s="93">
        <f>SUM(I72:I81)+I16+I24+I29+I36+I43+I45+I47+I49+I51+I56+I61+I66</f>
        <v>-3612502.1349999961</v>
      </c>
      <c r="J82" s="92">
        <f>J16+J24+J29+J36+J43+J45+J47+J49</f>
        <v>0</v>
      </c>
      <c r="K82" s="164">
        <f>SUM(K72:K81)+K16+K24+K29+K36+K43+K45+K47+K49+K51+K56+K61+K66</f>
        <v>1488938.3259999999</v>
      </c>
      <c r="L82" s="92">
        <f>L16+L24+L29+L36+L43+L45+L47+L49</f>
        <v>0</v>
      </c>
      <c r="M82" s="93">
        <f>SUM(M72:M81)+M16+M24+M29+M36+M43+M45+M47+M49+M51+M56+M61+M66</f>
        <v>-1332824.7579999999</v>
      </c>
      <c r="N82" s="92">
        <f>N16+N24+N29+N36+N43+N45+N47+N49</f>
        <v>0</v>
      </c>
      <c r="O82" s="93">
        <f>SUM(O72:O81)+O16+O24+O29+O36+O43+O45+O47+O49+O51+O56+O61+O66</f>
        <v>178607.81699999998</v>
      </c>
      <c r="P82" s="92">
        <f>P16+P24+P29+P36+P43+P45+P47+P49</f>
        <v>0</v>
      </c>
      <c r="Q82" s="93">
        <f>SUM(Q72:Q81)+Q16+Q24+Q29+Q36+Q43+Q45+Q47+Q49+Q51+Q56+Q61+Q66</f>
        <v>-56749.838999999687</v>
      </c>
      <c r="R82" s="92">
        <f>R16+R24+R29+R36+R43+R45+R47+R49</f>
        <v>0</v>
      </c>
      <c r="S82" s="93">
        <f>SUM(S72:S81)+S16+S24+S29+S36+S43+S45+S47+S49+S51+S56+S61+S66</f>
        <v>-33606.556000000091</v>
      </c>
      <c r="T82" s="92">
        <f>T16+T24+T29+T36+T43+T45+T47+T49</f>
        <v>0</v>
      </c>
      <c r="U82" s="93">
        <f>SUM(U72:U81)+U16+U24+U29+U36+U43+U45+U47+U49+U51+U56+U61+U66</f>
        <v>-157953.39499999947</v>
      </c>
      <c r="V82" s="92">
        <f>V16+V24+V29+V36+V43+V45+V47+V49</f>
        <v>0</v>
      </c>
      <c r="W82" s="93">
        <f>SUM(W72:W81)+W16+W24+W29+W36+W43+W45+W47+W49+W51+W56+W61+W66</f>
        <v>107702.37499999968</v>
      </c>
      <c r="X82" s="92">
        <f>X16+X24+X29+X36+X43+X45+X47+X49</f>
        <v>0</v>
      </c>
      <c r="Y82" s="93">
        <f>SUM(Y72:Y81)+Y16+Y24+Y29+Y36+Y43+Y45+Y47+Y49+Y51+Y56+Y61+Y66</f>
        <v>-399.94699999991803</v>
      </c>
      <c r="Z82" s="92">
        <f>Z16+Z24+Z29+Z36+Z43+Z45+Z47+Z49</f>
        <v>0</v>
      </c>
      <c r="AA82" s="93">
        <f>SUM(AA72:AA81)+AA16+AA24+AA29+AA36+AA43+AA45+AA47+AA49+AA51+AA56+AA61+AA66</f>
        <v>66699.495000000388</v>
      </c>
      <c r="AB82" s="92">
        <f>AB16+AB24+AB29+AB36+AB43+AB45+AB47+AB49</f>
        <v>0</v>
      </c>
      <c r="AC82" s="93">
        <f>SUM(AC72:AC81)+AC16+AC24+AC29+AC36+AC43+AC45+AC47+AC49+AC51+AC56+AC61+AC66</f>
        <v>48311.953000000001</v>
      </c>
      <c r="AD82" s="92">
        <f>AD16+AD24+AD29+AD36+AD43+AD45+AD47+AD49</f>
        <v>0</v>
      </c>
      <c r="AE82" s="93">
        <f>SUM(AE72:AE81)+AE16+AE24+AE29+AE36+AE43+AE45+AE47+AE49+AE51+AE56+AE61+AE66</f>
        <v>74759.946999999956</v>
      </c>
      <c r="AF82" s="92">
        <f>AF16+AF24+AF29+AF36+AF43+AF45+AF47+AF49</f>
        <v>0</v>
      </c>
      <c r="AG82" s="93">
        <f>SUM(AG72:AG81)+AG16+AG24+AG29+AG36+AG43+AG45+AG47+AG49+AG51+AG56+AG61+AG66</f>
        <v>-33110.568999999996</v>
      </c>
      <c r="AH82" s="92">
        <f>AH16+AH24+AH29+AH36+AH43+AH45+AH47+AH49</f>
        <v>0</v>
      </c>
      <c r="AI82" s="93">
        <f>SUM(AI72:AI81)+AI16+AI24+AI29+AI36+AI43+AI45+AI47+AI49+AI51+AI56+AI61+AI66</f>
        <v>-9448.64</v>
      </c>
      <c r="AJ82" s="92">
        <f>AJ16+AJ24+AJ29+AJ36+AJ43+AJ45+AJ47+AJ49</f>
        <v>0</v>
      </c>
      <c r="AK82" s="93">
        <f>SUM(AK72:AK81)+AK16+AK24+AK29+AK36+AK43+AK45+AK47+AK49+AK51+AK56+AK61+AK66</f>
        <v>2110.0900000000051</v>
      </c>
      <c r="AL82" s="92">
        <f>AL16+AL24+AL29+AL36+AL43+AL45+AL47+AL49</f>
        <v>0</v>
      </c>
      <c r="AM82" s="93">
        <f>SUM(AM72:AM81)+AM16+AM24+AM29+AM36+AM43+AM45+AM47+AM49+AM51+AM56+AM61+AM66</f>
        <v>-7237.8099999999959</v>
      </c>
    </row>
    <row r="83" spans="1:71" ht="13.8" thickTop="1" x14ac:dyDescent="0.25">
      <c r="A83" s="4"/>
      <c r="B83" s="3"/>
    </row>
    <row r="84" spans="1:71" x14ac:dyDescent="0.25">
      <c r="A84" s="4"/>
      <c r="B84" s="3"/>
      <c r="I84" s="45"/>
    </row>
    <row r="85" spans="1:71" x14ac:dyDescent="0.25">
      <c r="A85" s="4" t="s">
        <v>180</v>
      </c>
      <c r="B85" s="3"/>
      <c r="F85" s="31"/>
      <c r="G85" s="31"/>
      <c r="H85" s="31"/>
      <c r="I85" s="31"/>
      <c r="K85"/>
      <c r="L85" s="45"/>
    </row>
    <row r="86" spans="1:71" s="3" customFormat="1" x14ac:dyDescent="0.25">
      <c r="A86" s="172"/>
      <c r="C86" s="10" t="s">
        <v>176</v>
      </c>
      <c r="D86" s="173">
        <f t="shared" ref="D86:E88" si="36">SUM(F86,H86,J86,L86,N86,P86,R86,T86,V86,X86,Z86,AB86,AD86)</f>
        <v>0</v>
      </c>
      <c r="E86" s="173">
        <f t="shared" si="36"/>
        <v>5825473</v>
      </c>
      <c r="F86" s="173">
        <f>'TIE-OUT'!R86+RECLASS!R86</f>
        <v>0</v>
      </c>
      <c r="G86" s="173">
        <f>'TIE-OUT'!S86+RECLASS!S86</f>
        <v>5825473</v>
      </c>
      <c r="H86" s="173">
        <v>0</v>
      </c>
      <c r="I86" s="173">
        <v>0</v>
      </c>
      <c r="J86" s="173">
        <v>0</v>
      </c>
      <c r="K86" s="173"/>
      <c r="L86" s="173">
        <v>0</v>
      </c>
      <c r="M86" s="173">
        <v>0</v>
      </c>
      <c r="N86" s="173">
        <v>0</v>
      </c>
      <c r="O86" s="173">
        <v>0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</row>
    <row r="87" spans="1:71" s="3" customFormat="1" x14ac:dyDescent="0.25">
      <c r="A87" s="172"/>
      <c r="C87" s="10" t="s">
        <v>74</v>
      </c>
      <c r="D87" s="174">
        <f t="shared" si="36"/>
        <v>0</v>
      </c>
      <c r="E87" s="174">
        <f t="shared" si="36"/>
        <v>0</v>
      </c>
      <c r="F87" s="174">
        <f>'TIE-OUT'!R87+RECLASS!R87</f>
        <v>0</v>
      </c>
      <c r="G87" s="174">
        <f>'TIE-OUT'!S87+RECLASS!S87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</row>
    <row r="88" spans="1:71" s="3" customFormat="1" x14ac:dyDescent="0.25">
      <c r="A88" s="172"/>
      <c r="C88" s="10" t="s">
        <v>75</v>
      </c>
      <c r="D88" s="175">
        <f t="shared" si="36"/>
        <v>0</v>
      </c>
      <c r="E88" s="175">
        <f t="shared" si="36"/>
        <v>-5830400</v>
      </c>
      <c r="F88" s="175">
        <f>'TIE-OUT'!R88+RECLASS!R88</f>
        <v>0</v>
      </c>
      <c r="G88" s="175">
        <f>'TIE-OUT'!S88+RECLASS!S88</f>
        <v>-5830400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</row>
    <row r="89" spans="1:71" s="44" customFormat="1" ht="20.25" customHeight="1" x14ac:dyDescent="0.25">
      <c r="A89" s="179"/>
      <c r="B89" s="180"/>
      <c r="C89" s="185" t="s">
        <v>179</v>
      </c>
      <c r="D89" s="183">
        <f>SUM(D86:D88)</f>
        <v>0</v>
      </c>
      <c r="E89" s="183">
        <f t="shared" ref="E89:M89" si="37">SUM(E86:E88)</f>
        <v>-4927</v>
      </c>
      <c r="F89" s="183">
        <f t="shared" si="37"/>
        <v>0</v>
      </c>
      <c r="G89" s="183">
        <f t="shared" si="37"/>
        <v>-4927</v>
      </c>
      <c r="H89" s="183">
        <f t="shared" si="37"/>
        <v>0</v>
      </c>
      <c r="I89" s="183">
        <f t="shared" si="37"/>
        <v>0</v>
      </c>
      <c r="J89" s="183">
        <f t="shared" si="37"/>
        <v>0</v>
      </c>
      <c r="K89" s="183">
        <f t="shared" si="37"/>
        <v>0</v>
      </c>
      <c r="L89" s="183">
        <f t="shared" si="37"/>
        <v>0</v>
      </c>
      <c r="M89" s="183">
        <f t="shared" si="37"/>
        <v>0</v>
      </c>
      <c r="N89" s="183">
        <f t="shared" ref="N89:AE89" si="38">SUM(N86:N88)</f>
        <v>0</v>
      </c>
      <c r="O89" s="183">
        <f t="shared" si="38"/>
        <v>0</v>
      </c>
      <c r="P89" s="183">
        <f t="shared" si="38"/>
        <v>0</v>
      </c>
      <c r="Q89" s="183">
        <f t="shared" si="38"/>
        <v>0</v>
      </c>
      <c r="R89" s="183">
        <f t="shared" si="38"/>
        <v>0</v>
      </c>
      <c r="S89" s="183">
        <f t="shared" si="38"/>
        <v>0</v>
      </c>
      <c r="T89" s="183">
        <f t="shared" si="38"/>
        <v>0</v>
      </c>
      <c r="U89" s="183">
        <f t="shared" si="38"/>
        <v>0</v>
      </c>
      <c r="V89" s="183">
        <f t="shared" si="38"/>
        <v>0</v>
      </c>
      <c r="W89" s="183">
        <f t="shared" si="38"/>
        <v>0</v>
      </c>
      <c r="X89" s="183">
        <f t="shared" si="38"/>
        <v>0</v>
      </c>
      <c r="Y89" s="183">
        <f t="shared" si="38"/>
        <v>0</v>
      </c>
      <c r="Z89" s="183">
        <f t="shared" si="38"/>
        <v>0</v>
      </c>
      <c r="AA89" s="183">
        <f t="shared" si="38"/>
        <v>0</v>
      </c>
      <c r="AB89" s="183">
        <f t="shared" si="38"/>
        <v>0</v>
      </c>
      <c r="AC89" s="183">
        <f t="shared" si="38"/>
        <v>0</v>
      </c>
      <c r="AD89" s="183">
        <f t="shared" si="38"/>
        <v>0</v>
      </c>
      <c r="AE89" s="183">
        <f t="shared" si="38"/>
        <v>0</v>
      </c>
      <c r="AF89" s="183">
        <f t="shared" ref="AF89:AK89" si="39">SUM(AF86:AF88)</f>
        <v>0</v>
      </c>
      <c r="AG89" s="183">
        <f t="shared" si="39"/>
        <v>0</v>
      </c>
      <c r="AH89" s="183">
        <f t="shared" si="39"/>
        <v>0</v>
      </c>
      <c r="AI89" s="183">
        <f t="shared" si="39"/>
        <v>0</v>
      </c>
      <c r="AJ89" s="183">
        <f t="shared" si="39"/>
        <v>0</v>
      </c>
      <c r="AK89" s="183">
        <f t="shared" si="39"/>
        <v>0</v>
      </c>
      <c r="AL89" s="183">
        <f>SUM(AL86:AL88)</f>
        <v>0</v>
      </c>
      <c r="AM89" s="183">
        <f>SUM(AM86:AM88)</f>
        <v>0</v>
      </c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5">
      <c r="A91" s="179"/>
      <c r="B91" s="180"/>
      <c r="C91" s="185" t="s">
        <v>182</v>
      </c>
      <c r="D91" s="183">
        <f>+D82+D89</f>
        <v>0</v>
      </c>
      <c r="E91" s="183">
        <f t="shared" ref="E91:M91" si="40">+E82+E89</f>
        <v>2778292.3739999803</v>
      </c>
      <c r="F91" s="183">
        <f t="shared" si="40"/>
        <v>0</v>
      </c>
      <c r="G91" s="183">
        <f t="shared" si="40"/>
        <v>6054996.0199999996</v>
      </c>
      <c r="H91" s="183">
        <f t="shared" si="40"/>
        <v>0</v>
      </c>
      <c r="I91" s="183">
        <f t="shared" si="40"/>
        <v>-3612502.1349999961</v>
      </c>
      <c r="J91" s="183">
        <f t="shared" si="40"/>
        <v>0</v>
      </c>
      <c r="K91" s="183">
        <f t="shared" si="40"/>
        <v>1488938.3259999999</v>
      </c>
      <c r="L91" s="183">
        <f t="shared" si="40"/>
        <v>0</v>
      </c>
      <c r="M91" s="183">
        <f t="shared" si="40"/>
        <v>-1332824.7579999999</v>
      </c>
      <c r="N91" s="183">
        <f t="shared" ref="N91:AE91" si="41">+N82+N89</f>
        <v>0</v>
      </c>
      <c r="O91" s="183">
        <f t="shared" si="41"/>
        <v>178607.81699999998</v>
      </c>
      <c r="P91" s="183">
        <f t="shared" si="41"/>
        <v>0</v>
      </c>
      <c r="Q91" s="183">
        <f t="shared" si="41"/>
        <v>-56749.838999999687</v>
      </c>
      <c r="R91" s="183">
        <f t="shared" si="41"/>
        <v>0</v>
      </c>
      <c r="S91" s="183">
        <f t="shared" si="41"/>
        <v>-33606.556000000091</v>
      </c>
      <c r="T91" s="183">
        <f t="shared" si="41"/>
        <v>0</v>
      </c>
      <c r="U91" s="183">
        <f t="shared" si="41"/>
        <v>-157953.39499999947</v>
      </c>
      <c r="V91" s="183">
        <f t="shared" si="41"/>
        <v>0</v>
      </c>
      <c r="W91" s="183">
        <f t="shared" si="41"/>
        <v>107702.37499999968</v>
      </c>
      <c r="X91" s="183">
        <f t="shared" si="41"/>
        <v>0</v>
      </c>
      <c r="Y91" s="183">
        <f t="shared" si="41"/>
        <v>-399.94699999991803</v>
      </c>
      <c r="Z91" s="183">
        <f t="shared" si="41"/>
        <v>0</v>
      </c>
      <c r="AA91" s="183">
        <f t="shared" si="41"/>
        <v>66699.495000000388</v>
      </c>
      <c r="AB91" s="183">
        <f t="shared" si="41"/>
        <v>0</v>
      </c>
      <c r="AC91" s="183">
        <f t="shared" si="41"/>
        <v>48311.953000000001</v>
      </c>
      <c r="AD91" s="183">
        <f t="shared" si="41"/>
        <v>0</v>
      </c>
      <c r="AE91" s="183">
        <f t="shared" si="41"/>
        <v>74759.946999999956</v>
      </c>
      <c r="AF91" s="183">
        <f t="shared" ref="AF91:AK91" si="42">+AF82+AF89</f>
        <v>0</v>
      </c>
      <c r="AG91" s="183">
        <f t="shared" si="42"/>
        <v>-33110.568999999996</v>
      </c>
      <c r="AH91" s="183">
        <f t="shared" si="42"/>
        <v>0</v>
      </c>
      <c r="AI91" s="183">
        <f t="shared" si="42"/>
        <v>-9448.64</v>
      </c>
      <c r="AJ91" s="183">
        <f t="shared" si="42"/>
        <v>0</v>
      </c>
      <c r="AK91" s="183">
        <f t="shared" si="42"/>
        <v>2110.0900000000051</v>
      </c>
      <c r="AL91" s="183">
        <f>+AL82+AL89</f>
        <v>0</v>
      </c>
      <c r="AM91" s="183">
        <f>+AM82+AM89</f>
        <v>-7237.8099999999959</v>
      </c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M176"/>
  <sheetViews>
    <sheetView zoomScale="75" workbookViewId="0">
      <pane xSplit="3" ySplit="9" topLeftCell="U1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39" width="15.44140625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962126</v>
      </c>
      <c r="E11" s="38">
        <f t="shared" si="0"/>
        <v>2104875.1900000004</v>
      </c>
      <c r="F11" s="60">
        <f>'TIE-OUT'!P11+RECLASS!P11</f>
        <v>0</v>
      </c>
      <c r="G11" s="38">
        <f>'TIE-OUT'!Q11+RECLASS!Q11</f>
        <v>0</v>
      </c>
      <c r="H11" s="127">
        <f>+Actuals!E4</f>
        <v>964829</v>
      </c>
      <c r="I11" s="128">
        <f>+Actuals!F4</f>
        <v>2116231.87</v>
      </c>
      <c r="J11" s="127">
        <f>+Actuals!G4</f>
        <v>58775</v>
      </c>
      <c r="K11" s="147">
        <f>+Actuals!H4</f>
        <v>125431.87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-61478</v>
      </c>
      <c r="Q11" s="128">
        <f>+Actuals!N4</f>
        <v>-136788.54999999999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f>+Actuals!AG4</f>
        <v>0</v>
      </c>
      <c r="AK11" s="128">
        <f>+Actuals!AH4</f>
        <v>0</v>
      </c>
      <c r="AL11" s="127">
        <f>+Actuals!AI4</f>
        <v>0</v>
      </c>
      <c r="AM11" s="128">
        <f>+Actuals!AJ4</f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-8636.77</v>
      </c>
      <c r="F12" s="60">
        <f>'TIE-OUT'!P12+RECLASS!P12</f>
        <v>0</v>
      </c>
      <c r="G12" s="38">
        <f>'TIE-OUT'!Q12+RECLASS!Q12</f>
        <v>-8636.77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60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  <c r="AL12" s="127">
        <f>+Actuals!AI5</f>
        <v>0</v>
      </c>
      <c r="AM12" s="128">
        <f>+Actuals!AJ5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  <c r="AL13" s="127">
        <f>+Actuals!AI6</f>
        <v>0</v>
      </c>
      <c r="AM13" s="128">
        <f>+Actuals!AJ6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  <c r="AL14" s="127">
        <f>+Actuals!AI7</f>
        <v>0</v>
      </c>
      <c r="AM14" s="128">
        <f>+Actuals!AJ7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  <c r="AL15" s="127">
        <f>+Actuals!AI8</f>
        <v>0</v>
      </c>
      <c r="AM15" s="128">
        <f>+Actuals!AJ8</f>
        <v>0</v>
      </c>
    </row>
    <row r="16" spans="1:39" x14ac:dyDescent="0.25">
      <c r="A16" s="9"/>
      <c r="B16" s="7" t="s">
        <v>33</v>
      </c>
      <c r="C16" s="6"/>
      <c r="D16" s="61">
        <f>SUM(D11:D15)</f>
        <v>962126</v>
      </c>
      <c r="E16" s="39">
        <f>SUM(E11:E15)</f>
        <v>2096238.4200000004</v>
      </c>
      <c r="F16" s="61">
        <f t="shared" ref="F16:W16" si="1">SUM(F11:F15)</f>
        <v>0</v>
      </c>
      <c r="G16" s="39">
        <f t="shared" si="1"/>
        <v>-8636.77</v>
      </c>
      <c r="H16" s="61">
        <f t="shared" si="1"/>
        <v>964829</v>
      </c>
      <c r="I16" s="39">
        <f t="shared" si="1"/>
        <v>2116231.87</v>
      </c>
      <c r="J16" s="61">
        <f t="shared" si="1"/>
        <v>58775</v>
      </c>
      <c r="K16" s="148">
        <f t="shared" si="1"/>
        <v>125431.87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-61478</v>
      </c>
      <c r="Q16" s="39">
        <f t="shared" si="1"/>
        <v>-136788.54999999999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-1065864</v>
      </c>
      <c r="E19" s="38">
        <f t="shared" si="4"/>
        <v>-2287666.0299999998</v>
      </c>
      <c r="F19" s="64">
        <f>'TIE-OUT'!P19+RECLASS!P19</f>
        <v>0</v>
      </c>
      <c r="G19" s="68">
        <f>'TIE-OUT'!Q19+RECLASS!Q19</f>
        <v>0</v>
      </c>
      <c r="H19" s="127">
        <f>+Actuals!E9</f>
        <v>-983775</v>
      </c>
      <c r="I19" s="128">
        <f>+Actuals!F9</f>
        <v>-2105036.44</v>
      </c>
      <c r="J19" s="127">
        <f>+Actuals!G9</f>
        <v>-145836</v>
      </c>
      <c r="K19" s="147">
        <f>+Actuals!H9</f>
        <v>-325447.98</v>
      </c>
      <c r="L19" s="127">
        <f>+Actuals!I9</f>
        <v>2239</v>
      </c>
      <c r="M19" s="128">
        <f>+Actuals!J9</f>
        <v>5470.64</v>
      </c>
      <c r="N19" s="127">
        <f>+Actuals!K9</f>
        <v>30</v>
      </c>
      <c r="O19" s="128">
        <f>+Actuals!L9</f>
        <v>57.12</v>
      </c>
      <c r="P19" s="127">
        <f>+Actuals!M9</f>
        <v>61478</v>
      </c>
      <c r="Q19" s="128">
        <f>+Actuals!N9</f>
        <v>137290.63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  <c r="AL19" s="127">
        <f>+Actuals!AI9</f>
        <v>0</v>
      </c>
      <c r="AM19" s="128">
        <f>+Actuals!AJ9</f>
        <v>0</v>
      </c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-10002.44</v>
      </c>
      <c r="F20" s="60">
        <f>'TIE-OUT'!P20+RECLASS!P20</f>
        <v>0</v>
      </c>
      <c r="G20" s="38">
        <f>'TIE-OUT'!Q20+RECLASS!Q20</f>
        <v>-10002.44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  <c r="AL20" s="127">
        <f>+Actuals!AI10</f>
        <v>0</v>
      </c>
      <c r="AM20" s="128">
        <f>+Actuals!AJ10</f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  <c r="AL21" s="127">
        <f>+Actuals!AI11</f>
        <v>0</v>
      </c>
      <c r="AM21" s="128">
        <f>+Actuals!AJ11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  <c r="AL22" s="127">
        <f>+Actuals!AI12</f>
        <v>0</v>
      </c>
      <c r="AM22" s="128">
        <f>+Actuals!AJ12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  <c r="AL23" s="127">
        <f>+Actuals!AI13</f>
        <v>0</v>
      </c>
      <c r="AM23" s="128">
        <f>+Actuals!AJ13</f>
        <v>0</v>
      </c>
    </row>
    <row r="24" spans="1:39" x14ac:dyDescent="0.25">
      <c r="A24" s="9"/>
      <c r="B24" s="7" t="s">
        <v>36</v>
      </c>
      <c r="C24" s="6"/>
      <c r="D24" s="61">
        <f>SUM(D19:D23)</f>
        <v>-1065864</v>
      </c>
      <c r="E24" s="39">
        <f>SUM(E19:E23)</f>
        <v>-2297668.4699999997</v>
      </c>
      <c r="F24" s="61">
        <f t="shared" ref="F24:W24" si="5">SUM(F19:F23)</f>
        <v>0</v>
      </c>
      <c r="G24" s="39">
        <f t="shared" si="5"/>
        <v>-10002.44</v>
      </c>
      <c r="H24" s="61">
        <f t="shared" si="5"/>
        <v>-983775</v>
      </c>
      <c r="I24" s="39">
        <f t="shared" si="5"/>
        <v>-2105036.44</v>
      </c>
      <c r="J24" s="61">
        <f t="shared" si="5"/>
        <v>-145836</v>
      </c>
      <c r="K24" s="148">
        <f t="shared" si="5"/>
        <v>-325447.98</v>
      </c>
      <c r="L24" s="61">
        <f t="shared" si="5"/>
        <v>2239</v>
      </c>
      <c r="M24" s="39">
        <f t="shared" si="5"/>
        <v>5470.64</v>
      </c>
      <c r="N24" s="61">
        <f t="shared" si="5"/>
        <v>30</v>
      </c>
      <c r="O24" s="39">
        <f t="shared" si="5"/>
        <v>57.12</v>
      </c>
      <c r="P24" s="61">
        <f t="shared" si="5"/>
        <v>61478</v>
      </c>
      <c r="Q24" s="39">
        <f t="shared" si="5"/>
        <v>137290.63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110708</v>
      </c>
      <c r="E27" s="38">
        <f>SUM(G27,I27,K27,M27,O27,Q27,S27,U27,W27,Y27,AA27,AC27,AE27,AG27,AI27,AK27,AM27)</f>
        <v>239524.14950000003</v>
      </c>
      <c r="F27" s="64">
        <f>'TIE-OUT'!P27+RECLASS!P27</f>
        <v>0</v>
      </c>
      <c r="G27" s="68">
        <f>'TIE-OUT'!Q27+RECLASS!Q27</f>
        <v>0</v>
      </c>
      <c r="H27" s="127">
        <f>+Actuals!E14</f>
        <v>24320</v>
      </c>
      <c r="I27" s="128">
        <f>+Actuals!F14</f>
        <v>54476.800000000003</v>
      </c>
      <c r="J27" s="127">
        <f>+Actuals!G14</f>
        <v>61975</v>
      </c>
      <c r="K27" s="147">
        <f>+Actuals!H14</f>
        <v>132503.4675</v>
      </c>
      <c r="L27" s="127">
        <f>+Actuals!I14</f>
        <v>24463</v>
      </c>
      <c r="M27" s="128">
        <f>+Actuals!J14</f>
        <v>52649.953800000003</v>
      </c>
      <c r="N27" s="127">
        <f>+Actuals!K14</f>
        <v>-50</v>
      </c>
      <c r="O27" s="128">
        <f>+Actuals!L14</f>
        <v>-106.0718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  <c r="AF27" s="127">
        <f>+Actuals!AC14</f>
        <v>0</v>
      </c>
      <c r="AG27" s="128">
        <f>+Actuals!AD14</f>
        <v>0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  <c r="AL27" s="127">
        <f>+Actuals!AI14</f>
        <v>0</v>
      </c>
      <c r="AM27" s="128">
        <f>+Actuals!AJ14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-6990</v>
      </c>
      <c r="E28" s="38">
        <f>SUM(G28,I28,K28,M28,O28,Q28,S28,U28,W28,Y28,AA28,AC28,AE28,AG28,AI28,AK28,AM28)</f>
        <v>-15862.28</v>
      </c>
      <c r="F28" s="81">
        <f>'TIE-OUT'!P28+RECLASS!P28</f>
        <v>0</v>
      </c>
      <c r="G28" s="82">
        <f>'TIE-OUT'!Q28+RECLASS!Q28</f>
        <v>0</v>
      </c>
      <c r="H28" s="127">
        <f>+Actuals!E15</f>
        <v>-5374</v>
      </c>
      <c r="I28" s="128">
        <f>+Actuals!F15</f>
        <v>-12177.94</v>
      </c>
      <c r="J28" s="127">
        <f>+Actuals!G15</f>
        <v>-1616</v>
      </c>
      <c r="K28" s="147">
        <f>+Actuals!H15</f>
        <v>-3684.34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  <c r="AL28" s="127">
        <f>+Actuals!AI15</f>
        <v>0</v>
      </c>
      <c r="AM28" s="128">
        <f>+Actuals!AJ15</f>
        <v>0</v>
      </c>
    </row>
    <row r="29" spans="1:39" x14ac:dyDescent="0.25">
      <c r="A29" s="9"/>
      <c r="B29" s="7" t="s">
        <v>40</v>
      </c>
      <c r="C29" s="18"/>
      <c r="D29" s="61">
        <f>SUM(D27:D28)</f>
        <v>103718</v>
      </c>
      <c r="E29" s="39">
        <f>SUM(E27:E28)</f>
        <v>223661.86950000003</v>
      </c>
      <c r="F29" s="61">
        <f t="shared" ref="F29:W29" si="8">SUM(F27:F28)</f>
        <v>0</v>
      </c>
      <c r="G29" s="39">
        <f t="shared" si="8"/>
        <v>0</v>
      </c>
      <c r="H29" s="61">
        <f t="shared" si="8"/>
        <v>18946</v>
      </c>
      <c r="I29" s="39">
        <f t="shared" si="8"/>
        <v>42298.86</v>
      </c>
      <c r="J29" s="61">
        <f t="shared" si="8"/>
        <v>60359</v>
      </c>
      <c r="K29" s="148">
        <f t="shared" si="8"/>
        <v>128819.1275</v>
      </c>
      <c r="L29" s="61">
        <f t="shared" si="8"/>
        <v>24463</v>
      </c>
      <c r="M29" s="39">
        <f t="shared" si="8"/>
        <v>52649.953800000003</v>
      </c>
      <c r="N29" s="61">
        <f t="shared" si="8"/>
        <v>-50</v>
      </c>
      <c r="O29" s="39">
        <f t="shared" si="8"/>
        <v>-106.0718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20</v>
      </c>
      <c r="E32" s="38">
        <f t="shared" si="11"/>
        <v>43.62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26702</v>
      </c>
      <c r="K32" s="147">
        <f>+Actuals!H16</f>
        <v>58237.061999999998</v>
      </c>
      <c r="L32" s="127">
        <f>+Actuals!I16</f>
        <v>-26702</v>
      </c>
      <c r="M32" s="128">
        <f>+Actuals!J16</f>
        <v>-58237.061999999998</v>
      </c>
      <c r="N32" s="127">
        <f>+Actuals!K16</f>
        <v>20</v>
      </c>
      <c r="O32" s="128">
        <f>+Actuals!L16</f>
        <v>51.74</v>
      </c>
      <c r="P32" s="127">
        <f>+Actuals!M16</f>
        <v>0</v>
      </c>
      <c r="Q32" s="128">
        <f>+Actuals!N16</f>
        <v>5.62</v>
      </c>
      <c r="R32" s="127">
        <f>+Actuals!O16</f>
        <v>0</v>
      </c>
      <c r="S32" s="128">
        <f>+Actuals!P16</f>
        <v>-14.98</v>
      </c>
      <c r="T32" s="127">
        <f>+Actuals!Q16</f>
        <v>0</v>
      </c>
      <c r="U32" s="128">
        <f>+Actuals!R16</f>
        <v>1.24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f>+Actuals!AG16</f>
        <v>0</v>
      </c>
      <c r="AK32" s="128">
        <f>+Actuals!AH16</f>
        <v>0</v>
      </c>
      <c r="AL32" s="127">
        <f>+Actuals!AI16</f>
        <v>0</v>
      </c>
      <c r="AM32" s="128">
        <f>+Actuals!AJ16</f>
        <v>0</v>
      </c>
    </row>
    <row r="33" spans="1:39" x14ac:dyDescent="0.25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  <c r="AL33" s="127">
        <f>+Actuals!AI17</f>
        <v>0</v>
      </c>
      <c r="AM33" s="128">
        <f>+Actuals!AJ17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  <c r="AL34" s="127">
        <f>+Actuals!AI18</f>
        <v>0</v>
      </c>
      <c r="AM34" s="128">
        <f>+Actuals!AJ18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  <c r="AL35" s="127">
        <f>+Actuals!AI19</f>
        <v>0</v>
      </c>
      <c r="AM35" s="128">
        <f>+Actuals!AJ19</f>
        <v>0</v>
      </c>
    </row>
    <row r="36" spans="1:39" x14ac:dyDescent="0.25">
      <c r="A36" s="9"/>
      <c r="B36" s="7" t="s">
        <v>46</v>
      </c>
      <c r="C36" s="6"/>
      <c r="D36" s="61">
        <f>SUM(D32:D35)</f>
        <v>20</v>
      </c>
      <c r="E36" s="39">
        <f>SUM(E32:E35)</f>
        <v>43.62</v>
      </c>
      <c r="F36" s="61">
        <f t="shared" ref="F36:W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26702</v>
      </c>
      <c r="K36" s="148">
        <f t="shared" si="12"/>
        <v>58237.061999999998</v>
      </c>
      <c r="L36" s="61">
        <f t="shared" si="12"/>
        <v>-26702</v>
      </c>
      <c r="M36" s="39">
        <f t="shared" si="12"/>
        <v>-58237.061999999998</v>
      </c>
      <c r="N36" s="61">
        <f t="shared" si="12"/>
        <v>20</v>
      </c>
      <c r="O36" s="39">
        <f t="shared" si="12"/>
        <v>51.74</v>
      </c>
      <c r="P36" s="61">
        <f t="shared" si="12"/>
        <v>0</v>
      </c>
      <c r="Q36" s="39">
        <f t="shared" si="12"/>
        <v>5.62</v>
      </c>
      <c r="R36" s="61">
        <f t="shared" si="12"/>
        <v>0</v>
      </c>
      <c r="S36" s="39">
        <f t="shared" si="12"/>
        <v>-14.98</v>
      </c>
      <c r="T36" s="61">
        <f t="shared" si="12"/>
        <v>0</v>
      </c>
      <c r="U36" s="39">
        <f t="shared" si="12"/>
        <v>1.24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  <c r="AL39" s="127">
        <f>+Actuals!AI20</f>
        <v>0</v>
      </c>
      <c r="AM39" s="128">
        <f>+Actuals!AJ20</f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  <c r="AL40" s="127">
        <f>+Actuals!AI21</f>
        <v>0</v>
      </c>
      <c r="AM40" s="128">
        <f>+Actuals!AJ21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  <c r="AL41" s="127">
        <f>+Actuals!AI22</f>
        <v>0</v>
      </c>
      <c r="AM41" s="128">
        <f>+Actuals!AJ22</f>
        <v>0</v>
      </c>
    </row>
    <row r="42" spans="1:39" x14ac:dyDescent="0.25">
      <c r="A42" s="9"/>
      <c r="B42" s="7"/>
      <c r="C42" s="53" t="s">
        <v>51</v>
      </c>
      <c r="D42" s="61">
        <f>SUM(D40:D41)</f>
        <v>0</v>
      </c>
      <c r="E42" s="39">
        <f>SUM(E40:E41)</f>
        <v>0</v>
      </c>
      <c r="F42" s="61">
        <f t="shared" ref="F42:W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>D42+D39</f>
        <v>0</v>
      </c>
      <c r="E43" s="39">
        <f>E42+E39</f>
        <v>0</v>
      </c>
      <c r="F43" s="61">
        <f t="shared" ref="F43:W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  <c r="AL45" s="127">
        <f>+Actuals!AI23</f>
        <v>0</v>
      </c>
      <c r="AM45" s="128">
        <f>+Actuals!AJ23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-0.44000000000050932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9717.56</v>
      </c>
      <c r="L47" s="127">
        <f>+Actuals!I24</f>
        <v>0</v>
      </c>
      <c r="M47" s="128">
        <f>+Actuals!J24</f>
        <v>0</v>
      </c>
      <c r="N47" s="127">
        <f>+Actuals!K24</f>
        <v>0</v>
      </c>
      <c r="O47" s="128">
        <f>+Actuals!L24-9718</f>
        <v>-9718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  <c r="AL47" s="127">
        <f>+Actuals!AI24</f>
        <v>0</v>
      </c>
      <c r="AM47" s="128">
        <f>+Actuals!AJ24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f>+Actuals!AG25</f>
        <v>0</v>
      </c>
      <c r="AK49" s="128">
        <f>+Actuals!AH25</f>
        <v>0</v>
      </c>
      <c r="AL49" s="127">
        <f>+Actuals!AI25</f>
        <v>0</v>
      </c>
      <c r="AM49" s="128">
        <f>+Actuals!AJ25</f>
        <v>0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  <c r="AL51" s="127">
        <f>+Actuals!AI26</f>
        <v>0</v>
      </c>
      <c r="AM51" s="128">
        <f>+Actuals!AJ26</f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f>+Actuals!AG27</f>
        <v>0</v>
      </c>
      <c r="AK54" s="128">
        <f>+Actuals!AH27</f>
        <v>0</v>
      </c>
      <c r="AL54" s="127">
        <f>+Actuals!AI27</f>
        <v>0</v>
      </c>
      <c r="AM54" s="128">
        <f>+Actuals!AJ27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-642398</v>
      </c>
      <c r="F55" s="81">
        <f>'TIE-OUT'!P55+RECLASS!P55</f>
        <v>0</v>
      </c>
      <c r="G55" s="82">
        <f>'TIE-OUT'!Q55+RECLASS!Q55</f>
        <v>-977753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60">
        <v>335355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f>+Actuals!AH28</f>
        <v>0</v>
      </c>
      <c r="AL55" s="127">
        <f>+Actuals!AI28</f>
        <v>0</v>
      </c>
      <c r="AM55" s="128">
        <f>+Actuals!AJ28</f>
        <v>0</v>
      </c>
    </row>
    <row r="56" spans="1:39" x14ac:dyDescent="0.25">
      <c r="A56" s="9"/>
      <c r="B56" s="7" t="s">
        <v>60</v>
      </c>
      <c r="C56" s="6"/>
      <c r="D56" s="61">
        <f>SUM(D54:D55)</f>
        <v>0</v>
      </c>
      <c r="E56" s="39">
        <f>SUM(E54:E55)</f>
        <v>-642398</v>
      </c>
      <c r="F56" s="61">
        <f t="shared" ref="F56:W56" si="22">SUM(F54:F55)</f>
        <v>0</v>
      </c>
      <c r="G56" s="39">
        <f t="shared" si="22"/>
        <v>-977753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335355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1949.96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1949.96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  <c r="AL59" s="127">
        <f>+Actuals!AI29</f>
        <v>0</v>
      </c>
      <c r="AM59" s="128">
        <f>+Actuals!AJ29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  <c r="AL60" s="127">
        <f>+Actuals!AI30</f>
        <v>0</v>
      </c>
      <c r="AM60" s="128">
        <f>+Actuals!AJ30</f>
        <v>0</v>
      </c>
    </row>
    <row r="61" spans="1:39" x14ac:dyDescent="0.25">
      <c r="A61" s="9"/>
      <c r="B61" s="62" t="s">
        <v>64</v>
      </c>
      <c r="C61" s="6"/>
      <c r="D61" s="61">
        <f>SUM(D59:D60)</f>
        <v>0</v>
      </c>
      <c r="E61" s="39">
        <f>SUM(E59:E60)</f>
        <v>1949.96</v>
      </c>
      <c r="F61" s="61">
        <f t="shared" ref="F61:W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1949.96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-892549</v>
      </c>
      <c r="E64" s="38">
        <f>SUM(G64,I64,K64,M64,O64,Q64,S64,U64,W64,Y64,AA64,AC64,AE64,AG64,AI64,AK64)</f>
        <v>-92304.300000000017</v>
      </c>
      <c r="F64" s="64">
        <f>'TIE-OUT'!P64+RECLASS!P64</f>
        <v>0</v>
      </c>
      <c r="G64" s="68">
        <f>'TIE-OUT'!Q64+RECLASS!Q64</f>
        <v>0</v>
      </c>
      <c r="H64" s="127">
        <f>+Actuals!E31</f>
        <v>-625579</v>
      </c>
      <c r="I64" s="128">
        <f>+Actuals!F31</f>
        <v>-83203.570000000007</v>
      </c>
      <c r="J64" s="127">
        <f>+Actuals!G31</f>
        <v>-266970</v>
      </c>
      <c r="K64" s="147">
        <f>+Actuals!H31</f>
        <v>-9025.94</v>
      </c>
      <c r="L64" s="127">
        <f>+Actuals!I31</f>
        <v>-3751</v>
      </c>
      <c r="M64" s="128">
        <f>+Actuals!J31</f>
        <v>-2018.13</v>
      </c>
      <c r="N64" s="127">
        <f>+Actuals!K31</f>
        <v>3751</v>
      </c>
      <c r="O64" s="128">
        <f>+Actuals!L31</f>
        <v>0.23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  <c r="AF64" s="127">
        <f>+Actuals!AC31</f>
        <v>0</v>
      </c>
      <c r="AG64" s="128">
        <f>+Actuals!AD31</f>
        <v>1943.11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0</v>
      </c>
      <c r="AL64" s="127">
        <f>+Actuals!AI31</f>
        <v>0</v>
      </c>
      <c r="AM64" s="128">
        <f>+Actuals!AJ31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92201</v>
      </c>
      <c r="F65" s="81">
        <f>'TIE-OUT'!P65+RECLASS!P65</f>
        <v>0</v>
      </c>
      <c r="G65" s="82">
        <f>'TIE-OUT'!Q65+RECLASS!Q65</f>
        <v>86243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</f>
        <v>0</v>
      </c>
      <c r="L65" s="127">
        <f>+Actuals!I32</f>
        <v>0</v>
      </c>
      <c r="M65" s="205">
        <f>+Actuals!J32+6254+1751</f>
        <v>8005</v>
      </c>
      <c r="N65" s="127">
        <f>+Actuals!K32</f>
        <v>0</v>
      </c>
      <c r="O65" s="128">
        <f>+Actuals!L32-1943</f>
        <v>-1943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+Actuals!P32-104</f>
        <v>-104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  <c r="AL65" s="127">
        <f>+Actuals!AI32</f>
        <v>0</v>
      </c>
      <c r="AM65" s="128">
        <f>+Actuals!AJ32</f>
        <v>0</v>
      </c>
    </row>
    <row r="66" spans="1:39" x14ac:dyDescent="0.25">
      <c r="A66" s="9"/>
      <c r="B66" s="7" t="s">
        <v>67</v>
      </c>
      <c r="C66" s="6"/>
      <c r="D66" s="61">
        <f>SUM(D64:D65)</f>
        <v>-892549</v>
      </c>
      <c r="E66" s="39">
        <f>SUM(E64:E65)</f>
        <v>-103.30000000001746</v>
      </c>
      <c r="F66" s="61">
        <f t="shared" ref="F66:W66" si="28">SUM(F64:F65)</f>
        <v>0</v>
      </c>
      <c r="G66" s="39">
        <f t="shared" si="28"/>
        <v>86243</v>
      </c>
      <c r="H66" s="61">
        <f t="shared" si="28"/>
        <v>-625579</v>
      </c>
      <c r="I66" s="39">
        <f t="shared" si="28"/>
        <v>-83203.570000000007</v>
      </c>
      <c r="J66" s="61">
        <f t="shared" si="28"/>
        <v>-266970</v>
      </c>
      <c r="K66" s="148">
        <f t="shared" si="28"/>
        <v>-9025.94</v>
      </c>
      <c r="L66" s="61">
        <f t="shared" si="28"/>
        <v>-3751</v>
      </c>
      <c r="M66" s="39">
        <f t="shared" si="28"/>
        <v>5986.87</v>
      </c>
      <c r="N66" s="61">
        <f t="shared" si="28"/>
        <v>3751</v>
      </c>
      <c r="O66" s="39">
        <f t="shared" si="28"/>
        <v>-1942.77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-104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1943.11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  <c r="AL70" s="127">
        <f>+Actuals!AI33</f>
        <v>0</v>
      </c>
      <c r="AM70" s="128">
        <f>+Actuals!AJ33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  <c r="AL71" s="127">
        <f>+Actuals!AI34</f>
        <v>0</v>
      </c>
      <c r="AM71" s="128">
        <f>+Actuals!AJ34</f>
        <v>0</v>
      </c>
    </row>
    <row r="72" spans="1:39" x14ac:dyDescent="0.25">
      <c r="A72" s="9"/>
      <c r="B72" s="3"/>
      <c r="C72" s="55" t="s">
        <v>72</v>
      </c>
      <c r="D72" s="61">
        <f>SUM(D70:D71)</f>
        <v>0</v>
      </c>
      <c r="E72" s="39">
        <f>SUM(E70:E71)</f>
        <v>0</v>
      </c>
      <c r="F72" s="61">
        <f t="shared" ref="F72:W72" si="31">SUM(F70:F71)</f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  <c r="AL73" s="127">
        <f>+Actuals!AI35</f>
        <v>0</v>
      </c>
      <c r="AM73" s="128">
        <f>+Actuals!AJ35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0</v>
      </c>
      <c r="F74" s="60">
        <f>'TIE-OUT'!P74+RECLASS!P74</f>
        <v>0</v>
      </c>
      <c r="G74" s="60">
        <f>'TIE-OUT'!Q74+RECLASS!Q74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  <c r="AL74" s="127">
        <f>+Actuals!AI36</f>
        <v>0</v>
      </c>
      <c r="AM74" s="128">
        <f>+Actuals!AJ36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  <c r="AL75" s="127">
        <f>+Actuals!AI37</f>
        <v>0</v>
      </c>
      <c r="AM75" s="128">
        <f>+Actuals!AJ37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  <c r="AL76" s="127">
        <f>+Actuals!AI38</f>
        <v>0</v>
      </c>
      <c r="AM76" s="128">
        <f>+Actuals!AJ38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  <c r="AL77" s="127">
        <f>+Actuals!AI39</f>
        <v>0</v>
      </c>
      <c r="AM77" s="128">
        <f>+Actuals!AJ39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  <c r="AL78" s="127">
        <f>+Actuals!AI40</f>
        <v>0</v>
      </c>
      <c r="AM78" s="128">
        <f>+Actuals!AJ40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  <c r="AL79" s="127">
        <f>+Actuals!AI41</f>
        <v>0</v>
      </c>
      <c r="AM79" s="128">
        <f>+Actuals!AJ41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  <c r="AL80" s="127">
        <f>+Actuals!AI42</f>
        <v>0</v>
      </c>
      <c r="AM80" s="128">
        <f>+Actuals!AJ42</f>
        <v>0</v>
      </c>
    </row>
    <row r="81" spans="1:39" x14ac:dyDescent="0.25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  <c r="AL81" s="127">
        <f>+Actuals!AI43</f>
        <v>0</v>
      </c>
      <c r="AM81" s="128">
        <f>+Actuals!AJ43</f>
        <v>0</v>
      </c>
    </row>
    <row r="82" spans="1:39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-618276.34049999935</v>
      </c>
      <c r="F82" s="92">
        <f>F16+F24+F29+F36+F43+F45+F47+F49</f>
        <v>0</v>
      </c>
      <c r="G82" s="93">
        <f>SUM(G72:G81)+G16+G24+G29+G36+G43+G45+G47+G49+G51+G56+G61+G66</f>
        <v>-910149.21</v>
      </c>
      <c r="H82" s="92">
        <f>H16+H24+H29+H36+H43+H45+H47+H49</f>
        <v>0</v>
      </c>
      <c r="I82" s="93">
        <f>SUM(I72:I81)+I16+I24+I29+I36+I43+I45+I47+I49+I51+I56+I61+I66</f>
        <v>-29709.279999999839</v>
      </c>
      <c r="J82" s="92">
        <f>J16+J24+J29+J36+J43+J45+J47+J49</f>
        <v>0</v>
      </c>
      <c r="K82" s="112">
        <f>SUM(K72:K81)+K16+K24+K29+K36+K43+K45+K47+K49+K51+K56+K61+K66</f>
        <v>323086.69949999999</v>
      </c>
      <c r="L82" s="92">
        <f>L16+L24+L29+L36+L43+L45+L47+L49</f>
        <v>0</v>
      </c>
      <c r="M82" s="93">
        <f>SUM(M72:M81)+M16+M24+M29+M36+M43+M45+M47+M49+M51+M56+M61+M66</f>
        <v>5870.4018000000042</v>
      </c>
      <c r="N82" s="92">
        <f>N16+N24+N29+N36+N43+N45+N47+N49</f>
        <v>0</v>
      </c>
      <c r="O82" s="93">
        <f>SUM(O72:O81)+O16+O24+O29+O36+O43+O45+O47+O49+O51+O56+O61+O66</f>
        <v>-11657.9818</v>
      </c>
      <c r="P82" s="92">
        <f>P16+P24+P29+P36+P43+P45+P47+P49</f>
        <v>0</v>
      </c>
      <c r="Q82" s="93">
        <f>SUM(Q72:Q81)+Q16+Q24+Q29+Q36+Q43+Q45+Q47+Q49+Q51+Q56+Q61+Q66</f>
        <v>2457.6600000000162</v>
      </c>
      <c r="R82" s="92">
        <f>R16+R24+R29+R36+R43+R45+R47+R49</f>
        <v>0</v>
      </c>
      <c r="S82" s="93">
        <f>SUM(S72:S81)+S16+S24+S29+S36+S43+S45+S47+S49+S51+S56+S61+S66</f>
        <v>-118.98</v>
      </c>
      <c r="T82" s="92">
        <f>T16+T24+T29+T36+T43+T45+T47+T49</f>
        <v>0</v>
      </c>
      <c r="U82" s="93">
        <f>SUM(U72:U81)+U16+U24+U29+U36+U43+U45+U47+U49+U51+U56+U61+U66</f>
        <v>1.24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1943.11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8" thickTop="1" x14ac:dyDescent="0.25">
      <c r="A83" s="4"/>
      <c r="B83" s="3"/>
    </row>
    <row r="84" spans="1:39" x14ac:dyDescent="0.25">
      <c r="A84" s="4"/>
      <c r="B84" s="3"/>
    </row>
    <row r="85" spans="1:39" x14ac:dyDescent="0.25">
      <c r="A85" s="4"/>
      <c r="B85" s="3"/>
    </row>
    <row r="86" spans="1:39" x14ac:dyDescent="0.25">
      <c r="A86" s="4"/>
      <c r="B86" s="3"/>
    </row>
    <row r="87" spans="1:39" x14ac:dyDescent="0.25">
      <c r="A87" s="4"/>
      <c r="B87" s="3"/>
    </row>
    <row r="88" spans="1:39" x14ac:dyDescent="0.25">
      <c r="A88" s="4"/>
      <c r="B88" s="3"/>
    </row>
    <row r="89" spans="1:39" x14ac:dyDescent="0.25">
      <c r="A89" s="4"/>
      <c r="B89" s="3"/>
    </row>
    <row r="90" spans="1:39" x14ac:dyDescent="0.25">
      <c r="A90" s="4"/>
      <c r="B90" s="3"/>
    </row>
    <row r="91" spans="1:39" x14ac:dyDescent="0.25">
      <c r="A91" s="4"/>
      <c r="B91" s="3"/>
    </row>
    <row r="92" spans="1:39" x14ac:dyDescent="0.25">
      <c r="A92" s="4"/>
      <c r="B92" s="3"/>
    </row>
    <row r="93" spans="1:39" x14ac:dyDescent="0.25">
      <c r="A93" s="4"/>
      <c r="B93" s="3"/>
    </row>
    <row r="94" spans="1:39" x14ac:dyDescent="0.25">
      <c r="A94" s="4"/>
      <c r="B94" s="3"/>
    </row>
    <row r="95" spans="1:39" x14ac:dyDescent="0.25">
      <c r="A95" s="4"/>
      <c r="B95" s="3"/>
    </row>
    <row r="96" spans="1:3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0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R1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9" width="15.44140625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48650911</v>
      </c>
      <c r="E11" s="38">
        <f t="shared" si="0"/>
        <v>106109461.81000002</v>
      </c>
      <c r="F11" s="60">
        <f>('TIE-OUT'!P11+'TIE-OUT'!R11)+(RECLASS!P11+RECLASS!R11)</f>
        <v>0</v>
      </c>
      <c r="G11" s="38">
        <f>('TIE-OUT'!Q11+'TIE-OUT'!S11)+(RECLASS!Q11+RECLASS!S11)</f>
        <v>1346250</v>
      </c>
      <c r="H11" s="60">
        <f>'TX-EGM-GL'!H11+'TX-HPL-GL '!H11</f>
        <v>49124252</v>
      </c>
      <c r="I11" s="38">
        <f>'TX-EGM-GL'!I11+'TX-HPL-GL '!I11</f>
        <v>111616459.19000001</v>
      </c>
      <c r="J11" s="60">
        <f>'TX-EGM-GL'!J11+'TX-HPL-GL '!J11</f>
        <v>1692647</v>
      </c>
      <c r="K11" s="38">
        <f>'TX-EGM-GL'!K11+'TX-HPL-GL '!K11</f>
        <v>-2099294.38</v>
      </c>
      <c r="L11" s="60">
        <f>'TX-EGM-GL'!L11+'TX-HPL-GL '!L11</f>
        <v>-1308754</v>
      </c>
      <c r="M11" s="38">
        <f>'TX-EGM-GL'!M11+'TX-HPL-GL '!M11</f>
        <v>-2828581.08</v>
      </c>
      <c r="N11" s="60">
        <f>'TX-EGM-GL'!N11+'TX-HPL-GL '!N11</f>
        <v>-22790</v>
      </c>
      <c r="O11" s="38">
        <f>'TX-EGM-GL'!O11+'TX-HPL-GL '!O11</f>
        <v>-58647.72</v>
      </c>
      <c r="P11" s="60">
        <f>'TX-EGM-GL'!P11+'TX-HPL-GL '!P11</f>
        <v>-583877</v>
      </c>
      <c r="Q11" s="38">
        <f>'TX-EGM-GL'!Q11+'TX-HPL-GL '!Q11</f>
        <v>-1337775.82</v>
      </c>
      <c r="R11" s="60">
        <f>'TX-EGM-GL'!R11+'TX-HPL-GL '!R11</f>
        <v>-20492</v>
      </c>
      <c r="S11" s="38">
        <f>'TX-EGM-GL'!S11+'TX-HPL-GL '!S11</f>
        <v>-55936.83</v>
      </c>
      <c r="T11" s="60">
        <f>'TX-EGM-GL'!T11+'TX-HPL-GL '!T11</f>
        <v>0</v>
      </c>
      <c r="U11" s="38">
        <f>'TX-EGM-GL'!U11+'TX-HPL-GL '!U11</f>
        <v>-2131.31</v>
      </c>
      <c r="V11" s="60">
        <f>'TX-EGM-GL'!V11+'TX-HPL-GL '!V11</f>
        <v>0</v>
      </c>
      <c r="W11" s="38">
        <f>'TX-EGM-GL'!W11+'TX-HPL-GL '!W11</f>
        <v>-2827.78</v>
      </c>
      <c r="X11" s="60">
        <f>'TX-EGM-GL'!X11+'TX-HPL-GL '!X11</f>
        <v>-2500</v>
      </c>
      <c r="Y11" s="38">
        <f>'TX-EGM-GL'!Y11+'TX-HPL-GL '!Y11</f>
        <v>-5530.95</v>
      </c>
      <c r="Z11" s="60">
        <f>'TX-EGM-GL'!Z11+'TX-HPL-GL '!Z11</f>
        <v>-1261</v>
      </c>
      <c r="AA11" s="38">
        <f>'TX-EGM-GL'!AA11+'TX-HPL-GL '!AA11</f>
        <v>-2867.75</v>
      </c>
      <c r="AB11" s="60">
        <f>'TX-EGM-GL'!AB11+'TX-HPL-GL '!AB11</f>
        <v>27810</v>
      </c>
      <c r="AC11" s="38">
        <f>'TX-EGM-GL'!AC11+'TX-HPL-GL '!AC11</f>
        <v>60237.3</v>
      </c>
      <c r="AD11" s="60">
        <f>'TX-EGM-GL'!AD11+'TX-HPL-GL '!AD11</f>
        <v>36885</v>
      </c>
      <c r="AE11" s="38">
        <f>'TX-EGM-GL'!AE11+'TX-HPL-GL '!AE11</f>
        <v>138526.26999999999</v>
      </c>
      <c r="AF11" s="60">
        <f>'TX-EGM-GL'!AF11+'TX-HPL-GL '!AF11</f>
        <v>-291009</v>
      </c>
      <c r="AG11" s="38">
        <f>'TX-EGM-GL'!AG11+'TX-HPL-GL '!AG11</f>
        <v>-658417.32999999996</v>
      </c>
      <c r="AH11" s="60">
        <f>'TX-EGM-GL'!AJ11+'TX-HPL-GL '!AJ11</f>
        <v>0</v>
      </c>
      <c r="AI11" s="38">
        <f>'TX-EGM-GL'!AK11+'TX-HPL-GL '!AK11</f>
        <v>0</v>
      </c>
      <c r="AJ11" s="60">
        <f>'TX-EGM-GL'!AN11+'TX-HPL-GL '!AN11</f>
        <v>0</v>
      </c>
      <c r="AK11" s="38">
        <f>'TX-EGM-GL'!AO11+'TX-HPL-GL '!AO11</f>
        <v>0</v>
      </c>
      <c r="AL11" s="60">
        <f>'TX-EGM-GL'!AP11+'TX-HPL-GL '!AP11</f>
        <v>0</v>
      </c>
      <c r="AM11" s="38">
        <f>'TX-EGM-GL'!AQ11+'TX-HPL-GL '!AQ11</f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-3231922.0100000002</v>
      </c>
      <c r="F12" s="60">
        <f>('TIE-OUT'!P12+'TIE-OUT'!R12)+(RECLASS!P12+RECLASS!R12)</f>
        <v>0</v>
      </c>
      <c r="G12" s="38">
        <f>('TIE-OUT'!Q12+'TIE-OUT'!S12)+(RECLASS!Q12+RECLASS!S12)</f>
        <v>-3231922.0100000002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'TX-EGM-GL'!AF12+'TX-HPL-GL '!AF12</f>
        <v>0</v>
      </c>
      <c r="AG12" s="38">
        <f>'TX-EGM-GL'!AG12+'TX-HPL-GL '!AG12</f>
        <v>0</v>
      </c>
      <c r="AH12" s="60">
        <f>'TX-EGM-GL'!AJ12+'TX-HPL-GL '!AJ12</f>
        <v>0</v>
      </c>
      <c r="AI12" s="38">
        <f>'TX-EGM-GL'!AK12+'TX-HPL-GL '!AK12</f>
        <v>0</v>
      </c>
      <c r="AJ12" s="60">
        <f>'TX-EGM-GL'!AN12+'TX-HPL-GL '!AN12</f>
        <v>0</v>
      </c>
      <c r="AK12" s="38">
        <f>'TX-EGM-GL'!AO12+'TX-HPL-GL '!AO12</f>
        <v>0</v>
      </c>
      <c r="AL12" s="60">
        <f>'TX-EGM-GL'!AP12+'TX-HPL-GL '!AP12</f>
        <v>0</v>
      </c>
      <c r="AM12" s="38">
        <f>'TX-EGM-GL'!AQ12+'TX-HPL-GL '!AQ12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28708483</v>
      </c>
      <c r="E13" s="38">
        <f t="shared" si="0"/>
        <v>65345130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28708483</v>
      </c>
      <c r="I13" s="38">
        <f>'TX-EGM-GL'!I13+'TX-HPL-GL '!I13</f>
        <v>65345130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1457527</v>
      </c>
      <c r="Q13" s="38">
        <f>'TX-EGM-GL'!Q13+'TX-HPL-GL '!Q13</f>
        <v>3236246</v>
      </c>
      <c r="R13" s="60">
        <f>'TX-EGM-GL'!R13+'TX-HPL-GL '!R13</f>
        <v>1457527</v>
      </c>
      <c r="S13" s="38">
        <f>'TX-EGM-GL'!S13+'TX-HPL-GL '!S13</f>
        <v>3236246</v>
      </c>
      <c r="T13" s="60">
        <f>'TX-EGM-GL'!T13+'TX-HPL-GL '!T13</f>
        <v>-2915054</v>
      </c>
      <c r="U13" s="38">
        <f>'TX-EGM-GL'!U13+'TX-HPL-GL '!U13</f>
        <v>-6472492</v>
      </c>
      <c r="V13" s="60">
        <f>'TX-EGM-GL'!V13+'TX-HPL-GL '!V13</f>
        <v>2915054</v>
      </c>
      <c r="W13" s="38">
        <f>'TX-EGM-GL'!W13+'TX-HPL-GL '!W13</f>
        <v>6472492</v>
      </c>
      <c r="X13" s="60">
        <f>'TX-EGM-GL'!X13+'TX-HPL-GL '!X13</f>
        <v>0</v>
      </c>
      <c r="Y13" s="38">
        <f>'TX-EGM-GL'!Y13+'TX-HPL-GL '!Y13</f>
        <v>0</v>
      </c>
      <c r="Z13" s="60">
        <f>'TX-EGM-GL'!Z13+'TX-HPL-GL '!Z13</f>
        <v>-2915054</v>
      </c>
      <c r="AA13" s="38">
        <f>'TX-EGM-GL'!AA13+'TX-HPL-GL '!AA13</f>
        <v>-6472492</v>
      </c>
      <c r="AB13" s="60">
        <f>'TX-EGM-GL'!AB13+'TX-HPL-GL '!AB13</f>
        <v>0</v>
      </c>
      <c r="AC13" s="38">
        <f>'TX-EGM-GL'!AC13+'TX-HPL-GL '!AC13</f>
        <v>0</v>
      </c>
      <c r="AD13" s="60">
        <f>'TX-EGM-GL'!AD13+'TX-HPL-GL '!AD13</f>
        <v>0</v>
      </c>
      <c r="AE13" s="38">
        <f>'TX-EGM-GL'!AE13+'TX-HPL-GL '!AE13</f>
        <v>0</v>
      </c>
      <c r="AF13" s="60">
        <f>'TX-EGM-GL'!AF13+'TX-HPL-GL '!AF13</f>
        <v>0</v>
      </c>
      <c r="AG13" s="38">
        <f>'TX-EGM-GL'!AG13+'TX-HPL-GL '!AG13</f>
        <v>0</v>
      </c>
      <c r="AH13" s="60">
        <f>'TX-EGM-GL'!AJ13+'TX-HPL-GL '!AJ13</f>
        <v>0</v>
      </c>
      <c r="AI13" s="38">
        <f>'TX-EGM-GL'!AK13+'TX-HPL-GL '!AK13</f>
        <v>0</v>
      </c>
      <c r="AJ13" s="60">
        <f>'TX-EGM-GL'!AN13+'TX-HPL-GL '!AN13</f>
        <v>0</v>
      </c>
      <c r="AK13" s="38">
        <f>'TX-EGM-GL'!AO13+'TX-HPL-GL '!AO13</f>
        <v>0</v>
      </c>
      <c r="AL13" s="60">
        <f>'TX-EGM-GL'!AP13+'TX-HPL-GL '!AP13</f>
        <v>0</v>
      </c>
      <c r="AM13" s="38">
        <f>'TX-EGM-GL'!AQ13+'TX-HPL-GL '!AQ13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'TX-EGM-GL'!AF14+'TX-HPL-GL '!AF14</f>
        <v>0</v>
      </c>
      <c r="AG14" s="38">
        <f>'TX-EGM-GL'!AG14+'TX-HPL-GL '!AG14</f>
        <v>0</v>
      </c>
      <c r="AH14" s="60">
        <f>'TX-EGM-GL'!AJ14+'TX-HPL-GL '!AJ14</f>
        <v>0</v>
      </c>
      <c r="AI14" s="38">
        <f>'TX-EGM-GL'!AK14+'TX-HPL-GL '!AK14</f>
        <v>0</v>
      </c>
      <c r="AJ14" s="60">
        <f>'TX-EGM-GL'!AN14+'TX-HPL-GL '!AN14</f>
        <v>0</v>
      </c>
      <c r="AK14" s="38">
        <f>'TX-EGM-GL'!AO14+'TX-HPL-GL '!AO14</f>
        <v>0</v>
      </c>
      <c r="AL14" s="60">
        <f>'TX-EGM-GL'!AP14+'TX-HPL-GL '!AP14</f>
        <v>0</v>
      </c>
      <c r="AM14" s="38">
        <f>'TX-EGM-GL'!AQ14+'TX-HPL-GL '!AQ14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'TX-EGM-GL'!AF15+'TX-HPL-GL '!AF15</f>
        <v>0</v>
      </c>
      <c r="AG15" s="38">
        <f>'TX-EGM-GL'!AG15+'TX-HPL-GL '!AG15</f>
        <v>0</v>
      </c>
      <c r="AH15" s="60">
        <f>'TX-EGM-GL'!AJ15+'TX-HPL-GL '!AJ15</f>
        <v>0</v>
      </c>
      <c r="AI15" s="38">
        <f>'TX-EGM-GL'!AK15+'TX-HPL-GL '!AK15</f>
        <v>0</v>
      </c>
      <c r="AJ15" s="60">
        <f>'TX-EGM-GL'!AN15+'TX-HPL-GL '!AN15</f>
        <v>0</v>
      </c>
      <c r="AK15" s="38">
        <f>'TX-EGM-GL'!AO15+'TX-HPL-GL '!AO15</f>
        <v>0</v>
      </c>
      <c r="AL15" s="60">
        <f>'TX-EGM-GL'!AP15+'TX-HPL-GL '!AP15</f>
        <v>0</v>
      </c>
      <c r="AM15" s="38">
        <f>'TX-EGM-GL'!AQ15+'TX-HPL-GL '!AQ15</f>
        <v>0</v>
      </c>
    </row>
    <row r="16" spans="1:39" x14ac:dyDescent="0.25">
      <c r="A16" s="9"/>
      <c r="B16" s="7" t="s">
        <v>33</v>
      </c>
      <c r="C16" s="6"/>
      <c r="D16" s="61">
        <f>SUM(D11:D15)</f>
        <v>77359394</v>
      </c>
      <c r="E16" s="39">
        <f>SUM(E11:E15)</f>
        <v>168222669.80000001</v>
      </c>
      <c r="F16" s="61">
        <f t="shared" ref="F16:V16" si="1">SUM(F11:F15)</f>
        <v>0</v>
      </c>
      <c r="G16" s="39">
        <f t="shared" si="1"/>
        <v>-1885672.0100000002</v>
      </c>
      <c r="H16" s="61">
        <f t="shared" si="1"/>
        <v>77832735</v>
      </c>
      <c r="I16" s="39">
        <f t="shared" si="1"/>
        <v>176961589.19</v>
      </c>
      <c r="J16" s="61">
        <f t="shared" si="1"/>
        <v>1692647</v>
      </c>
      <c r="K16" s="39">
        <f t="shared" si="1"/>
        <v>-2099294.38</v>
      </c>
      <c r="L16" s="61">
        <f t="shared" si="1"/>
        <v>-1308754</v>
      </c>
      <c r="M16" s="39">
        <f t="shared" si="1"/>
        <v>-2828581.08</v>
      </c>
      <c r="N16" s="61">
        <f t="shared" si="1"/>
        <v>-22790</v>
      </c>
      <c r="O16" s="39">
        <f t="shared" si="1"/>
        <v>-58647.72</v>
      </c>
      <c r="P16" s="61">
        <f t="shared" si="1"/>
        <v>873650</v>
      </c>
      <c r="Q16" s="39">
        <f t="shared" si="1"/>
        <v>1898470.18</v>
      </c>
      <c r="R16" s="61">
        <f t="shared" si="1"/>
        <v>1437035</v>
      </c>
      <c r="S16" s="39">
        <f t="shared" si="1"/>
        <v>3180309.17</v>
      </c>
      <c r="T16" s="61">
        <f t="shared" si="1"/>
        <v>-2915054</v>
      </c>
      <c r="U16" s="39">
        <f>SUM(U11:U15)</f>
        <v>-6474623.3099999996</v>
      </c>
      <c r="V16" s="61">
        <f t="shared" si="1"/>
        <v>2915054</v>
      </c>
      <c r="W16" s="39">
        <f t="shared" ref="W16:AC16" si="2">SUM(W11:W15)</f>
        <v>6469664.2199999997</v>
      </c>
      <c r="X16" s="61">
        <f t="shared" si="2"/>
        <v>-2500</v>
      </c>
      <c r="Y16" s="39">
        <f t="shared" si="2"/>
        <v>-5530.95</v>
      </c>
      <c r="Z16" s="61">
        <f t="shared" si="2"/>
        <v>-2916315</v>
      </c>
      <c r="AA16" s="39">
        <f t="shared" si="2"/>
        <v>-6475359.75</v>
      </c>
      <c r="AB16" s="61">
        <f t="shared" si="2"/>
        <v>27810</v>
      </c>
      <c r="AC16" s="39">
        <f t="shared" si="2"/>
        <v>60237.3</v>
      </c>
      <c r="AD16" s="61">
        <f t="shared" ref="AD16:AI16" si="3">SUM(AD11:AD15)</f>
        <v>36885</v>
      </c>
      <c r="AE16" s="39">
        <f t="shared" si="3"/>
        <v>138526.26999999999</v>
      </c>
      <c r="AF16" s="61">
        <f t="shared" si="3"/>
        <v>-291009</v>
      </c>
      <c r="AG16" s="39">
        <f t="shared" si="3"/>
        <v>-658417.32999999996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-34613267</v>
      </c>
      <c r="E19" s="38">
        <f t="shared" si="4"/>
        <v>-75317594.370000035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-34048610</v>
      </c>
      <c r="I19" s="38">
        <f>'TX-EGM-GL'!I19+'TX-HPL-GL '!I19</f>
        <v>-74072654.060000002</v>
      </c>
      <c r="J19" s="60">
        <f>'TX-EGM-GL'!J19+'TX-HPL-GL '!J19</f>
        <v>-496964</v>
      </c>
      <c r="K19" s="38">
        <f>'TX-EGM-GL'!K19+'TX-HPL-GL '!K19</f>
        <v>-1112049.6299999999</v>
      </c>
      <c r="L19" s="60">
        <f>'TX-EGM-GL'!L19+'TX-HPL-GL '!L19</f>
        <v>161139</v>
      </c>
      <c r="M19" s="38">
        <f>'TX-EGM-GL'!M19+'TX-HPL-GL '!M19</f>
        <v>363005.24</v>
      </c>
      <c r="N19" s="60">
        <f>'TX-EGM-GL'!N19+'TX-HPL-GL '!N19</f>
        <v>-2619</v>
      </c>
      <c r="O19" s="38">
        <f>'TX-EGM-GL'!O19+'TX-HPL-GL '!O19</f>
        <v>-5419.6500000000005</v>
      </c>
      <c r="P19" s="60">
        <f>'TX-EGM-GL'!P19+'TX-HPL-GL '!P19</f>
        <v>78680</v>
      </c>
      <c r="Q19" s="38">
        <f>'TX-EGM-GL'!Q19+'TX-HPL-GL '!Q19</f>
        <v>174526.85</v>
      </c>
      <c r="R19" s="60">
        <f>'TX-EGM-GL'!R19+'TX-HPL-GL '!R19</f>
        <v>-8719</v>
      </c>
      <c r="S19" s="38">
        <f>'TX-EGM-GL'!S19+'TX-HPL-GL '!S19</f>
        <v>-17400.810000000001</v>
      </c>
      <c r="T19" s="60">
        <f>'TX-EGM-GL'!T19+'TX-HPL-GL '!T19</f>
        <v>0</v>
      </c>
      <c r="U19" s="38">
        <f>'TX-EGM-GL'!U19+'TX-HPL-GL '!U19</f>
        <v>828.66</v>
      </c>
      <c r="V19" s="60">
        <f>'TX-EGM-GL'!V19+'TX-HPL-GL '!V19</f>
        <v>0</v>
      </c>
      <c r="W19" s="38">
        <f>'TX-EGM-GL'!W19+'TX-HPL-GL '!W19</f>
        <v>581.16999999999996</v>
      </c>
      <c r="X19" s="60">
        <f>'TX-EGM-GL'!X19+'TX-HPL-GL '!X19</f>
        <v>8346</v>
      </c>
      <c r="Y19" s="38">
        <f>'TX-EGM-GL'!Y19+'TX-HPL-GL '!Y19</f>
        <v>17860.439999999999</v>
      </c>
      <c r="Z19" s="60">
        <f>'TX-EGM-GL'!Z19+'TX-HPL-GL '!Z19</f>
        <v>1261</v>
      </c>
      <c r="AA19" s="38">
        <f>'TX-EGM-GL'!AA19+'TX-HPL-GL '!AA19</f>
        <v>1590.19</v>
      </c>
      <c r="AB19" s="60">
        <f>'TX-EGM-GL'!AB19+'TX-HPL-GL '!AB19</f>
        <v>-39663</v>
      </c>
      <c r="AC19" s="38">
        <f>'TX-EGM-GL'!AC19+'TX-HPL-GL '!AC19</f>
        <v>-85846.92</v>
      </c>
      <c r="AD19" s="60">
        <f>'TX-EGM-GL'!AD19+'TX-HPL-GL '!AD19</f>
        <v>-302167</v>
      </c>
      <c r="AE19" s="38">
        <f>'TX-EGM-GL'!AE19+'TX-HPL-GL '!AE19</f>
        <v>-658009.92000000004</v>
      </c>
      <c r="AF19" s="60">
        <f>'TX-EGM-GL'!AF19+'TX-HPL-GL '!AF19</f>
        <v>-18412</v>
      </c>
      <c r="AG19" s="38">
        <f>'TX-EGM-GL'!AG19+'TX-HPL-GL '!AG19</f>
        <v>-43260.84</v>
      </c>
      <c r="AH19" s="60">
        <f>'TX-EGM-GL'!AJ19+'TX-HPL-GL '!AJ19</f>
        <v>54461</v>
      </c>
      <c r="AI19" s="38">
        <f>'TX-EGM-GL'!AK19+'TX-HPL-GL '!AK19</f>
        <v>118654.91</v>
      </c>
      <c r="AJ19" s="60">
        <f>'TX-EGM-GL'!AN19+'TX-HPL-GL '!AN19</f>
        <v>0</v>
      </c>
      <c r="AK19" s="38">
        <f>'TX-EGM-GL'!AO19+'TX-HPL-GL '!AO19</f>
        <v>0</v>
      </c>
      <c r="AL19" s="60">
        <f>'TX-EGM-GL'!AP19+'TX-HPL-GL '!AP19</f>
        <v>0</v>
      </c>
      <c r="AM19" s="38">
        <f>'TX-EGM-GL'!AQ19+'TX-HPL-GL '!AQ19</f>
        <v>0</v>
      </c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5445020.9099999992</v>
      </c>
      <c r="F20" s="60">
        <f>('TIE-OUT'!P20+'TIE-OUT'!R20)+(RECLASS!P20+RECLASS!R20)</f>
        <v>0</v>
      </c>
      <c r="G20" s="38">
        <f>('TIE-OUT'!Q20+'TIE-OUT'!S20)+(RECLASS!Q20+RECLASS!S20)</f>
        <v>5445020.9099999992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'TX-EGM-GL'!AF20+'TX-HPL-GL '!AF20</f>
        <v>0</v>
      </c>
      <c r="AG20" s="38">
        <f>'TX-EGM-GL'!AG20+'TX-HPL-GL '!AG20</f>
        <v>0</v>
      </c>
      <c r="AH20" s="60">
        <f>'TX-EGM-GL'!AJ20+'TX-HPL-GL '!AJ20</f>
        <v>0</v>
      </c>
      <c r="AI20" s="38">
        <f>'TX-EGM-GL'!AK20+'TX-HPL-GL '!AK20</f>
        <v>0</v>
      </c>
      <c r="AJ20" s="60">
        <f>'TX-EGM-GL'!AN20+'TX-HPL-GL '!AN20</f>
        <v>0</v>
      </c>
      <c r="AK20" s="38">
        <f>'TX-EGM-GL'!AO20+'TX-HPL-GL '!AO20</f>
        <v>0</v>
      </c>
      <c r="AL20" s="60">
        <f>'TX-EGM-GL'!AP20+'TX-HPL-GL '!AP20</f>
        <v>0</v>
      </c>
      <c r="AM20" s="38">
        <f>'TX-EGM-GL'!AQ20+'TX-HPL-GL '!AQ20</f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-30437214</v>
      </c>
      <c r="E21" s="38">
        <f t="shared" si="4"/>
        <v>-69190550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-30437214</v>
      </c>
      <c r="I21" s="38">
        <f>'TX-EGM-GL'!I21+'TX-HPL-GL '!I21</f>
        <v>-69190550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271205</v>
      </c>
      <c r="M21" s="38">
        <f>'TX-EGM-GL'!M21+'TX-HPL-GL '!M21</f>
        <v>609175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-1457527</v>
      </c>
      <c r="Q21" s="38">
        <f>'TX-EGM-GL'!Q21+'TX-HPL-GL '!Q21</f>
        <v>-3236246</v>
      </c>
      <c r="R21" s="60">
        <f>'TX-EGM-GL'!R21+'TX-HPL-GL '!R21</f>
        <v>-1457527</v>
      </c>
      <c r="S21" s="38">
        <f>'TX-EGM-GL'!S21+'TX-HPL-GL '!S21</f>
        <v>-3236246</v>
      </c>
      <c r="T21" s="60">
        <f>'TX-EGM-GL'!T21+'TX-HPL-GL '!T21</f>
        <v>2643849</v>
      </c>
      <c r="U21" s="38">
        <f>'TX-EGM-GL'!U21+'TX-HPL-GL '!U21</f>
        <v>5863317</v>
      </c>
      <c r="V21" s="60">
        <f>'TX-EGM-GL'!V21+'TX-HPL-GL '!V21</f>
        <v>-2643849</v>
      </c>
      <c r="W21" s="38">
        <f>'TX-EGM-GL'!W21+'TX-HPL-GL '!W21</f>
        <v>-5863317</v>
      </c>
      <c r="X21" s="60">
        <f>'TX-EGM-GL'!X21+'TX-HPL-GL '!X21</f>
        <v>0</v>
      </c>
      <c r="Y21" s="38">
        <f>'TX-EGM-GL'!Y21+'TX-HPL-GL '!Y21</f>
        <v>0</v>
      </c>
      <c r="Z21" s="60">
        <f>'TX-EGM-GL'!Z21+'TX-HPL-GL '!Z21</f>
        <v>2643849</v>
      </c>
      <c r="AA21" s="38">
        <f>'TX-EGM-GL'!AA21+'TX-HPL-GL '!AA21</f>
        <v>5863317</v>
      </c>
      <c r="AB21" s="60">
        <f>'TX-EGM-GL'!AB21+'TX-HPL-GL '!AB21</f>
        <v>0</v>
      </c>
      <c r="AC21" s="38">
        <f>'TX-EGM-GL'!AC21+'TX-HPL-GL '!AC21</f>
        <v>0</v>
      </c>
      <c r="AD21" s="60">
        <f>'TX-EGM-GL'!AD21+'TX-HPL-GL '!AD21</f>
        <v>0</v>
      </c>
      <c r="AE21" s="38">
        <f>'TX-EGM-GL'!AE21+'TX-HPL-GL '!AE21</f>
        <v>0</v>
      </c>
      <c r="AF21" s="60">
        <f>'TX-EGM-GL'!AF21+'TX-HPL-GL '!AF21</f>
        <v>0</v>
      </c>
      <c r="AG21" s="38">
        <f>'TX-EGM-GL'!AG21+'TX-HPL-GL '!AG21</f>
        <v>0</v>
      </c>
      <c r="AH21" s="60">
        <f>'TX-EGM-GL'!AJ21+'TX-HPL-GL '!AJ21</f>
        <v>0</v>
      </c>
      <c r="AI21" s="38">
        <f>'TX-EGM-GL'!AK21+'TX-HPL-GL '!AK21</f>
        <v>0</v>
      </c>
      <c r="AJ21" s="60">
        <f>'TX-EGM-GL'!AN21+'TX-HPL-GL '!AN21</f>
        <v>0</v>
      </c>
      <c r="AK21" s="38">
        <f>'TX-EGM-GL'!AO21+'TX-HPL-GL '!AO21</f>
        <v>0</v>
      </c>
      <c r="AL21" s="60">
        <f>'TX-EGM-GL'!AP21+'TX-HPL-GL '!AP21</f>
        <v>0</v>
      </c>
      <c r="AM21" s="38">
        <f>'TX-EGM-GL'!AQ21+'TX-HPL-GL '!AQ21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'TX-EGM-GL'!AF22+'TX-HPL-GL '!AF22</f>
        <v>0</v>
      </c>
      <c r="AG22" s="38">
        <f>'TX-EGM-GL'!AG22+'TX-HPL-GL '!AG22</f>
        <v>0</v>
      </c>
      <c r="AH22" s="60">
        <f>'TX-EGM-GL'!AJ22+'TX-HPL-GL '!AJ22</f>
        <v>0</v>
      </c>
      <c r="AI22" s="38">
        <f>'TX-EGM-GL'!AK22+'TX-HPL-GL '!AK22</f>
        <v>0</v>
      </c>
      <c r="AJ22" s="60">
        <f>'TX-EGM-GL'!AN22+'TX-HPL-GL '!AN22</f>
        <v>0</v>
      </c>
      <c r="AK22" s="38">
        <f>'TX-EGM-GL'!AO22+'TX-HPL-GL '!AO22</f>
        <v>0</v>
      </c>
      <c r="AL22" s="60">
        <f>'TX-EGM-GL'!AP22+'TX-HPL-GL '!AP22</f>
        <v>0</v>
      </c>
      <c r="AM22" s="38">
        <f>'TX-EGM-GL'!AQ22+'TX-HPL-GL '!AQ22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2985</v>
      </c>
      <c r="E23" s="38">
        <f t="shared" si="4"/>
        <v>6510.2849999999999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60</v>
      </c>
      <c r="I23" s="38">
        <f>'TX-EGM-GL'!I23+'TX-HPL-GL '!I23</f>
        <v>130.86000000000001</v>
      </c>
      <c r="J23" s="60">
        <f>'TX-EGM-GL'!J23+'TX-HPL-GL '!J23</f>
        <v>2920</v>
      </c>
      <c r="K23" s="38">
        <f>'TX-EGM-GL'!K23+'TX-HPL-GL '!K23</f>
        <v>6368.52</v>
      </c>
      <c r="L23" s="60">
        <f>'TX-EGM-GL'!L23+'TX-HPL-GL '!L23</f>
        <v>0</v>
      </c>
      <c r="M23" s="38">
        <f>'TX-EGM-GL'!M23+'TX-HPL-GL '!M23</f>
        <v>0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5</v>
      </c>
      <c r="AE23" s="38">
        <f>'TX-EGM-GL'!AE23+'TX-HPL-GL '!AE23</f>
        <v>10.904999999999999</v>
      </c>
      <c r="AF23" s="60">
        <f>'TX-EGM-GL'!AF23+'TX-HPL-GL '!AF23</f>
        <v>0</v>
      </c>
      <c r="AG23" s="38">
        <f>'TX-EGM-GL'!AG23+'TX-HPL-GL '!AG23</f>
        <v>0</v>
      </c>
      <c r="AH23" s="60">
        <f>'TX-EGM-GL'!AJ23+'TX-HPL-GL '!AJ23</f>
        <v>0</v>
      </c>
      <c r="AI23" s="38">
        <f>'TX-EGM-GL'!AK23+'TX-HPL-GL '!AK23</f>
        <v>0</v>
      </c>
      <c r="AJ23" s="60">
        <f>'TX-EGM-GL'!AN23+'TX-HPL-GL '!AN23</f>
        <v>0</v>
      </c>
      <c r="AK23" s="38">
        <f>'TX-EGM-GL'!AO23+'TX-HPL-GL '!AO23</f>
        <v>0</v>
      </c>
      <c r="AL23" s="60">
        <f>'TX-EGM-GL'!AP23+'TX-HPL-GL '!AP23</f>
        <v>0</v>
      </c>
      <c r="AM23" s="38">
        <f>'TX-EGM-GL'!AQ23+'TX-HPL-GL '!AQ23</f>
        <v>0</v>
      </c>
    </row>
    <row r="24" spans="1:39" x14ac:dyDescent="0.25">
      <c r="A24" s="9"/>
      <c r="B24" s="7" t="s">
        <v>36</v>
      </c>
      <c r="C24" s="6"/>
      <c r="D24" s="61">
        <f>SUM(D19:D23)</f>
        <v>-65047496</v>
      </c>
      <c r="E24" s="39">
        <f>SUM(E19:E23)</f>
        <v>-139056613.17500004</v>
      </c>
      <c r="F24" s="61">
        <f t="shared" ref="F24:V24" si="5">SUM(F19:F23)</f>
        <v>0</v>
      </c>
      <c r="G24" s="39">
        <f t="shared" si="5"/>
        <v>5445020.9099999992</v>
      </c>
      <c r="H24" s="61">
        <f t="shared" si="5"/>
        <v>-64485764</v>
      </c>
      <c r="I24" s="39">
        <f t="shared" si="5"/>
        <v>-143263073.19999999</v>
      </c>
      <c r="J24" s="61">
        <f t="shared" si="5"/>
        <v>-494044</v>
      </c>
      <c r="K24" s="39">
        <f t="shared" si="5"/>
        <v>-1105681.1099999999</v>
      </c>
      <c r="L24" s="61">
        <f t="shared" si="5"/>
        <v>432344</v>
      </c>
      <c r="M24" s="39">
        <f t="shared" si="5"/>
        <v>972180.24</v>
      </c>
      <c r="N24" s="61">
        <f t="shared" si="5"/>
        <v>-2619</v>
      </c>
      <c r="O24" s="39">
        <f t="shared" si="5"/>
        <v>-5419.6500000000005</v>
      </c>
      <c r="P24" s="61">
        <f t="shared" si="5"/>
        <v>-1378847</v>
      </c>
      <c r="Q24" s="39">
        <f t="shared" si="5"/>
        <v>-3061719.15</v>
      </c>
      <c r="R24" s="61">
        <f t="shared" si="5"/>
        <v>-1466246</v>
      </c>
      <c r="S24" s="39">
        <f t="shared" si="5"/>
        <v>-3253646.81</v>
      </c>
      <c r="T24" s="61">
        <f t="shared" si="5"/>
        <v>2643849</v>
      </c>
      <c r="U24" s="39">
        <f>SUM(U19:U23)</f>
        <v>5864145.6600000001</v>
      </c>
      <c r="V24" s="61">
        <f t="shared" si="5"/>
        <v>-2643849</v>
      </c>
      <c r="W24" s="39">
        <f t="shared" ref="W24:AC24" si="6">SUM(W19:W23)</f>
        <v>-5862735.8300000001</v>
      </c>
      <c r="X24" s="61">
        <f t="shared" si="6"/>
        <v>8346</v>
      </c>
      <c r="Y24" s="39">
        <f t="shared" si="6"/>
        <v>17860.439999999999</v>
      </c>
      <c r="Z24" s="61">
        <f t="shared" si="6"/>
        <v>2645110</v>
      </c>
      <c r="AA24" s="39">
        <f t="shared" si="6"/>
        <v>5864907.1900000004</v>
      </c>
      <c r="AB24" s="61">
        <f t="shared" si="6"/>
        <v>-39663</v>
      </c>
      <c r="AC24" s="39">
        <f t="shared" si="6"/>
        <v>-85846.92</v>
      </c>
      <c r="AD24" s="61">
        <f t="shared" ref="AD24:AI24" si="7">SUM(AD19:AD23)</f>
        <v>-302162</v>
      </c>
      <c r="AE24" s="39">
        <f t="shared" si="7"/>
        <v>-657999.01500000001</v>
      </c>
      <c r="AF24" s="61">
        <f t="shared" si="7"/>
        <v>-18412</v>
      </c>
      <c r="AG24" s="39">
        <f t="shared" si="7"/>
        <v>-43260.84</v>
      </c>
      <c r="AH24" s="61">
        <f t="shared" si="7"/>
        <v>54461</v>
      </c>
      <c r="AI24" s="39">
        <f t="shared" si="7"/>
        <v>118654.91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253557</v>
      </c>
      <c r="E27" s="38">
        <f>SUM(G27,I27,K27,M27,O27,Q27,S27,U27,W27,Y27,AA27,AC27,AE27,AG27,AI27,AK27,AM27)</f>
        <v>559505.26949999994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169970</v>
      </c>
      <c r="I27" s="38">
        <f>'TX-EGM-GL'!I27+'TX-HPL-GL '!I27</f>
        <v>380732.8</v>
      </c>
      <c r="J27" s="60">
        <f>'TX-EGM-GL'!J27+'TX-HPL-GL '!J27</f>
        <v>70061</v>
      </c>
      <c r="K27" s="38">
        <f>'TX-EGM-GL'!K27+'TX-HPL-GL '!K27</f>
        <v>150615.4675</v>
      </c>
      <c r="L27" s="60">
        <f>'TX-EGM-GL'!L27+'TX-HPL-GL '!L27</f>
        <v>24463</v>
      </c>
      <c r="M27" s="38">
        <f>'TX-EGM-GL'!M27+'TX-HPL-GL '!M27</f>
        <v>52649.953800000003</v>
      </c>
      <c r="N27" s="60">
        <f>'TX-EGM-GL'!N27+'TX-HPL-GL '!N27</f>
        <v>-50</v>
      </c>
      <c r="O27" s="38">
        <f>'TX-EGM-GL'!O27+'TX-HPL-GL '!O27</f>
        <v>-106.0718</v>
      </c>
      <c r="P27" s="60">
        <f>'TX-EGM-GL'!P27+'TX-HPL-GL '!P27</f>
        <v>0</v>
      </c>
      <c r="Q27" s="38">
        <f>'TX-EGM-GL'!Q27+'TX-HPL-GL '!Q27</f>
        <v>0</v>
      </c>
      <c r="R27" s="60">
        <f>'TX-EGM-GL'!R27+'TX-HPL-GL '!R27</f>
        <v>-10890</v>
      </c>
      <c r="S27" s="38">
        <f>'TX-EGM-GL'!S27+'TX-HPL-GL '!S27</f>
        <v>-24393.599999999999</v>
      </c>
      <c r="T27" s="60">
        <f>'TX-EGM-GL'!T27+'TX-HPL-GL '!T27</f>
        <v>0</v>
      </c>
      <c r="U27" s="38">
        <f>'TX-EGM-GL'!U27+'TX-HPL-GL '!U27</f>
        <v>0</v>
      </c>
      <c r="V27" s="60">
        <f>'TX-EGM-GL'!V27+'TX-HPL-GL '!V27</f>
        <v>0</v>
      </c>
      <c r="W27" s="38">
        <f>'TX-EGM-GL'!W27+'TX-HPL-GL '!W27</f>
        <v>0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0</v>
      </c>
      <c r="AD27" s="60">
        <f>'TX-EGM-GL'!AD27+'TX-HPL-GL '!AD27</f>
        <v>3</v>
      </c>
      <c r="AE27" s="38">
        <f>'TX-EGM-GL'!AE27+'TX-HPL-GL '!AE27</f>
        <v>6.72</v>
      </c>
      <c r="AF27" s="60">
        <f>'TX-EGM-GL'!AF27+'TX-HPL-GL '!AF27</f>
        <v>0</v>
      </c>
      <c r="AG27" s="38">
        <f>'TX-EGM-GL'!AG27+'TX-HPL-GL '!AG27</f>
        <v>0</v>
      </c>
      <c r="AH27" s="60">
        <f>'TX-EGM-GL'!AJ27+'TX-HPL-GL '!AJ27</f>
        <v>0</v>
      </c>
      <c r="AI27" s="38">
        <f>'TX-EGM-GL'!AK27+'TX-HPL-GL '!AK27</f>
        <v>0</v>
      </c>
      <c r="AJ27" s="60">
        <f>'TX-EGM-GL'!AN27+'TX-HPL-GL '!AN27</f>
        <v>0</v>
      </c>
      <c r="AK27" s="38">
        <f>'TX-EGM-GL'!AO27+'TX-HPL-GL '!AO27</f>
        <v>0</v>
      </c>
      <c r="AL27" s="60">
        <f>'TX-EGM-GL'!AP27+'TX-HPL-GL '!AP27</f>
        <v>0</v>
      </c>
      <c r="AM27" s="38">
        <f>'TX-EGM-GL'!AQ27+'TX-HPL-GL '!AQ27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-14784300</v>
      </c>
      <c r="E28" s="38">
        <f>SUM(G28,I28,K28,M28,O28,Q28,S28,U28,W28,Y28,AA28,AC28,AE28,AG28,AI28,AK28,AM28)</f>
        <v>-32989016.209999993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-14774735</v>
      </c>
      <c r="I28" s="38">
        <f>'TX-EGM-GL'!I28+'TX-HPL-GL '!I28</f>
        <v>-32967093.59</v>
      </c>
      <c r="J28" s="60">
        <f>'TX-EGM-GL'!J28+'TX-HPL-GL '!J28</f>
        <v>-1053087</v>
      </c>
      <c r="K28" s="38">
        <f>'TX-EGM-GL'!K28+'TX-HPL-GL '!K28</f>
        <v>-752070.85</v>
      </c>
      <c r="L28" s="60">
        <f>'TX-EGM-GL'!L28+'TX-HPL-GL '!L28</f>
        <v>1015204</v>
      </c>
      <c r="M28" s="38">
        <f>'TX-EGM-GL'!M28+'TX-HPL-GL '!M28</f>
        <v>666719.51</v>
      </c>
      <c r="N28" s="60">
        <f>'TX-EGM-GL'!N28+'TX-HPL-GL '!N28</f>
        <v>0</v>
      </c>
      <c r="O28" s="38">
        <f>'TX-EGM-GL'!O28+'TX-HPL-GL '!O28</f>
        <v>0</v>
      </c>
      <c r="P28" s="60">
        <f>'TX-EGM-GL'!P28+'TX-HPL-GL '!P28</f>
        <v>12899</v>
      </c>
      <c r="Q28" s="38">
        <f>'TX-EGM-GL'!Q28+'TX-HPL-GL '!Q28</f>
        <v>28893.759999999998</v>
      </c>
      <c r="R28" s="60">
        <f>'TX-EGM-GL'!R28+'TX-HPL-GL '!R28</f>
        <v>15492</v>
      </c>
      <c r="S28" s="38">
        <f>'TX-EGM-GL'!S28+'TX-HPL-GL '!S28</f>
        <v>34702.080000000002</v>
      </c>
      <c r="T28" s="60">
        <f>'TX-EGM-GL'!T28+'TX-HPL-GL '!T28</f>
        <v>0</v>
      </c>
      <c r="U28" s="38">
        <f>'TX-EGM-GL'!U28+'TX-HPL-GL '!U28</f>
        <v>0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0</v>
      </c>
      <c r="AC28" s="38">
        <f>'TX-EGM-GL'!AC28+'TX-HPL-GL '!AC28</f>
        <v>0</v>
      </c>
      <c r="AD28" s="60">
        <f>'TX-EGM-GL'!AD28+'TX-HPL-GL '!AD28</f>
        <v>-3</v>
      </c>
      <c r="AE28" s="38">
        <f>'TX-EGM-GL'!AE28+'TX-HPL-GL '!AE28</f>
        <v>-6.72</v>
      </c>
      <c r="AF28" s="60">
        <f>'TX-EGM-GL'!AF28+'TX-HPL-GL '!AF28</f>
        <v>-70</v>
      </c>
      <c r="AG28" s="38">
        <f>'TX-EGM-GL'!AG28+'TX-HPL-GL '!AG28</f>
        <v>-160.4</v>
      </c>
      <c r="AH28" s="60">
        <f>'TX-EGM-GL'!AJ28+'TX-HPL-GL '!AJ28</f>
        <v>0</v>
      </c>
      <c r="AI28" s="38">
        <f>'TX-EGM-GL'!AK28+'TX-HPL-GL '!AK28</f>
        <v>0</v>
      </c>
      <c r="AJ28" s="60">
        <f>'TX-EGM-GL'!AN28+'TX-HPL-GL '!AN28</f>
        <v>0</v>
      </c>
      <c r="AK28" s="38">
        <f>'TX-EGM-GL'!AO28+'TX-HPL-GL '!AO28</f>
        <v>0</v>
      </c>
      <c r="AL28" s="60">
        <f>'TX-EGM-GL'!AP28+'TX-HPL-GL '!AP28</f>
        <v>0</v>
      </c>
      <c r="AM28" s="38">
        <f>'TX-EGM-GL'!AQ28+'TX-HPL-GL '!AQ28</f>
        <v>0</v>
      </c>
    </row>
    <row r="29" spans="1:39" x14ac:dyDescent="0.25">
      <c r="A29" s="9"/>
      <c r="B29" s="7" t="s">
        <v>40</v>
      </c>
      <c r="C29" s="18"/>
      <c r="D29" s="61">
        <f>SUM(D27:D28)</f>
        <v>-14530743</v>
      </c>
      <c r="E29" s="39">
        <f>SUM(E27:E28)</f>
        <v>-32429510.940499995</v>
      </c>
      <c r="F29" s="61">
        <f t="shared" ref="F29:V29" si="8">SUM(F27:F28)</f>
        <v>0</v>
      </c>
      <c r="G29" s="39">
        <f t="shared" si="8"/>
        <v>0</v>
      </c>
      <c r="H29" s="61">
        <f t="shared" si="8"/>
        <v>-14604765</v>
      </c>
      <c r="I29" s="39">
        <f t="shared" si="8"/>
        <v>-32586360.789999999</v>
      </c>
      <c r="J29" s="61">
        <f t="shared" si="8"/>
        <v>-983026</v>
      </c>
      <c r="K29" s="39">
        <f t="shared" si="8"/>
        <v>-601455.38249999995</v>
      </c>
      <c r="L29" s="61">
        <f t="shared" si="8"/>
        <v>1039667</v>
      </c>
      <c r="M29" s="39">
        <f t="shared" si="8"/>
        <v>719369.46380000003</v>
      </c>
      <c r="N29" s="61">
        <f t="shared" si="8"/>
        <v>-50</v>
      </c>
      <c r="O29" s="39">
        <f t="shared" si="8"/>
        <v>-106.0718</v>
      </c>
      <c r="P29" s="61">
        <f t="shared" si="8"/>
        <v>12899</v>
      </c>
      <c r="Q29" s="39">
        <f t="shared" si="8"/>
        <v>28893.759999999998</v>
      </c>
      <c r="R29" s="61">
        <f t="shared" si="8"/>
        <v>4602</v>
      </c>
      <c r="S29" s="39">
        <f t="shared" si="8"/>
        <v>10308.480000000003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 t="shared" ref="W29:AC29" si="9">SUM(W27:W28)</f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-70</v>
      </c>
      <c r="AG29" s="39">
        <f t="shared" si="10"/>
        <v>-160.4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-200292</v>
      </c>
      <c r="E32" s="38">
        <f t="shared" si="11"/>
        <v>-436837.13799999986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783989</v>
      </c>
      <c r="I32" s="38">
        <f>'TX-EGM-GL'!I32+'TX-HPL-GL '!I32</f>
        <v>1709880.01</v>
      </c>
      <c r="J32" s="60">
        <f>'TX-EGM-GL'!J32+'TX-HPL-GL '!J32</f>
        <v>-1049999</v>
      </c>
      <c r="K32" s="38">
        <f>'TX-EGM-GL'!K32+'TX-HPL-GL '!K32</f>
        <v>-2364340.1880000001</v>
      </c>
      <c r="L32" s="60">
        <f>'TX-EGM-GL'!L32+'TX-HPL-GL '!L32</f>
        <v>838088</v>
      </c>
      <c r="M32" s="38">
        <f>'TX-EGM-GL'!M32+'TX-HPL-GL '!M32</f>
        <v>1730313.4620000001</v>
      </c>
      <c r="N32" s="60">
        <f>'TX-EGM-GL'!N32+'TX-HPL-GL '!N32</f>
        <v>240552</v>
      </c>
      <c r="O32" s="38">
        <f>'TX-EGM-GL'!O32+'TX-HPL-GL '!O32</f>
        <v>716348.83</v>
      </c>
      <c r="P32" s="60">
        <f>'TX-EGM-GL'!P32+'TX-HPL-GL '!P32</f>
        <v>-74490</v>
      </c>
      <c r="Q32" s="38">
        <f>'TX-EGM-GL'!Q32+'TX-HPL-GL '!Q32</f>
        <v>-182326.02000000002</v>
      </c>
      <c r="R32" s="60">
        <f>'TX-EGM-GL'!R32+'TX-HPL-GL '!R32</f>
        <v>-426283</v>
      </c>
      <c r="S32" s="38">
        <f>'TX-EGM-GL'!S32+'TX-HPL-GL '!S32</f>
        <v>-929738.19799999997</v>
      </c>
      <c r="T32" s="60">
        <f>'TX-EGM-GL'!T32+'TX-HPL-GL '!T32</f>
        <v>0</v>
      </c>
      <c r="U32" s="38">
        <f>'TX-EGM-GL'!U32+'TX-HPL-GL '!U32</f>
        <v>1.24</v>
      </c>
      <c r="V32" s="60">
        <f>'TX-EGM-GL'!V32+'TX-HPL-GL '!V32</f>
        <v>0</v>
      </c>
      <c r="W32" s="38">
        <f>'TX-EGM-GL'!W32+'TX-HPL-GL '!W32</f>
        <v>0</v>
      </c>
      <c r="X32" s="60">
        <f>'TX-EGM-GL'!X32+'TX-HPL-GL '!X32</f>
        <v>-791964</v>
      </c>
      <c r="Y32" s="38">
        <f>'TX-EGM-GL'!Y32+'TX-HPL-GL '!Y32</f>
        <v>-1727252.7849999999</v>
      </c>
      <c r="Z32" s="60">
        <f>'TX-EGM-GL'!Z32+'TX-HPL-GL '!Z32</f>
        <v>0</v>
      </c>
      <c r="AA32" s="38">
        <f>'TX-EGM-GL'!AA32+'TX-HPL-GL '!AA32</f>
        <v>0</v>
      </c>
      <c r="AB32" s="60">
        <f>'TX-EGM-GL'!AB32+'TX-HPL-GL '!AB32</f>
        <v>-18485</v>
      </c>
      <c r="AC32" s="38">
        <f>'TX-EGM-GL'!AC32+'TX-HPL-GL '!AC32</f>
        <v>-40315.785000000003</v>
      </c>
      <c r="AD32" s="60">
        <f>'TX-EGM-GL'!AD32+'TX-HPL-GL '!AD32</f>
        <v>-13464</v>
      </c>
      <c r="AE32" s="38">
        <f>'TX-EGM-GL'!AE32+'TX-HPL-GL '!AE32</f>
        <v>-29364.984</v>
      </c>
      <c r="AF32" s="60">
        <f>'TX-EGM-GL'!AF32+'TX-HPL-GL '!AF32</f>
        <v>308930</v>
      </c>
      <c r="AG32" s="38">
        <f>'TX-EGM-GL'!AG32+'TX-HPL-GL '!AG32</f>
        <v>673776.33</v>
      </c>
      <c r="AH32" s="60">
        <f>'TX-EGM-GL'!AJ32+'TX-HPL-GL '!AJ32</f>
        <v>2834</v>
      </c>
      <c r="AI32" s="38">
        <f>'TX-EGM-GL'!AK32+'TX-HPL-GL '!AK32</f>
        <v>6180.95</v>
      </c>
      <c r="AJ32" s="60">
        <f>'TX-EGM-GL'!AN32+'TX-HPL-GL '!AN32</f>
        <v>0</v>
      </c>
      <c r="AK32" s="38">
        <f>'TX-EGM-GL'!AO32+'TX-HPL-GL '!AO32</f>
        <v>0</v>
      </c>
      <c r="AL32" s="60">
        <f>'TX-EGM-GL'!AP32+'TX-HPL-GL '!AP32</f>
        <v>0</v>
      </c>
      <c r="AM32" s="38">
        <f>'TX-EGM-GL'!AQ32+'TX-HPL-GL '!AQ32</f>
        <v>0</v>
      </c>
    </row>
    <row r="33" spans="1:39" x14ac:dyDescent="0.25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'TX-EGM-GL'!AF33+'TX-HPL-GL '!AF33</f>
        <v>0</v>
      </c>
      <c r="AG33" s="38">
        <f>'TX-EGM-GL'!AG33+'TX-HPL-GL '!AG33</f>
        <v>0</v>
      </c>
      <c r="AH33" s="60">
        <f>'TX-EGM-GL'!AJ33+'TX-HPL-GL '!AJ33</f>
        <v>0</v>
      </c>
      <c r="AI33" s="38">
        <f>'TX-EGM-GL'!AK33+'TX-HPL-GL '!AK33</f>
        <v>0</v>
      </c>
      <c r="AJ33" s="60">
        <f>'TX-EGM-GL'!AN33+'TX-HPL-GL '!AN33</f>
        <v>0</v>
      </c>
      <c r="AK33" s="38">
        <f>'TX-EGM-GL'!AO33+'TX-HPL-GL '!AO33</f>
        <v>0</v>
      </c>
      <c r="AL33" s="60">
        <f>'TX-EGM-GL'!AP33+'TX-HPL-GL '!AP33</f>
        <v>0</v>
      </c>
      <c r="AM33" s="38">
        <f>'TX-EGM-GL'!AQ33+'TX-HPL-GL '!AQ33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'TX-EGM-GL'!AF34+'TX-HPL-GL '!AF34</f>
        <v>0</v>
      </c>
      <c r="AG34" s="38">
        <f>'TX-EGM-GL'!AG34+'TX-HPL-GL '!AG34</f>
        <v>0</v>
      </c>
      <c r="AH34" s="60">
        <f>'TX-EGM-GL'!AJ34+'TX-HPL-GL '!AJ34</f>
        <v>0</v>
      </c>
      <c r="AI34" s="38">
        <f>'TX-EGM-GL'!AK34+'TX-HPL-GL '!AK34</f>
        <v>0</v>
      </c>
      <c r="AJ34" s="60">
        <f>'TX-EGM-GL'!AN34+'TX-HPL-GL '!AN34</f>
        <v>0</v>
      </c>
      <c r="AK34" s="38">
        <f>'TX-EGM-GL'!AO34+'TX-HPL-GL '!AO34</f>
        <v>0</v>
      </c>
      <c r="AL34" s="60">
        <f>'TX-EGM-GL'!AP34+'TX-HPL-GL '!AP34</f>
        <v>0</v>
      </c>
      <c r="AM34" s="38">
        <f>'TX-EGM-GL'!AQ34+'TX-HPL-GL '!AQ34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'TX-EGM-GL'!AF35+'TX-HPL-GL '!AF35</f>
        <v>0</v>
      </c>
      <c r="AG35" s="38">
        <f>'TX-EGM-GL'!AG35+'TX-HPL-GL '!AG35</f>
        <v>0</v>
      </c>
      <c r="AH35" s="60">
        <f>'TX-EGM-GL'!AJ35+'TX-HPL-GL '!AJ35</f>
        <v>0</v>
      </c>
      <c r="AI35" s="38">
        <f>'TX-EGM-GL'!AK35+'TX-HPL-GL '!AK35</f>
        <v>0</v>
      </c>
      <c r="AJ35" s="60">
        <f>'TX-EGM-GL'!AN35+'TX-HPL-GL '!AN35</f>
        <v>0</v>
      </c>
      <c r="AK35" s="38">
        <f>'TX-EGM-GL'!AO35+'TX-HPL-GL '!AO35</f>
        <v>0</v>
      </c>
      <c r="AL35" s="60">
        <f>'TX-EGM-GL'!AP35+'TX-HPL-GL '!AP35</f>
        <v>0</v>
      </c>
      <c r="AM35" s="38">
        <f>'TX-EGM-GL'!AQ35+'TX-HPL-GL '!AQ35</f>
        <v>0</v>
      </c>
    </row>
    <row r="36" spans="1:39" x14ac:dyDescent="0.25">
      <c r="A36" s="9"/>
      <c r="B36" s="7" t="s">
        <v>46</v>
      </c>
      <c r="C36" s="6"/>
      <c r="D36" s="61">
        <f>SUM(D32:D35)</f>
        <v>-200292</v>
      </c>
      <c r="E36" s="39">
        <f>SUM(E32:E35)</f>
        <v>-436837.12799999985</v>
      </c>
      <c r="F36" s="61">
        <f t="shared" ref="F36:V36" si="12">SUM(F32:F35)</f>
        <v>0</v>
      </c>
      <c r="G36" s="39">
        <f t="shared" si="12"/>
        <v>0</v>
      </c>
      <c r="H36" s="61">
        <f t="shared" si="12"/>
        <v>783989</v>
      </c>
      <c r="I36" s="39">
        <f t="shared" si="12"/>
        <v>1709880.02</v>
      </c>
      <c r="J36" s="61">
        <f t="shared" si="12"/>
        <v>-1049999</v>
      </c>
      <c r="K36" s="39">
        <f t="shared" si="12"/>
        <v>-2364340.1880000001</v>
      </c>
      <c r="L36" s="61">
        <f t="shared" si="12"/>
        <v>838088</v>
      </c>
      <c r="M36" s="39">
        <f t="shared" si="12"/>
        <v>1730313.4620000001</v>
      </c>
      <c r="N36" s="61">
        <f t="shared" si="12"/>
        <v>240552</v>
      </c>
      <c r="O36" s="39">
        <f t="shared" si="12"/>
        <v>716348.83</v>
      </c>
      <c r="P36" s="61">
        <f t="shared" si="12"/>
        <v>-74490</v>
      </c>
      <c r="Q36" s="39">
        <f t="shared" si="12"/>
        <v>-182326.02000000002</v>
      </c>
      <c r="R36" s="61">
        <f t="shared" si="12"/>
        <v>-426283</v>
      </c>
      <c r="S36" s="39">
        <f t="shared" si="12"/>
        <v>-929738.19799999997</v>
      </c>
      <c r="T36" s="61">
        <f t="shared" si="12"/>
        <v>0</v>
      </c>
      <c r="U36" s="39">
        <f>SUM(U32:U35)</f>
        <v>1.24</v>
      </c>
      <c r="V36" s="61">
        <f t="shared" si="12"/>
        <v>0</v>
      </c>
      <c r="W36" s="39">
        <f t="shared" ref="W36:AC36" si="13">SUM(W32:W35)</f>
        <v>0</v>
      </c>
      <c r="X36" s="61">
        <f t="shared" si="13"/>
        <v>-791964</v>
      </c>
      <c r="Y36" s="39">
        <f t="shared" si="13"/>
        <v>-1727252.7849999999</v>
      </c>
      <c r="Z36" s="61">
        <f t="shared" si="13"/>
        <v>0</v>
      </c>
      <c r="AA36" s="39">
        <f t="shared" si="13"/>
        <v>0</v>
      </c>
      <c r="AB36" s="61">
        <f t="shared" si="13"/>
        <v>-18485</v>
      </c>
      <c r="AC36" s="39">
        <f t="shared" si="13"/>
        <v>-40315.785000000003</v>
      </c>
      <c r="AD36" s="61">
        <f t="shared" ref="AD36:AI36" si="14">SUM(AD32:AD35)</f>
        <v>-13464</v>
      </c>
      <c r="AE36" s="39">
        <f t="shared" si="14"/>
        <v>-29364.984</v>
      </c>
      <c r="AF36" s="61">
        <f t="shared" si="14"/>
        <v>308930</v>
      </c>
      <c r="AG36" s="39">
        <f t="shared" si="14"/>
        <v>673776.33</v>
      </c>
      <c r="AH36" s="61">
        <f t="shared" si="14"/>
        <v>2834</v>
      </c>
      <c r="AI36" s="39">
        <f t="shared" si="14"/>
        <v>6180.95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2198008</v>
      </c>
      <c r="E39" s="38">
        <f t="shared" si="15"/>
        <v>5192717.8800000008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0</v>
      </c>
      <c r="I39" s="38">
        <f>'TX-EGM-GL'!I39+'TX-HPL-GL '!I39</f>
        <v>0</v>
      </c>
      <c r="J39" s="60">
        <f>'TX-EGM-GL'!J39+'TX-HPL-GL '!J39</f>
        <v>2006264</v>
      </c>
      <c r="K39" s="38">
        <f>'TX-EGM-GL'!K39+'TX-HPL-GL '!K39</f>
        <v>4473968.72</v>
      </c>
      <c r="L39" s="60">
        <f>'TX-EGM-GL'!L39+'TX-HPL-GL '!L39</f>
        <v>-100803</v>
      </c>
      <c r="M39" s="38">
        <f>'TX-EGM-GL'!M39+'TX-HPL-GL '!M39</f>
        <v>67448.86</v>
      </c>
      <c r="N39" s="60">
        <f>'TX-EGM-GL'!N39+'TX-HPL-GL '!N39</f>
        <v>-28760</v>
      </c>
      <c r="O39" s="38">
        <f>'TX-EGM-GL'!O39+'TX-HPL-GL '!O39</f>
        <v>-69409.38</v>
      </c>
      <c r="P39" s="60">
        <f>'TX-EGM-GL'!P39+'TX-HPL-GL '!P39</f>
        <v>-10353</v>
      </c>
      <c r="Q39" s="38">
        <f>'TX-EGM-GL'!Q39+'TX-HPL-GL '!Q39</f>
        <v>-24985.93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-45015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1500</v>
      </c>
      <c r="AC39" s="38">
        <f>'TX-EGM-GL'!AC39+'TX-HPL-GL '!AC39</f>
        <v>51129.15</v>
      </c>
      <c r="AD39" s="60">
        <f>'TX-EGM-GL'!AD39+'TX-HPL-GL '!AD39</f>
        <v>330000</v>
      </c>
      <c r="AE39" s="38">
        <f>'TX-EGM-GL'!AE39+'TX-HPL-GL '!AE39</f>
        <v>739200</v>
      </c>
      <c r="AF39" s="60">
        <f>'TX-EGM-GL'!AF39+'TX-HPL-GL '!AF39</f>
        <v>160</v>
      </c>
      <c r="AG39" s="38">
        <f>'TX-EGM-GL'!AG39+'TX-HPL-GL '!AG39</f>
        <v>381.46</v>
      </c>
      <c r="AH39" s="60">
        <f>'TX-EGM-GL'!AJ39+'TX-HPL-GL '!AJ39</f>
        <v>0</v>
      </c>
      <c r="AI39" s="38">
        <f>'TX-EGM-GL'!AK39+'TX-HPL-GL '!AK39</f>
        <v>0</v>
      </c>
      <c r="AJ39" s="60">
        <f>'TX-EGM-GL'!AN39+'TX-HPL-GL '!AN39</f>
        <v>0</v>
      </c>
      <c r="AK39" s="38">
        <f>'TX-EGM-GL'!AO39+'TX-HPL-GL '!AO39</f>
        <v>0</v>
      </c>
      <c r="AL39" s="60">
        <f>'TX-EGM-GL'!AP39+'TX-HPL-GL '!AP39</f>
        <v>0</v>
      </c>
      <c r="AM39" s="38">
        <f>'TX-EGM-GL'!AQ39+'TX-HPL-GL '!AQ39</f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-31648</v>
      </c>
      <c r="E40" s="38">
        <f t="shared" si="15"/>
        <v>-70579.3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-30000</v>
      </c>
      <c r="I40" s="38">
        <f>'TX-EGM-GL'!I40+'TX-HPL-GL '!I40</f>
        <v>-60534.6</v>
      </c>
      <c r="J40" s="60">
        <f>'TX-EGM-GL'!J40+'TX-HPL-GL '!J40</f>
        <v>-1648</v>
      </c>
      <c r="K40" s="38">
        <f>'TX-EGM-GL'!K40+'TX-HPL-GL '!K40</f>
        <v>-3325.37</v>
      </c>
      <c r="L40" s="60">
        <f>'TX-EGM-GL'!L40+'TX-HPL-GL '!L40</f>
        <v>0</v>
      </c>
      <c r="M40" s="38">
        <f>'TX-EGM-GL'!M40+'TX-HPL-GL '!M40</f>
        <v>-6715.07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'TX-EGM-GL'!AF40+'TX-HPL-GL '!AF40</f>
        <v>0</v>
      </c>
      <c r="AG40" s="38">
        <f>'TX-EGM-GL'!AG40+'TX-HPL-GL '!AG40</f>
        <v>0</v>
      </c>
      <c r="AH40" s="60">
        <f>'TX-EGM-GL'!AJ40+'TX-HPL-GL '!AJ40</f>
        <v>0</v>
      </c>
      <c r="AI40" s="38">
        <f>'TX-EGM-GL'!AK40+'TX-HPL-GL '!AK40</f>
        <v>-4.26</v>
      </c>
      <c r="AJ40" s="60">
        <f>'TX-EGM-GL'!AN40+'TX-HPL-GL '!AN40</f>
        <v>0</v>
      </c>
      <c r="AK40" s="38">
        <f>'TX-EGM-GL'!AO40+'TX-HPL-GL '!AO40</f>
        <v>0</v>
      </c>
      <c r="AL40" s="60">
        <f>'TX-EGM-GL'!AP40+'TX-HPL-GL '!AP40</f>
        <v>0</v>
      </c>
      <c r="AM40" s="38">
        <f>'TX-EGM-GL'!AQ40+'TX-HPL-GL '!AQ40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78532</v>
      </c>
      <c r="F41" s="81">
        <f>('TIE-OUT'!P41+'TIE-OUT'!R41)+(RECLASS!P41+RECLASS!R41)</f>
        <v>0</v>
      </c>
      <c r="G41" s="82">
        <f>('TIE-OUT'!Q41+'TIE-OUT'!S41)+(RECLASS!Q41+RECLASS!S41)</f>
        <v>-6483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85015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'TX-EGM-GL'!AF41+'TX-HPL-GL '!AF41</f>
        <v>0</v>
      </c>
      <c r="AG41" s="38">
        <f>'TX-EGM-GL'!AG41+'TX-HPL-GL '!AG41</f>
        <v>0</v>
      </c>
      <c r="AH41" s="60">
        <f>'TX-EGM-GL'!AJ41+'TX-HPL-GL '!AJ41</f>
        <v>0</v>
      </c>
      <c r="AI41" s="38">
        <f>'TX-EGM-GL'!AK41+'TX-HPL-GL '!AK41</f>
        <v>0</v>
      </c>
      <c r="AJ41" s="60">
        <f>'TX-EGM-GL'!AN41+'TX-HPL-GL '!AN41</f>
        <v>0</v>
      </c>
      <c r="AK41" s="38">
        <f>'TX-EGM-GL'!AO41+'TX-HPL-GL '!AO41</f>
        <v>0</v>
      </c>
      <c r="AL41" s="60">
        <f>'TX-EGM-GL'!AP41+'TX-HPL-GL '!AP41</f>
        <v>0</v>
      </c>
      <c r="AM41" s="38">
        <f>'TX-EGM-GL'!AQ41+'TX-HPL-GL '!AQ41</f>
        <v>0</v>
      </c>
    </row>
    <row r="42" spans="1:39" x14ac:dyDescent="0.25">
      <c r="A42" s="9"/>
      <c r="B42" s="7"/>
      <c r="C42" s="53" t="s">
        <v>51</v>
      </c>
      <c r="D42" s="61">
        <f>SUM(D40:D41)</f>
        <v>-31648</v>
      </c>
      <c r="E42" s="39">
        <f>SUM(E40:E41)</f>
        <v>7952.6999999999971</v>
      </c>
      <c r="F42" s="61">
        <f t="shared" ref="F42:V42" si="16">SUM(F40:F41)</f>
        <v>0</v>
      </c>
      <c r="G42" s="39">
        <f t="shared" si="16"/>
        <v>-6483</v>
      </c>
      <c r="H42" s="61">
        <f t="shared" si="16"/>
        <v>-30000</v>
      </c>
      <c r="I42" s="39">
        <f t="shared" si="16"/>
        <v>-60534.6</v>
      </c>
      <c r="J42" s="61">
        <f t="shared" si="16"/>
        <v>-1648</v>
      </c>
      <c r="K42" s="39">
        <f t="shared" si="16"/>
        <v>-3325.37</v>
      </c>
      <c r="L42" s="61">
        <f t="shared" si="16"/>
        <v>0</v>
      </c>
      <c r="M42" s="39">
        <f t="shared" si="16"/>
        <v>-6715.07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 t="shared" ref="W42:AC42" si="17">SUM(W40:W41)</f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85015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-4.26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>D42+D39</f>
        <v>2166360</v>
      </c>
      <c r="E43" s="39">
        <f>E42+E39</f>
        <v>5200670.580000001</v>
      </c>
      <c r="F43" s="61">
        <f t="shared" ref="F43:V43" si="19">F42+F39</f>
        <v>0</v>
      </c>
      <c r="G43" s="39">
        <f t="shared" si="19"/>
        <v>-6483</v>
      </c>
      <c r="H43" s="61">
        <f t="shared" si="19"/>
        <v>-30000</v>
      </c>
      <c r="I43" s="39">
        <f t="shared" si="19"/>
        <v>-60534.6</v>
      </c>
      <c r="J43" s="61">
        <f t="shared" si="19"/>
        <v>2004616</v>
      </c>
      <c r="K43" s="39">
        <f t="shared" si="19"/>
        <v>4470643.3499999996</v>
      </c>
      <c r="L43" s="61">
        <f t="shared" si="19"/>
        <v>-100803</v>
      </c>
      <c r="M43" s="39">
        <f t="shared" si="19"/>
        <v>60733.79</v>
      </c>
      <c r="N43" s="61">
        <f t="shared" si="19"/>
        <v>-28760</v>
      </c>
      <c r="O43" s="39">
        <f t="shared" si="19"/>
        <v>-69409.38</v>
      </c>
      <c r="P43" s="61">
        <f t="shared" si="19"/>
        <v>-10353</v>
      </c>
      <c r="Q43" s="39">
        <f t="shared" si="19"/>
        <v>-24985.93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>U42+U39</f>
        <v>-45015</v>
      </c>
      <c r="V43" s="61">
        <f t="shared" si="19"/>
        <v>0</v>
      </c>
      <c r="W43" s="39">
        <f t="shared" ref="W43:AC43" si="20">W42+W39</f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85015</v>
      </c>
      <c r="AB43" s="61">
        <f t="shared" si="20"/>
        <v>1500</v>
      </c>
      <c r="AC43" s="39">
        <f t="shared" si="20"/>
        <v>51129.15</v>
      </c>
      <c r="AD43" s="61">
        <f t="shared" ref="AD43:AI43" si="21">AD42+AD39</f>
        <v>330000</v>
      </c>
      <c r="AE43" s="39">
        <f t="shared" si="21"/>
        <v>739200</v>
      </c>
      <c r="AF43" s="61">
        <f t="shared" si="21"/>
        <v>160</v>
      </c>
      <c r="AG43" s="39">
        <f t="shared" si="21"/>
        <v>381.46</v>
      </c>
      <c r="AH43" s="61">
        <f t="shared" si="21"/>
        <v>0</v>
      </c>
      <c r="AI43" s="39">
        <f t="shared" si="21"/>
        <v>-4.26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'TX-EGM-GL'!AF45+'TX-HPL-GL '!AF45</f>
        <v>0</v>
      </c>
      <c r="AG45" s="38">
        <f>'TX-EGM-GL'!AG45+'TX-HPL-GL '!AG45</f>
        <v>0</v>
      </c>
      <c r="AH45" s="60">
        <f>'TX-EGM-GL'!AJ45+'TX-HPL-GL '!AJ45</f>
        <v>0</v>
      </c>
      <c r="AI45" s="38">
        <f>'TX-EGM-GL'!AK45+'TX-HPL-GL '!AK45</f>
        <v>0</v>
      </c>
      <c r="AJ45" s="60">
        <f>'TX-EGM-GL'!AN45+'TX-HPL-GL '!AN45</f>
        <v>0</v>
      </c>
      <c r="AK45" s="38">
        <f>'TX-EGM-GL'!AO45+'TX-HPL-GL '!AO45</f>
        <v>0</v>
      </c>
      <c r="AL45" s="60">
        <f>'TX-EGM-GL'!AP45+'TX-HPL-GL '!AP45</f>
        <v>0</v>
      </c>
      <c r="AM45" s="38">
        <f>'TX-EGM-GL'!AQ45+'TX-HPL-GL '!AQ45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-0.44000000000050932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9717.56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-9718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'TX-EGM-GL'!AF47+'TX-HPL-GL '!AF47</f>
        <v>0</v>
      </c>
      <c r="AG47" s="38">
        <f>'TX-EGM-GL'!AG47+'TX-HPL-GL '!AG47</f>
        <v>0</v>
      </c>
      <c r="AH47" s="60">
        <f>'TX-EGM-GL'!AJ47+'TX-HPL-GL '!AJ47</f>
        <v>0</v>
      </c>
      <c r="AI47" s="38">
        <f>'TX-EGM-GL'!AK47+'TX-HPL-GL '!AK47</f>
        <v>0</v>
      </c>
      <c r="AJ47" s="60">
        <f>'TX-EGM-GL'!AN47+'TX-HPL-GL '!AN47</f>
        <v>0</v>
      </c>
      <c r="AK47" s="38">
        <f>'TX-EGM-GL'!AO47+'TX-HPL-GL '!AO47</f>
        <v>0</v>
      </c>
      <c r="AL47" s="60">
        <f>'TX-EGM-GL'!AP47+'TX-HPL-GL '!AP47</f>
        <v>0</v>
      </c>
      <c r="AM47" s="38">
        <f>'TX-EGM-GL'!AQ47+'TX-HPL-GL '!AQ47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252777</v>
      </c>
      <c r="E49" s="38">
        <f>SUM(G49,I49,K49,M49,O49,Q49,S49,U49,W49,Y49,AA49,AC49,AE49,AG49,AI49,AK49,AM49)</f>
        <v>554858.92199999979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503805</v>
      </c>
      <c r="I49" s="38">
        <f>'TX-EGM-GL'!I49+'TX-HPL-GL '!I49</f>
        <v>1098798.7050000001</v>
      </c>
      <c r="J49" s="60">
        <f>'TX-EGM-GL'!J49+'TX-HPL-GL '!J49</f>
        <v>-1170194</v>
      </c>
      <c r="K49" s="38">
        <f>'TX-EGM-GL'!K49+'TX-HPL-GL '!K49</f>
        <v>-2552193.1140000001</v>
      </c>
      <c r="L49" s="60">
        <f>'TX-EGM-GL'!L49+'TX-HPL-GL '!L49</f>
        <v>-900542</v>
      </c>
      <c r="M49" s="38">
        <f>'TX-EGM-GL'!M49+'TX-HPL-GL '!M49</f>
        <v>-1964082.102</v>
      </c>
      <c r="N49" s="60">
        <f>'TX-EGM-GL'!N49+'TX-HPL-GL '!N49</f>
        <v>-186333</v>
      </c>
      <c r="O49" s="38">
        <f>'TX-EGM-GL'!O49+'TX-HPL-GL '!O49</f>
        <v>-406392.27299999999</v>
      </c>
      <c r="P49" s="60">
        <f>'TX-EGM-GL'!P49+'TX-HPL-GL '!P49</f>
        <v>577141</v>
      </c>
      <c r="Q49" s="38">
        <f>'TX-EGM-GL'!Q49+'TX-HPL-GL '!Q49</f>
        <v>1258744.5209999999</v>
      </c>
      <c r="R49" s="60">
        <f>'TX-EGM-GL'!R49+'TX-HPL-GL '!R49</f>
        <v>450892</v>
      </c>
      <c r="S49" s="38">
        <f>'TX-EGM-GL'!S49+'TX-HPL-GL '!S49</f>
        <v>983395.45200000005</v>
      </c>
      <c r="T49" s="60">
        <f>'TX-EGM-GL'!T49+'TX-HPL-GL '!T49</f>
        <v>271205</v>
      </c>
      <c r="U49" s="38">
        <f>'TX-EGM-GL'!U49+'TX-HPL-GL '!U49</f>
        <v>591498.10499999998</v>
      </c>
      <c r="V49" s="60">
        <f>'TX-EGM-GL'!V49+'TX-HPL-GL '!V49</f>
        <v>-271205</v>
      </c>
      <c r="W49" s="38">
        <f>'TX-EGM-GL'!W49+'TX-HPL-GL '!W49</f>
        <v>-591498.10499999998</v>
      </c>
      <c r="X49" s="60">
        <f>'TX-EGM-GL'!X49+'TX-HPL-GL '!X49</f>
        <v>786118</v>
      </c>
      <c r="Y49" s="38">
        <f>'TX-EGM-GL'!Y49+'TX-HPL-GL '!Y49</f>
        <v>1714523.358</v>
      </c>
      <c r="Z49" s="60">
        <f>'TX-EGM-GL'!Z49+'TX-HPL-GL '!Z49</f>
        <v>271205</v>
      </c>
      <c r="AA49" s="38">
        <f>'TX-EGM-GL'!AA49+'TX-HPL-GL '!AA49</f>
        <v>591498.10499999998</v>
      </c>
      <c r="AB49" s="60">
        <f>'TX-EGM-GL'!AB49+'TX-HPL-GL '!AB49</f>
        <v>28838</v>
      </c>
      <c r="AC49" s="38">
        <f>'TX-EGM-GL'!AC49+'TX-HPL-GL '!AC49</f>
        <v>62895.678</v>
      </c>
      <c r="AD49" s="60">
        <f>'TX-EGM-GL'!AD49+'TX-HPL-GL '!AD49</f>
        <v>-51259</v>
      </c>
      <c r="AE49" s="38">
        <f>'TX-EGM-GL'!AE49+'TX-HPL-GL '!AE49</f>
        <v>-111795.879</v>
      </c>
      <c r="AF49" s="60">
        <f>'TX-EGM-GL'!AF49+'TX-HPL-GL '!AF49</f>
        <v>401</v>
      </c>
      <c r="AG49" s="38">
        <f>'TX-EGM-GL'!AG49+'TX-HPL-GL '!AG49</f>
        <v>874.58100000000002</v>
      </c>
      <c r="AH49" s="60">
        <f>'TX-EGM-GL'!AJ49+'TX-HPL-GL '!AJ49</f>
        <v>-57295</v>
      </c>
      <c r="AI49" s="38">
        <f>'TX-EGM-GL'!AK49+'TX-HPL-GL '!AK49</f>
        <v>-121408.11</v>
      </c>
      <c r="AJ49" s="60">
        <f>'TX-EGM-GL'!AN49+'TX-HPL-GL '!AN49</f>
        <v>0</v>
      </c>
      <c r="AK49" s="38">
        <f>'TX-EGM-GL'!AO49+'TX-HPL-GL '!AO49</f>
        <v>0</v>
      </c>
      <c r="AL49" s="60">
        <f>'TX-EGM-GL'!AP49+'TX-HPL-GL '!AP49</f>
        <v>0</v>
      </c>
      <c r="AM49" s="38">
        <f>'TX-EGM-GL'!AQ49+'TX-HPL-GL '!AQ49</f>
        <v>0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-2985</v>
      </c>
      <c r="E51" s="38">
        <f>SUM(G51,I51,K51,M51,O51,Q51,S51,U51,W51,Y51,AA51,AC51,AE51,AG51,AI51,AK51,AM51)</f>
        <v>-6510.2849999999999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-60</v>
      </c>
      <c r="I51" s="38">
        <f>'TX-EGM-GL'!I51+'TX-HPL-GL '!I51</f>
        <v>-130.86000000000001</v>
      </c>
      <c r="J51" s="60">
        <f>'TX-EGM-GL'!J51+'TX-HPL-GL '!J51</f>
        <v>-2920</v>
      </c>
      <c r="K51" s="38">
        <f>'TX-EGM-GL'!K51+'TX-HPL-GL '!K51</f>
        <v>-6368.52</v>
      </c>
      <c r="L51" s="60">
        <f>'TX-EGM-GL'!L51+'TX-HPL-GL '!L51</f>
        <v>0</v>
      </c>
      <c r="M51" s="38">
        <f>'TX-EGM-GL'!M51+'TX-HPL-GL '!M51</f>
        <v>0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-5</v>
      </c>
      <c r="AE51" s="38">
        <f>'TX-EGM-GL'!AE51+'TX-HPL-GL '!AE51</f>
        <v>-10.904999999999999</v>
      </c>
      <c r="AF51" s="60">
        <f>'TX-EGM-GL'!AF51+'TX-HPL-GL '!AF51</f>
        <v>0</v>
      </c>
      <c r="AG51" s="38">
        <f>'TX-EGM-GL'!AG51+'TX-HPL-GL '!AG51</f>
        <v>0</v>
      </c>
      <c r="AH51" s="60">
        <f>'TX-EGM-GL'!AJ51+'TX-HPL-GL '!AJ51</f>
        <v>0</v>
      </c>
      <c r="AI51" s="38">
        <f>'TX-EGM-GL'!AK51+'TX-HPL-GL '!AK51</f>
        <v>0</v>
      </c>
      <c r="AJ51" s="60">
        <f>'TX-EGM-GL'!AN51+'TX-HPL-GL '!AN51</f>
        <v>0</v>
      </c>
      <c r="AK51" s="38">
        <f>'TX-EGM-GL'!AO51+'TX-HPL-GL '!AO51</f>
        <v>0</v>
      </c>
      <c r="AL51" s="60">
        <f>'TX-EGM-GL'!AP51+'TX-HPL-GL '!AP51</f>
        <v>0</v>
      </c>
      <c r="AM51" s="38">
        <f>'TX-EGM-GL'!AQ51+'TX-HPL-GL '!AQ51</f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-7146681</v>
      </c>
      <c r="E54" s="38">
        <f>SUM(G54,I54,K54,M54,O54,Q54,S54,U54,W54,Y54,AA54,AC54,AE54,AG54,AI54,AK54,AM54)</f>
        <v>-400753.65</v>
      </c>
      <c r="F54" s="64">
        <f>('TIE-OUT'!P54+'TIE-OUT'!R54)+(RECLASS!P54+RECLASS!R54)</f>
        <v>0</v>
      </c>
      <c r="G54" s="68">
        <f>('TIE-OUT'!Q54+'TIE-OUT'!S54)+(RECLASS!Q54+RECLASS!S54)</f>
        <v>-1475</v>
      </c>
      <c r="H54" s="60">
        <f>'TX-EGM-GL'!H54+'TX-HPL-GL '!H54</f>
        <v>-6560291</v>
      </c>
      <c r="I54" s="38">
        <f>'TX-EGM-GL'!I54+'TX-HPL-GL '!I54</f>
        <v>-518841.77</v>
      </c>
      <c r="J54" s="60">
        <f>'TX-EGM-GL'!J54+'TX-HPL-GL '!J54</f>
        <v>-516106</v>
      </c>
      <c r="K54" s="38">
        <f>'TX-EGM-GL'!K54+'TX-HPL-GL '!K54</f>
        <v>124435</v>
      </c>
      <c r="L54" s="60">
        <f>'TX-EGM-GL'!L54+'TX-HPL-GL '!L54</f>
        <v>222564</v>
      </c>
      <c r="M54" s="38">
        <f>'TX-EGM-GL'!M54+'TX-HPL-GL '!M54</f>
        <v>7178</v>
      </c>
      <c r="N54" s="60">
        <f>'TX-EGM-GL'!N54+'TX-HPL-GL '!N54</f>
        <v>42868</v>
      </c>
      <c r="O54" s="38">
        <f>'TX-EGM-GL'!O54+'TX-HPL-GL '!O54</f>
        <v>882.6</v>
      </c>
      <c r="P54" s="60">
        <f>'TX-EGM-GL'!P54+'TX-HPL-GL '!P54</f>
        <v>-8457</v>
      </c>
      <c r="Q54" s="38">
        <f>'TX-EGM-GL'!Q54+'TX-HPL-GL '!Q54</f>
        <v>26680.5</v>
      </c>
      <c r="R54" s="60">
        <f>'TX-EGM-GL'!R54+'TX-HPL-GL '!R54</f>
        <v>-48936</v>
      </c>
      <c r="S54" s="38">
        <f>'TX-EGM-GL'!S54+'TX-HPL-GL '!S54</f>
        <v>-29367.75</v>
      </c>
      <c r="T54" s="60">
        <f>'TX-EGM-GL'!T54+'TX-HPL-GL '!T54</f>
        <v>-166459</v>
      </c>
      <c r="U54" s="38">
        <f>'TX-EGM-GL'!U54+'TX-HPL-GL '!U54</f>
        <v>-658.85</v>
      </c>
      <c r="V54" s="60">
        <f>'TX-EGM-GL'!V54+'TX-HPL-GL '!V54</f>
        <v>-5143</v>
      </c>
      <c r="W54" s="38">
        <f>'TX-EGM-GL'!W54+'TX-HPL-GL '!W54</f>
        <v>-1027.9100000000001</v>
      </c>
      <c r="X54" s="60">
        <f>'TX-EGM-GL'!X54+'TX-HPL-GL '!X54</f>
        <v>0</v>
      </c>
      <c r="Y54" s="38">
        <f>'TX-EGM-GL'!Y54+'TX-HPL-GL '!Y54</f>
        <v>-0.01</v>
      </c>
      <c r="Z54" s="60">
        <f>'TX-EGM-GL'!Z54+'TX-HPL-GL '!Z54</f>
        <v>-18893</v>
      </c>
      <c r="AA54" s="38">
        <f>'TX-EGM-GL'!AA54+'TX-HPL-GL '!AA54</f>
        <v>638.95000000000005</v>
      </c>
      <c r="AB54" s="60">
        <f>'TX-EGM-GL'!AB54+'TX-HPL-GL '!AB54</f>
        <v>-7353</v>
      </c>
      <c r="AC54" s="38">
        <f>'TX-EGM-GL'!AC54+'TX-HPL-GL '!AC54</f>
        <v>211.47</v>
      </c>
      <c r="AD54" s="60">
        <f>'TX-EGM-GL'!AD54+'TX-HPL-GL '!AD54</f>
        <v>-71562</v>
      </c>
      <c r="AE54" s="38">
        <f>'TX-EGM-GL'!AE54+'TX-HPL-GL '!AE54</f>
        <v>-3776.73</v>
      </c>
      <c r="AF54" s="60">
        <f>'TX-EGM-GL'!AF54+'TX-HPL-GL '!AF54</f>
        <v>473</v>
      </c>
      <c r="AG54" s="38">
        <f>'TX-EGM-GL'!AG54+'TX-HPL-GL '!AG54</f>
        <v>-4361.26</v>
      </c>
      <c r="AH54" s="60">
        <f>'TX-EGM-GL'!AJ54+'TX-HPL-GL '!AJ54</f>
        <v>-9386</v>
      </c>
      <c r="AI54" s="38">
        <f>'TX-EGM-GL'!AK54+'TX-HPL-GL '!AK54</f>
        <v>-1270.8900000000001</v>
      </c>
      <c r="AJ54" s="60">
        <f>'TX-EGM-GL'!AN54+'TX-HPL-GL '!AN54</f>
        <v>0</v>
      </c>
      <c r="AK54" s="38">
        <f>'TX-EGM-GL'!AO54+'TX-HPL-GL '!AO54</f>
        <v>0</v>
      </c>
      <c r="AL54" s="60">
        <f>'TX-EGM-GL'!AP54+'TX-HPL-GL '!AP54</f>
        <v>0</v>
      </c>
      <c r="AM54" s="38">
        <f>'TX-EGM-GL'!AQ54+'TX-HPL-GL '!AQ54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2834</v>
      </c>
      <c r="E55" s="38">
        <f>SUM(G55,I55,K55,M55,O55,Q55,S55,U55,W55,Y55,AA55,AC55,AE55,AG55,AI55,AK55,AM55)</f>
        <v>-642440.51</v>
      </c>
      <c r="F55" s="81">
        <f>('TIE-OUT'!P55+'TIE-OUT'!R55)+(RECLASS!P55+RECLASS!R55)</f>
        <v>0</v>
      </c>
      <c r="G55" s="82">
        <f>('TIE-OUT'!Q55+'TIE-OUT'!S55)+(RECLASS!Q55+RECLASS!S55)</f>
        <v>-977753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335355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-93300</v>
      </c>
      <c r="V55" s="60">
        <f>'TX-EGM-GL'!V55+'TX-HPL-GL '!V55</f>
        <v>0</v>
      </c>
      <c r="W55" s="38">
        <f>'TX-EGM-GL'!W55+'TX-HPL-GL '!W55</f>
        <v>93300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'TX-EGM-GL'!AF55+'TX-HPL-GL '!AF55</f>
        <v>0</v>
      </c>
      <c r="AG55" s="38">
        <f>'TX-EGM-GL'!AG55+'TX-HPL-GL '!AG55</f>
        <v>0</v>
      </c>
      <c r="AH55" s="60">
        <f>'TX-EGM-GL'!AJ55+'TX-HPL-GL '!AJ55</f>
        <v>2834</v>
      </c>
      <c r="AI55" s="38">
        <f>'TX-EGM-GL'!AK55+'TX-HPL-GL '!AK55</f>
        <v>-42.51</v>
      </c>
      <c r="AJ55" s="60">
        <f>'TX-EGM-GL'!AN55+'TX-HPL-GL '!AN55</f>
        <v>0</v>
      </c>
      <c r="AK55" s="38">
        <f>'TX-EGM-GL'!AO55+'TX-HPL-GL '!AO55</f>
        <v>0</v>
      </c>
      <c r="AL55" s="60">
        <f>'TX-EGM-GL'!AP55+'TX-HPL-GL '!AP55</f>
        <v>0</v>
      </c>
      <c r="AM55" s="38">
        <f>'TX-EGM-GL'!AQ55+'TX-HPL-GL '!AQ55</f>
        <v>0</v>
      </c>
    </row>
    <row r="56" spans="1:39" x14ac:dyDescent="0.25">
      <c r="A56" s="9"/>
      <c r="B56" s="7" t="s">
        <v>60</v>
      </c>
      <c r="C56" s="6"/>
      <c r="D56" s="61">
        <f>SUM(D54:D55)</f>
        <v>-7143847</v>
      </c>
      <c r="E56" s="39">
        <f>SUM(E54:E55)</f>
        <v>-1043194.16</v>
      </c>
      <c r="F56" s="61">
        <f t="shared" ref="F56:V56" si="22">SUM(F54:F55)</f>
        <v>0</v>
      </c>
      <c r="G56" s="39">
        <f t="shared" si="22"/>
        <v>-979228</v>
      </c>
      <c r="H56" s="61">
        <f t="shared" si="22"/>
        <v>-6560291</v>
      </c>
      <c r="I56" s="39">
        <f t="shared" si="22"/>
        <v>-518841.77</v>
      </c>
      <c r="J56" s="61">
        <f t="shared" si="22"/>
        <v>-516106</v>
      </c>
      <c r="K56" s="39">
        <f t="shared" si="22"/>
        <v>459790</v>
      </c>
      <c r="L56" s="61">
        <f t="shared" si="22"/>
        <v>222564</v>
      </c>
      <c r="M56" s="39">
        <f t="shared" si="22"/>
        <v>7178</v>
      </c>
      <c r="N56" s="61">
        <f t="shared" si="22"/>
        <v>42868</v>
      </c>
      <c r="O56" s="39">
        <f t="shared" si="22"/>
        <v>882.6</v>
      </c>
      <c r="P56" s="61">
        <f t="shared" si="22"/>
        <v>-8457</v>
      </c>
      <c r="Q56" s="39">
        <f t="shared" si="22"/>
        <v>26680.5</v>
      </c>
      <c r="R56" s="61">
        <f t="shared" si="22"/>
        <v>-48936</v>
      </c>
      <c r="S56" s="39">
        <f t="shared" si="22"/>
        <v>-29367.75</v>
      </c>
      <c r="T56" s="61">
        <f t="shared" si="22"/>
        <v>-166459</v>
      </c>
      <c r="U56" s="39">
        <f>SUM(U54:U55)</f>
        <v>-93958.85</v>
      </c>
      <c r="V56" s="61">
        <f t="shared" si="22"/>
        <v>-5143</v>
      </c>
      <c r="W56" s="39">
        <f t="shared" ref="W56:AC56" si="23">SUM(W54:W55)</f>
        <v>92272.09</v>
      </c>
      <c r="X56" s="61">
        <f t="shared" si="23"/>
        <v>0</v>
      </c>
      <c r="Y56" s="39">
        <f t="shared" si="23"/>
        <v>-0.01</v>
      </c>
      <c r="Z56" s="61">
        <f t="shared" si="23"/>
        <v>-18893</v>
      </c>
      <c r="AA56" s="39">
        <f t="shared" si="23"/>
        <v>638.95000000000005</v>
      </c>
      <c r="AB56" s="61">
        <f t="shared" si="23"/>
        <v>-7353</v>
      </c>
      <c r="AC56" s="39">
        <f t="shared" si="23"/>
        <v>211.47</v>
      </c>
      <c r="AD56" s="61">
        <f t="shared" ref="AD56:AI56" si="24">SUM(AD54:AD55)</f>
        <v>-71562</v>
      </c>
      <c r="AE56" s="39">
        <f t="shared" si="24"/>
        <v>-3776.73</v>
      </c>
      <c r="AF56" s="61">
        <f t="shared" si="24"/>
        <v>473</v>
      </c>
      <c r="AG56" s="39">
        <f t="shared" si="24"/>
        <v>-4361.26</v>
      </c>
      <c r="AH56" s="61">
        <f t="shared" si="24"/>
        <v>-6552</v>
      </c>
      <c r="AI56" s="39">
        <f t="shared" si="24"/>
        <v>-1313.4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42730.58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35662.5</v>
      </c>
      <c r="J59" s="60">
        <f>'TX-EGM-GL'!J59+'TX-HPL-GL '!J59</f>
        <v>0</v>
      </c>
      <c r="K59" s="38">
        <f>'TX-EGM-GL'!K59+'TX-HPL-GL '!K59</f>
        <v>0</v>
      </c>
      <c r="L59" s="60">
        <f>'TX-EGM-GL'!L59+'TX-HPL-GL '!L59</f>
        <v>0</v>
      </c>
      <c r="M59" s="38">
        <f>'TX-EGM-GL'!M59+'TX-HPL-GL '!M59</f>
        <v>200</v>
      </c>
      <c r="N59" s="60">
        <f>'TX-EGM-GL'!N59+'TX-HPL-GL '!N59</f>
        <v>0</v>
      </c>
      <c r="O59" s="38">
        <f>'TX-EGM-GL'!O59+'TX-HPL-GL '!O59</f>
        <v>-200</v>
      </c>
      <c r="P59" s="60">
        <f>'TX-EGM-GL'!P59+'TX-HPL-GL '!P59</f>
        <v>0</v>
      </c>
      <c r="Q59" s="38">
        <f>'TX-EGM-GL'!Q59+'TX-HPL-GL '!Q59</f>
        <v>1949.96</v>
      </c>
      <c r="R59" s="60">
        <f>'TX-EGM-GL'!R59+'TX-HPL-GL '!R59</f>
        <v>0</v>
      </c>
      <c r="S59" s="38">
        <f>'TX-EGM-GL'!S59+'TX-HPL-GL '!S59</f>
        <v>5118.12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  <c r="AF59" s="60">
        <f>'TX-EGM-GL'!AF59+'TX-HPL-GL '!AF59</f>
        <v>0</v>
      </c>
      <c r="AG59" s="38">
        <f>'TX-EGM-GL'!AG59+'TX-HPL-GL '!AG59</f>
        <v>0</v>
      </c>
      <c r="AH59" s="60">
        <f>'TX-EGM-GL'!AJ59+'TX-HPL-GL '!AJ59</f>
        <v>0</v>
      </c>
      <c r="AI59" s="38">
        <f>'TX-EGM-GL'!AK59+'TX-HPL-GL '!AK59</f>
        <v>0</v>
      </c>
      <c r="AJ59" s="60">
        <f>'TX-EGM-GL'!AN59+'TX-HPL-GL '!AN59</f>
        <v>0</v>
      </c>
      <c r="AK59" s="38">
        <f>'TX-EGM-GL'!AO59+'TX-HPL-GL '!AO59</f>
        <v>0</v>
      </c>
      <c r="AL59" s="60">
        <f>'TX-EGM-GL'!AP59+'TX-HPL-GL '!AP59</f>
        <v>0</v>
      </c>
      <c r="AM59" s="38">
        <f>'TX-EGM-GL'!AQ59+'TX-HPL-GL '!AQ59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'TX-EGM-GL'!AF60+'TX-HPL-GL '!AF60</f>
        <v>0</v>
      </c>
      <c r="AG60" s="38">
        <f>'TX-EGM-GL'!AG60+'TX-HPL-GL '!AG60</f>
        <v>0</v>
      </c>
      <c r="AH60" s="60">
        <f>'TX-EGM-GL'!AJ60+'TX-HPL-GL '!AJ60</f>
        <v>0</v>
      </c>
      <c r="AI60" s="38">
        <f>'TX-EGM-GL'!AK60+'TX-HPL-GL '!AK60</f>
        <v>0</v>
      </c>
      <c r="AJ60" s="60">
        <f>'TX-EGM-GL'!AN60+'TX-HPL-GL '!AN60</f>
        <v>0</v>
      </c>
      <c r="AK60" s="38">
        <f>'TX-EGM-GL'!AO60+'TX-HPL-GL '!AO60</f>
        <v>0</v>
      </c>
      <c r="AL60" s="60">
        <f>'TX-EGM-GL'!AP60+'TX-HPL-GL '!AP60</f>
        <v>0</v>
      </c>
      <c r="AM60" s="38">
        <f>'TX-EGM-GL'!AQ60+'TX-HPL-GL '!AQ60</f>
        <v>0</v>
      </c>
    </row>
    <row r="61" spans="1:39" x14ac:dyDescent="0.25">
      <c r="A61" s="9"/>
      <c r="B61" s="62" t="s">
        <v>64</v>
      </c>
      <c r="C61" s="6"/>
      <c r="D61" s="61">
        <f>SUM(D59:D60)</f>
        <v>0</v>
      </c>
      <c r="E61" s="39">
        <f>SUM(E59:E60)</f>
        <v>42730.58</v>
      </c>
      <c r="F61" s="61">
        <f t="shared" ref="F61:V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35662.5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200</v>
      </c>
      <c r="N61" s="61">
        <f t="shared" si="25"/>
        <v>0</v>
      </c>
      <c r="O61" s="39">
        <f t="shared" si="25"/>
        <v>-200</v>
      </c>
      <c r="P61" s="61">
        <f t="shared" si="25"/>
        <v>0</v>
      </c>
      <c r="Q61" s="39">
        <f t="shared" si="25"/>
        <v>1949.96</v>
      </c>
      <c r="R61" s="61">
        <f t="shared" si="25"/>
        <v>0</v>
      </c>
      <c r="S61" s="39">
        <f t="shared" si="25"/>
        <v>5118.12</v>
      </c>
      <c r="T61" s="61">
        <f t="shared" si="25"/>
        <v>0</v>
      </c>
      <c r="U61" s="39">
        <f>SUM(U59:U60)</f>
        <v>0</v>
      </c>
      <c r="V61" s="61">
        <f t="shared" si="25"/>
        <v>0</v>
      </c>
      <c r="W61" s="39">
        <f t="shared" ref="W61:AC61" si="26">SUM(W59:W60)</f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-45661819</v>
      </c>
      <c r="E64" s="38">
        <f>SUM(G64,I64,K64,M64,O64,Q64,S64,U64,W64,Y64,AA64,AC64,AE64,AG64,AI64,AK64)</f>
        <v>-1212997.18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-26746360</v>
      </c>
      <c r="I64" s="38">
        <f>'TX-EGM-GL'!I64+'TX-HPL-GL '!I64</f>
        <v>-1064673.8600000001</v>
      </c>
      <c r="J64" s="60">
        <f>'TX-EGM-GL'!J64+'TX-HPL-GL '!J64</f>
        <v>-16178683</v>
      </c>
      <c r="K64" s="38">
        <f>'TX-EGM-GL'!K64+'TX-HPL-GL '!K64</f>
        <v>-146415.94</v>
      </c>
      <c r="L64" s="60">
        <f>'TX-EGM-GL'!L64+'TX-HPL-GL '!L64</f>
        <v>-2775077</v>
      </c>
      <c r="M64" s="38">
        <f>'TX-EGM-GL'!M64+'TX-HPL-GL '!M64</f>
        <v>-1890.13</v>
      </c>
      <c r="N64" s="60">
        <f>'TX-EGM-GL'!N64+'TX-HPL-GL '!N64</f>
        <v>38301</v>
      </c>
      <c r="O64" s="38">
        <f>'TX-EGM-GL'!O64+'TX-HPL-GL '!O64</f>
        <v>0.5</v>
      </c>
      <c r="P64" s="60">
        <f>'TX-EGM-GL'!P64+'TX-HPL-GL '!P64</f>
        <v>0</v>
      </c>
      <c r="Q64" s="38">
        <f>'TX-EGM-GL'!Q64+'TX-HPL-GL '!Q64</f>
        <v>0</v>
      </c>
      <c r="R64" s="60">
        <f>'TX-EGM-GL'!R64+'TX-HPL-GL '!R64</f>
        <v>0</v>
      </c>
      <c r="S64" s="38">
        <f>'TX-EGM-GL'!S64+'TX-HPL-GL '!S64</f>
        <v>0</v>
      </c>
      <c r="T64" s="60">
        <f>'TX-EGM-GL'!T64+'TX-HPL-GL '!T64</f>
        <v>0</v>
      </c>
      <c r="U64" s="38">
        <f>'TX-EGM-GL'!U64+'TX-HPL-GL '!U64</f>
        <v>0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1.06</v>
      </c>
      <c r="AD64" s="60">
        <f>'TX-EGM-GL'!AD64+'TX-HPL-GL '!AD64</f>
        <v>0</v>
      </c>
      <c r="AE64" s="38">
        <f>'TX-EGM-GL'!AE64+'TX-HPL-GL '!AE64</f>
        <v>-18.809999999999999</v>
      </c>
      <c r="AF64" s="60">
        <f>'TX-EGM-GL'!AF64+'TX-HPL-GL '!AF64</f>
        <v>0</v>
      </c>
      <c r="AG64" s="38">
        <f>'TX-EGM-GL'!AG64+'TX-HPL-GL '!AG64</f>
        <v>0</v>
      </c>
      <c r="AH64" s="60">
        <f>'TX-EGM-GL'!AJ64+'TX-HPL-GL '!AJ64</f>
        <v>0</v>
      </c>
      <c r="AI64" s="38">
        <f>'TX-EGM-GL'!AK64+'TX-HPL-GL '!AK64</f>
        <v>0</v>
      </c>
      <c r="AJ64" s="60">
        <f>'TX-EGM-GL'!AN64+'TX-HPL-GL '!AN64</f>
        <v>0</v>
      </c>
      <c r="AK64" s="38">
        <f>'TX-EGM-GL'!AO64+'TX-HPL-GL '!AO64</f>
        <v>0</v>
      </c>
      <c r="AL64" s="60">
        <f>'TX-EGM-GL'!AP64+'TX-HPL-GL '!AP64</f>
        <v>0</v>
      </c>
      <c r="AM64" s="38">
        <f>'TX-EGM-GL'!AQ64+'TX-HPL-GL '!AQ64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1208182</v>
      </c>
      <c r="F65" s="81">
        <f>('TIE-OUT'!P65+'TIE-OUT'!R65)+(RECLASS!P65+RECLASS!R65)</f>
        <v>0</v>
      </c>
      <c r="G65" s="82">
        <f>('TIE-OUT'!Q65+'TIE-OUT'!S65)+(RECLASS!Q65+RECLASS!S65)</f>
        <v>1076449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132226</v>
      </c>
      <c r="N65" s="60">
        <f>'TX-EGM-GL'!N65+'TX-HPL-GL '!N65</f>
        <v>0</v>
      </c>
      <c r="O65" s="38">
        <f>'TX-EGM-GL'!O65+'TX-HPL-GL '!O65</f>
        <v>-389</v>
      </c>
      <c r="P65" s="60">
        <f>'TX-EGM-GL'!P65+'TX-HPL-GL '!P65</f>
        <v>0</v>
      </c>
      <c r="Q65" s="38">
        <f>'TX-EGM-GL'!Q65+'TX-HPL-GL '!Q65</f>
        <v>0</v>
      </c>
      <c r="R65" s="60">
        <f>'TX-EGM-GL'!R65+'TX-HPL-GL '!R65</f>
        <v>0</v>
      </c>
      <c r="S65" s="38">
        <f>'TX-EGM-GL'!S65+'TX-HPL-GL '!S65</f>
        <v>-104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'TX-EGM-GL'!AF65+'TX-HPL-GL '!AF65</f>
        <v>0</v>
      </c>
      <c r="AG65" s="38">
        <f>'TX-EGM-GL'!AG65+'TX-HPL-GL '!AG65</f>
        <v>0</v>
      </c>
      <c r="AH65" s="60">
        <f>'TX-EGM-GL'!AJ65+'TX-HPL-GL '!AJ65</f>
        <v>0</v>
      </c>
      <c r="AI65" s="38">
        <f>'TX-EGM-GL'!AK65+'TX-HPL-GL '!AK65</f>
        <v>0</v>
      </c>
      <c r="AJ65" s="60">
        <f>'TX-EGM-GL'!AN65+'TX-HPL-GL '!AN65</f>
        <v>0</v>
      </c>
      <c r="AK65" s="38">
        <f>'TX-EGM-GL'!AO65+'TX-HPL-GL '!AO65</f>
        <v>0</v>
      </c>
      <c r="AL65" s="60">
        <f>'TX-EGM-GL'!AP65+'TX-HPL-GL '!AP65</f>
        <v>0</v>
      </c>
      <c r="AM65" s="38">
        <f>'TX-EGM-GL'!AQ65+'TX-HPL-GL '!AQ65</f>
        <v>0</v>
      </c>
    </row>
    <row r="66" spans="1:39" x14ac:dyDescent="0.25">
      <c r="A66" s="9"/>
      <c r="B66" s="7" t="s">
        <v>67</v>
      </c>
      <c r="C66" s="6"/>
      <c r="D66" s="61">
        <f>SUM(D64:D65)</f>
        <v>-45661819</v>
      </c>
      <c r="E66" s="39">
        <f>SUM(E64:E65)</f>
        <v>-4815.1799999999348</v>
      </c>
      <c r="F66" s="61">
        <f t="shared" ref="F66:V66" si="28">SUM(F64:F65)</f>
        <v>0</v>
      </c>
      <c r="G66" s="39">
        <f t="shared" si="28"/>
        <v>1076449</v>
      </c>
      <c r="H66" s="61">
        <f t="shared" si="28"/>
        <v>-26746360</v>
      </c>
      <c r="I66" s="39">
        <f t="shared" si="28"/>
        <v>-1064673.8600000001</v>
      </c>
      <c r="J66" s="61">
        <f t="shared" si="28"/>
        <v>-16178683</v>
      </c>
      <c r="K66" s="39">
        <f t="shared" si="28"/>
        <v>-146415.94</v>
      </c>
      <c r="L66" s="61">
        <f t="shared" si="28"/>
        <v>-2775077</v>
      </c>
      <c r="M66" s="39">
        <f t="shared" si="28"/>
        <v>130335.87</v>
      </c>
      <c r="N66" s="61">
        <f t="shared" si="28"/>
        <v>38301</v>
      </c>
      <c r="O66" s="39">
        <f t="shared" si="28"/>
        <v>-388.5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-104</v>
      </c>
      <c r="T66" s="61">
        <f t="shared" si="28"/>
        <v>0</v>
      </c>
      <c r="U66" s="39">
        <f>SUM(U64:U65)</f>
        <v>0</v>
      </c>
      <c r="V66" s="61">
        <f t="shared" si="28"/>
        <v>0</v>
      </c>
      <c r="W66" s="39">
        <f t="shared" ref="W66:AC66" si="29">SUM(W64:W65)</f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1.06</v>
      </c>
      <c r="AD66" s="61">
        <f t="shared" ref="AD66:AI66" si="30">SUM(AD64:AD65)</f>
        <v>0</v>
      </c>
      <c r="AE66" s="39">
        <f t="shared" si="30"/>
        <v>-18.809999999999999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722248.91</v>
      </c>
      <c r="F70" s="64">
        <f>('TIE-OUT'!P70+'TIE-OUT'!R70)+(RECLASS!P70+RECLASS!R70)</f>
        <v>0</v>
      </c>
      <c r="G70" s="68">
        <f>('TIE-OUT'!Q70+'TIE-OUT'!S70)+(RECLASS!Q70+RECLASS!S70)</f>
        <v>722248.91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'TX-EGM-GL'!AF70+'TX-HPL-GL '!AF70</f>
        <v>0</v>
      </c>
      <c r="AG70" s="38">
        <f>'TX-EGM-GL'!AG70+'TX-HPL-GL '!AG70</f>
        <v>0</v>
      </c>
      <c r="AH70" s="60">
        <f>'TX-EGM-GL'!AJ70+'TX-HPL-GL '!AJ70</f>
        <v>0</v>
      </c>
      <c r="AI70" s="38">
        <f>'TX-EGM-GL'!AK70+'TX-HPL-GL '!AK70</f>
        <v>0</v>
      </c>
      <c r="AJ70" s="60">
        <f>'TX-EGM-GL'!AN70+'TX-HPL-GL '!AN70</f>
        <v>0</v>
      </c>
      <c r="AK70" s="38">
        <f>'TX-EGM-GL'!AO70+'TX-HPL-GL '!AO70</f>
        <v>0</v>
      </c>
      <c r="AL70" s="60">
        <f>'TX-EGM-GL'!AP70+'TX-HPL-GL '!AP70</f>
        <v>0</v>
      </c>
      <c r="AM70" s="38">
        <f>'TX-EGM-GL'!AQ70+'TX-HPL-GL '!AQ70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-250999</v>
      </c>
      <c r="F71" s="81">
        <f>('TIE-OUT'!P71+'TIE-OUT'!R71)+(RECLASS!P71+RECLASS!R71)</f>
        <v>0</v>
      </c>
      <c r="G71" s="82">
        <f>('TIE-OUT'!Q71+'TIE-OUT'!S71)+(RECLASS!Q71+RECLASS!S71)</f>
        <v>-250999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'TX-EGM-GL'!AF71+'TX-HPL-GL '!AF71</f>
        <v>0</v>
      </c>
      <c r="AG71" s="38">
        <f>'TX-EGM-GL'!AG71+'TX-HPL-GL '!AG71</f>
        <v>0</v>
      </c>
      <c r="AH71" s="60">
        <f>'TX-EGM-GL'!AJ71+'TX-HPL-GL '!AJ71</f>
        <v>0</v>
      </c>
      <c r="AI71" s="38">
        <f>'TX-EGM-GL'!AK71+'TX-HPL-GL '!AK71</f>
        <v>0</v>
      </c>
      <c r="AJ71" s="60">
        <f>'TX-EGM-GL'!AN71+'TX-HPL-GL '!AN71</f>
        <v>0</v>
      </c>
      <c r="AK71" s="38">
        <f>'TX-EGM-GL'!AO71+'TX-HPL-GL '!AO71</f>
        <v>0</v>
      </c>
      <c r="AL71" s="60">
        <f>'TX-EGM-GL'!AP71+'TX-HPL-GL '!AP71</f>
        <v>0</v>
      </c>
      <c r="AM71" s="38">
        <f>'TX-EGM-GL'!AQ71+'TX-HPL-GL '!AQ71</f>
        <v>0</v>
      </c>
    </row>
    <row r="72" spans="1:39" x14ac:dyDescent="0.25">
      <c r="A72" s="9"/>
      <c r="B72" s="3"/>
      <c r="C72" s="55" t="s">
        <v>72</v>
      </c>
      <c r="D72" s="61">
        <f>SUM(D70:D71)</f>
        <v>0</v>
      </c>
      <c r="E72" s="39">
        <f>SUM(E70:E71)</f>
        <v>471249.91000000003</v>
      </c>
      <c r="F72" s="61">
        <f t="shared" ref="F72:V72" si="31">SUM(F70:F71)</f>
        <v>0</v>
      </c>
      <c r="G72" s="39">
        <f t="shared" si="31"/>
        <v>471249.91000000003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>SUM(U70:U71)</f>
        <v>0</v>
      </c>
      <c r="V72" s="61">
        <f t="shared" si="31"/>
        <v>0</v>
      </c>
      <c r="W72" s="39">
        <f t="shared" ref="W72:AC72" si="32">SUM(W70:W71)</f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'TX-EGM-GL'!AF73+'TX-HPL-GL '!AF73</f>
        <v>0</v>
      </c>
      <c r="AG73" s="38">
        <f>'TX-EGM-GL'!AG73+'TX-HPL-GL '!AG73</f>
        <v>0</v>
      </c>
      <c r="AH73" s="60">
        <f>'TX-EGM-GL'!AJ73+'TX-HPL-GL '!AJ73</f>
        <v>0</v>
      </c>
      <c r="AI73" s="38">
        <f>'TX-EGM-GL'!AK73+'TX-HPL-GL '!AK73</f>
        <v>0</v>
      </c>
      <c r="AJ73" s="60">
        <f>'TX-EGM-GL'!AN73+'TX-HPL-GL '!AN73</f>
        <v>0</v>
      </c>
      <c r="AK73" s="38">
        <f>'TX-EGM-GL'!AO73+'TX-HPL-GL '!AO73</f>
        <v>0</v>
      </c>
      <c r="AL73" s="60">
        <f>'TX-EGM-GL'!AP73+'TX-HPL-GL '!AP73</f>
        <v>0</v>
      </c>
      <c r="AM73" s="38">
        <f>'TX-EGM-GL'!AQ73+'TX-HPL-GL '!AQ73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787615</v>
      </c>
      <c r="F74" s="60">
        <f>('TIE-OUT'!P74+'TIE-OUT'!R74)+(RECLASS!P74+RECLASS!R74)</f>
        <v>0</v>
      </c>
      <c r="G74" s="60">
        <f>('TIE-OUT'!Q74+'TIE-OUT'!S74)+(RECLASS!Q74+RECLASS!S74)</f>
        <v>901537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40680</v>
      </c>
      <c r="L74" s="60">
        <f>'TX-EGM-GL'!L74+'TX-HPL-GL '!L74</f>
        <v>0</v>
      </c>
      <c r="M74" s="38">
        <f>'TX-EGM-GL'!M74+'TX-HPL-GL '!M74</f>
        <v>-154602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'TX-EGM-GL'!AF74+'TX-HPL-GL '!AF74</f>
        <v>0</v>
      </c>
      <c r="AG74" s="38">
        <f>'TX-EGM-GL'!AG74+'TX-HPL-GL '!AG74</f>
        <v>0</v>
      </c>
      <c r="AH74" s="60">
        <f>'TX-EGM-GL'!AJ74+'TX-HPL-GL '!AJ74</f>
        <v>0</v>
      </c>
      <c r="AI74" s="38">
        <f>'TX-EGM-GL'!AK74+'TX-HPL-GL '!AK74</f>
        <v>0</v>
      </c>
      <c r="AJ74" s="60">
        <f>'TX-EGM-GL'!AN74+'TX-HPL-GL '!AN74</f>
        <v>0</v>
      </c>
      <c r="AK74" s="38">
        <f>'TX-EGM-GL'!AO74+'TX-HPL-GL '!AO74</f>
        <v>0</v>
      </c>
      <c r="AL74" s="60">
        <f>'TX-EGM-GL'!AP74+'TX-HPL-GL '!AP74</f>
        <v>0</v>
      </c>
      <c r="AM74" s="38">
        <f>'TX-EGM-GL'!AQ74+'TX-HPL-GL '!AQ74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126900</v>
      </c>
      <c r="F75" s="60">
        <f>('TIE-OUT'!P75+'TIE-OUT'!R75)+(RECLASS!P75+RECLASS!R75)</f>
        <v>0</v>
      </c>
      <c r="G75" s="60">
        <f>('TIE-OUT'!Q75+'TIE-OUT'!S75)+(RECLASS!Q75+RECLASS!S75)</f>
        <v>126900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'TX-EGM-GL'!AF75+'TX-HPL-GL '!AF75</f>
        <v>0</v>
      </c>
      <c r="AG75" s="38">
        <f>'TX-EGM-GL'!AG75+'TX-HPL-GL '!AG75</f>
        <v>0</v>
      </c>
      <c r="AH75" s="60">
        <f>'TX-EGM-GL'!AJ75+'TX-HPL-GL '!AJ75</f>
        <v>0</v>
      </c>
      <c r="AI75" s="38">
        <f>'TX-EGM-GL'!AK75+'TX-HPL-GL '!AK75</f>
        <v>0</v>
      </c>
      <c r="AJ75" s="60">
        <f>'TX-EGM-GL'!AN75+'TX-HPL-GL '!AN75</f>
        <v>0</v>
      </c>
      <c r="AK75" s="38">
        <f>'TX-EGM-GL'!AO75+'TX-HPL-GL '!AO75</f>
        <v>0</v>
      </c>
      <c r="AL75" s="60">
        <f>'TX-EGM-GL'!AP75+'TX-HPL-GL '!AP75</f>
        <v>0</v>
      </c>
      <c r="AM75" s="38">
        <f>'TX-EGM-GL'!AQ75+'TX-HPL-GL '!AQ75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-247584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-245622.75</v>
      </c>
      <c r="J76" s="60">
        <f>'TX-EGM-GL'!J76+'TX-HPL-GL '!J76</f>
        <v>0</v>
      </c>
      <c r="K76" s="38">
        <f>'TX-EGM-GL'!K76+'TX-HPL-GL '!K76</f>
        <v>-1961.25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'TX-EGM-GL'!AF76+'TX-HPL-GL '!AF76</f>
        <v>0</v>
      </c>
      <c r="AG76" s="38">
        <f>'TX-EGM-GL'!AG76+'TX-HPL-GL '!AG76</f>
        <v>0</v>
      </c>
      <c r="AH76" s="60">
        <f>'TX-EGM-GL'!AJ76+'TX-HPL-GL '!AJ76</f>
        <v>0</v>
      </c>
      <c r="AI76" s="38">
        <f>'TX-EGM-GL'!AK76+'TX-HPL-GL '!AK76</f>
        <v>0</v>
      </c>
      <c r="AJ76" s="60">
        <f>'TX-EGM-GL'!AN76+'TX-HPL-GL '!AN76</f>
        <v>0</v>
      </c>
      <c r="AK76" s="38">
        <f>'TX-EGM-GL'!AO76+'TX-HPL-GL '!AO76</f>
        <v>0</v>
      </c>
      <c r="AL76" s="60">
        <f>'TX-EGM-GL'!AP76+'TX-HPL-GL '!AP76</f>
        <v>0</v>
      </c>
      <c r="AM76" s="38">
        <f>'TX-EGM-GL'!AQ76+'TX-HPL-GL '!AQ76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'TX-EGM-GL'!AF77+'TX-HPL-GL '!AF77</f>
        <v>0</v>
      </c>
      <c r="AG77" s="38">
        <f>'TX-EGM-GL'!AG77+'TX-HPL-GL '!AG77</f>
        <v>0</v>
      </c>
      <c r="AH77" s="60">
        <f>'TX-EGM-GL'!AJ77+'TX-HPL-GL '!AJ77</f>
        <v>0</v>
      </c>
      <c r="AI77" s="38">
        <f>'TX-EGM-GL'!AK77+'TX-HPL-GL '!AK77</f>
        <v>0</v>
      </c>
      <c r="AJ77" s="60">
        <f>'TX-EGM-GL'!AN77+'TX-HPL-GL '!AN77</f>
        <v>0</v>
      </c>
      <c r="AK77" s="38">
        <f>'TX-EGM-GL'!AO77+'TX-HPL-GL '!AO77</f>
        <v>0</v>
      </c>
      <c r="AL77" s="60">
        <f>'TX-EGM-GL'!AP77+'TX-HPL-GL '!AP77</f>
        <v>0</v>
      </c>
      <c r="AM77" s="38">
        <f>'TX-EGM-GL'!AQ77+'TX-HPL-GL '!AQ77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'TX-EGM-GL'!AF78+'TX-HPL-GL '!AF78</f>
        <v>0</v>
      </c>
      <c r="AG78" s="38">
        <f>'TX-EGM-GL'!AG78+'TX-HPL-GL '!AG78</f>
        <v>0</v>
      </c>
      <c r="AH78" s="60">
        <f>'TX-EGM-GL'!AJ78+'TX-HPL-GL '!AJ78</f>
        <v>0</v>
      </c>
      <c r="AI78" s="38">
        <f>'TX-EGM-GL'!AK78+'TX-HPL-GL '!AK78</f>
        <v>0</v>
      </c>
      <c r="AJ78" s="60">
        <f>'TX-EGM-GL'!AN78+'TX-HPL-GL '!AN78</f>
        <v>0</v>
      </c>
      <c r="AK78" s="38">
        <f>'TX-EGM-GL'!AO78+'TX-HPL-GL '!AO78</f>
        <v>0</v>
      </c>
      <c r="AL78" s="60">
        <f>'TX-EGM-GL'!AP78+'TX-HPL-GL '!AP78</f>
        <v>0</v>
      </c>
      <c r="AM78" s="38">
        <f>'TX-EGM-GL'!AQ78+'TX-HPL-GL '!AQ78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'TX-EGM-GL'!AF79+'TX-HPL-GL '!AF79</f>
        <v>0</v>
      </c>
      <c r="AG79" s="38">
        <f>'TX-EGM-GL'!AG79+'TX-HPL-GL '!AG79</f>
        <v>0</v>
      </c>
      <c r="AH79" s="60">
        <f>'TX-EGM-GL'!AJ79+'TX-HPL-GL '!AJ79</f>
        <v>0</v>
      </c>
      <c r="AI79" s="38">
        <f>'TX-EGM-GL'!AK79+'TX-HPL-GL '!AK79</f>
        <v>0</v>
      </c>
      <c r="AJ79" s="60">
        <f>'TX-EGM-GL'!AN79+'TX-HPL-GL '!AN79</f>
        <v>0</v>
      </c>
      <c r="AK79" s="38">
        <f>'TX-EGM-GL'!AO79+'TX-HPL-GL '!AO79</f>
        <v>0</v>
      </c>
      <c r="AL79" s="60">
        <f>'TX-EGM-GL'!AP79+'TX-HPL-GL '!AP79</f>
        <v>0</v>
      </c>
      <c r="AM79" s="38">
        <f>'TX-EGM-GL'!AQ79+'TX-HPL-GL '!AQ79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'TX-EGM-GL'!AF80+'TX-HPL-GL '!AF80</f>
        <v>0</v>
      </c>
      <c r="AG80" s="38">
        <f>'TX-EGM-GL'!AG80+'TX-HPL-GL '!AG80</f>
        <v>0</v>
      </c>
      <c r="AH80" s="60">
        <f>'TX-EGM-GL'!AJ80+'TX-HPL-GL '!AJ80</f>
        <v>0</v>
      </c>
      <c r="AI80" s="38">
        <f>'TX-EGM-GL'!AK80+'TX-HPL-GL '!AK80</f>
        <v>0</v>
      </c>
      <c r="AJ80" s="60">
        <f>'TX-EGM-GL'!AN80+'TX-HPL-GL '!AN80</f>
        <v>0</v>
      </c>
      <c r="AK80" s="38">
        <f>'TX-EGM-GL'!AO80+'TX-HPL-GL '!AO80</f>
        <v>0</v>
      </c>
      <c r="AL80" s="60">
        <f>'TX-EGM-GL'!AP80+'TX-HPL-GL '!AP80</f>
        <v>0</v>
      </c>
      <c r="AM80" s="38">
        <f>'TX-EGM-GL'!AQ80+'TX-HPL-GL '!AQ80</f>
        <v>0</v>
      </c>
    </row>
    <row r="81" spans="1:71" x14ac:dyDescent="0.25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-5708904</v>
      </c>
      <c r="J81" s="60">
        <f>'TX-EGM-GL'!J81+'TX-HPL-GL '!J81</f>
        <v>0</v>
      </c>
      <c r="K81" s="38">
        <f>'TX-EGM-GL'!K81+'TX-HPL-GL '!K81</f>
        <v>5708904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'TX-EGM-GL'!AF81+'TX-HPL-GL '!AF81</f>
        <v>0</v>
      </c>
      <c r="AG81" s="38">
        <f>'TX-EGM-GL'!AG81+'TX-HPL-GL '!AG81</f>
        <v>0</v>
      </c>
      <c r="AH81" s="60">
        <f>'TX-EGM-GL'!AJ81+'TX-HPL-GL '!AJ81</f>
        <v>0</v>
      </c>
      <c r="AI81" s="38">
        <f>'TX-EGM-GL'!AK81+'TX-HPL-GL '!AK81</f>
        <v>0</v>
      </c>
      <c r="AJ81" s="60">
        <f>'TX-EGM-GL'!AN81+'TX-HPL-GL '!AN81</f>
        <v>0</v>
      </c>
      <c r="AK81" s="38">
        <f>'TX-EGM-GL'!AO81+'TX-HPL-GL '!AO81</f>
        <v>0</v>
      </c>
      <c r="AL81" s="60">
        <f>'TX-EGM-GL'!AP81+'TX-HPL-GL '!AP81</f>
        <v>0</v>
      </c>
      <c r="AM81" s="38">
        <f>'TX-EGM-GL'!AQ81+'TX-HPL-GL '!AQ81</f>
        <v>0</v>
      </c>
    </row>
    <row r="82" spans="1:71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2181629.4834999721</v>
      </c>
      <c r="F82" s="92">
        <f>F16+F24+F29+F36+F43+F45+F47+F49</f>
        <v>0</v>
      </c>
      <c r="G82" s="93">
        <f>SUM(G72:G81)+G16+G24+G29+G36+G43+G45+G47+G49+G51+G56+G61+G66</f>
        <v>5149773.8099999987</v>
      </c>
      <c r="H82" s="92">
        <f>H16+H24+H29+H36+H43+H45+H47+H49</f>
        <v>0</v>
      </c>
      <c r="I82" s="93">
        <f>SUM(I72:I81)+I16+I24+I29+I36+I43+I45+I47+I49+I51+I56+I61+I66</f>
        <v>-3642211.4149999898</v>
      </c>
      <c r="J82" s="92">
        <f>J16+J24+J29+J36+J43+J45+J47+J49</f>
        <v>0</v>
      </c>
      <c r="K82" s="93">
        <f>SUM(K72:K81)+K16+K24+K29+K36+K43+K45+K47+K49+K51+K56+K61+K66</f>
        <v>1812025.0255</v>
      </c>
      <c r="L82" s="92">
        <f>L16+L24+L29+L36+L43+L45+L47+L49</f>
        <v>0</v>
      </c>
      <c r="M82" s="93">
        <f>SUM(M72:M81)+M16+M24+M29+M36+M43+M45+M47+M49+M51+M56+M61+M66</f>
        <v>-1326954.3561999998</v>
      </c>
      <c r="N82" s="92">
        <f>N16+N24+N29+N36+N43+N45+N47+N49</f>
        <v>0</v>
      </c>
      <c r="O82" s="93">
        <f>SUM(O72:O81)+O16+O24+O29+O36+O43+O45+O47+O49+O51+O56+O61+O66</f>
        <v>166949.83519999994</v>
      </c>
      <c r="P82" s="92">
        <f>P16+P24+P29+P36+P43+P45+P47+P49</f>
        <v>0</v>
      </c>
      <c r="Q82" s="93">
        <f>SUM(Q72:Q81)+Q16+Q24+Q29+Q36+Q43+Q45+Q47+Q49+Q51+Q56+Q61+Q66</f>
        <v>-54292.178999999967</v>
      </c>
      <c r="R82" s="92">
        <f>R16+R24+R29+R36+R43+R45+R47+R49</f>
        <v>0</v>
      </c>
      <c r="S82" s="93">
        <f>SUM(S72:S81)+S16+S24+S29+S36+S43+S45+S47+S49+S51+S56+S61+S66</f>
        <v>-33725.536000000073</v>
      </c>
      <c r="T82" s="92">
        <f>T16+T24+T29+T36+T43+T45+T47+T49</f>
        <v>0</v>
      </c>
      <c r="U82" s="93">
        <f>SUM(U72:U81)+U16+U24+U29+U36+U43+U45+U47+U49+U51+U56+U61+U66</f>
        <v>-157952.15499999947</v>
      </c>
      <c r="V82" s="92">
        <f>V16+V24+V29+V36+V43+V45+V47+V49</f>
        <v>0</v>
      </c>
      <c r="W82" s="93">
        <f>SUM(W72:W81)+W16+W24+W29+W36+W43+W45+W47+W49+W51+W56+W61+W66</f>
        <v>107702.37499999968</v>
      </c>
      <c r="X82" s="92">
        <f>X16+X24+X29+X36+X43+X45+X47+X49</f>
        <v>0</v>
      </c>
      <c r="Y82" s="93">
        <f>SUM(Y72:Y81)+Y16+Y24+Y29+Y36+Y43+Y45+Y47+Y49+Y51+Y56+Y61+Y66</f>
        <v>-399.94699999991803</v>
      </c>
      <c r="Z82" s="92">
        <f>Z16+Z24+Z29+Z36+Z43+Z45+Z47+Z49</f>
        <v>0</v>
      </c>
      <c r="AA82" s="93">
        <f>SUM(AA72:AA81)+AA16+AA24+AA29+AA36+AA43+AA45+AA47+AA49+AA51+AA56+AA61+AA66</f>
        <v>66699.495000000388</v>
      </c>
      <c r="AB82" s="92">
        <f>AB16+AB24+AB29+AB36+AB43+AB45+AB47+AB49</f>
        <v>0</v>
      </c>
      <c r="AC82" s="93">
        <f>SUM(AC72:AC81)+AC16+AC24+AC29+AC36+AC43+AC45+AC47+AC49+AC51+AC56+AC61+AC66</f>
        <v>48311.953000000001</v>
      </c>
      <c r="AD82" s="92">
        <f>AD16+AD24+AD29+AD36+AD43+AD45+AD47+AD49</f>
        <v>0</v>
      </c>
      <c r="AE82" s="93">
        <f>SUM(AE72:AE81)+AE16+AE24+AE29+AE36+AE43+AE45+AE47+AE49+AE51+AE56+AE61+AE66</f>
        <v>74759.946999999956</v>
      </c>
      <c r="AF82" s="92">
        <f>AF16+AF24+AF29+AF36+AF43+AF45+AF47+AF49</f>
        <v>0</v>
      </c>
      <c r="AG82" s="93">
        <f>SUM(AG72:AG81)+AG16+AG24+AG29+AG36+AG43+AG45+AG47+AG49+AG51+AG56+AG61+AG66</f>
        <v>-31167.458999999995</v>
      </c>
      <c r="AH82" s="92">
        <f>AH16+AH24+AH29+AH36+AH43+AH45+AH47+AH49</f>
        <v>0</v>
      </c>
      <c r="AI82" s="93">
        <f>SUM(AI72:AI81)+AI16+AI24+AI29+AI36+AI43+AI45+AI47+AI49+AI51+AI56+AI61+AI66</f>
        <v>2110.0900000000051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</row>
    <row r="85" spans="1:71" x14ac:dyDescent="0.25">
      <c r="A85" s="4" t="s">
        <v>180</v>
      </c>
      <c r="B85" s="3"/>
      <c r="F85" s="31"/>
      <c r="G85" s="31"/>
      <c r="H85" s="31"/>
      <c r="I85" s="31"/>
      <c r="L85" s="45"/>
    </row>
    <row r="86" spans="1:71" s="3" customFormat="1" x14ac:dyDescent="0.25">
      <c r="A86" s="172"/>
      <c r="C86" s="10" t="s">
        <v>176</v>
      </c>
      <c r="D86" s="173">
        <f t="shared" ref="D86:E88" si="36">SUM(F86,H86,J86,L86,N86,P86,R86,T86,V86,X86,Z86,AB86,AD86)</f>
        <v>0</v>
      </c>
      <c r="E86" s="173">
        <f t="shared" si="36"/>
        <v>5825473</v>
      </c>
      <c r="F86" s="173">
        <f>'TX-EGM-GL'!F86+'TX-HPL-GL '!F86</f>
        <v>0</v>
      </c>
      <c r="G86" s="173">
        <f>'TX-EGM-GL'!G86+'TX-HPL-GL '!G86</f>
        <v>5825473</v>
      </c>
      <c r="H86" s="173">
        <f>'TX-EGM-GL'!H86+'TX-HPL-GL '!H86</f>
        <v>0</v>
      </c>
      <c r="I86" s="173">
        <f>'TX-EGM-GL'!I86+'TX-HPL-GL '!I86</f>
        <v>0</v>
      </c>
      <c r="J86" s="173">
        <f>'TX-EGM-GL'!J86+'TX-HPL-GL '!J86</f>
        <v>0</v>
      </c>
      <c r="K86" s="173">
        <f>'TX-EGM-GL'!K86+'TX-HPL-GL '!K86</f>
        <v>0</v>
      </c>
      <c r="L86" s="173">
        <f>'TX-EGM-GL'!L86+'TX-HPL-GL '!L86</f>
        <v>0</v>
      </c>
      <c r="M86" s="173">
        <f>'TX-EGM-GL'!M86+'TX-HPL-GL '!M86</f>
        <v>0</v>
      </c>
      <c r="N86" s="173">
        <f>'TX-EGM-GL'!N86+'TX-HPL-GL '!N86</f>
        <v>0</v>
      </c>
      <c r="O86" s="173">
        <f>'TX-EGM-GL'!O86+'TX-HPL-GL '!O86</f>
        <v>0</v>
      </c>
      <c r="P86" s="173">
        <f>'TX-EGM-GL'!P86+'TX-HPL-GL '!P86</f>
        <v>0</v>
      </c>
      <c r="Q86" s="173">
        <f>'TX-EGM-GL'!Q86+'TX-HPL-GL '!Q86</f>
        <v>0</v>
      </c>
      <c r="R86" s="173">
        <f>'TX-EGM-GL'!R86+'TX-HPL-GL '!R86</f>
        <v>0</v>
      </c>
      <c r="S86" s="173">
        <f>'TX-EGM-GL'!S86+'TX-HPL-GL '!S86</f>
        <v>0</v>
      </c>
      <c r="T86" s="173">
        <f>'TX-EGM-GL'!T86+'TX-HPL-GL '!T86</f>
        <v>0</v>
      </c>
      <c r="U86" s="173">
        <f>'TX-EGM-GL'!U86+'TX-HPL-GL '!U86</f>
        <v>0</v>
      </c>
      <c r="V86" s="173">
        <f>'TX-EGM-GL'!V86+'TX-HPL-GL '!V86</f>
        <v>0</v>
      </c>
      <c r="W86" s="173">
        <f>'TX-EGM-GL'!W86+'TX-HPL-GL '!W86</f>
        <v>0</v>
      </c>
      <c r="X86" s="173">
        <f>'TX-EGM-GL'!X86+'TX-HPL-GL '!X86</f>
        <v>0</v>
      </c>
      <c r="Y86" s="173">
        <f>'TX-EGM-GL'!Y86+'TX-HPL-GL '!Y86</f>
        <v>0</v>
      </c>
      <c r="Z86" s="173">
        <f>'TX-EGM-GL'!Z86+'TX-HPL-GL '!Z86</f>
        <v>0</v>
      </c>
      <c r="AA86" s="173">
        <f>'TX-EGM-GL'!AA86+'TX-HPL-GL '!AA86</f>
        <v>0</v>
      </c>
      <c r="AB86" s="173">
        <f>'TX-EGM-GL'!AB86+'TX-HPL-GL '!AB86</f>
        <v>0</v>
      </c>
      <c r="AC86" s="173">
        <f>'TX-EGM-GL'!AC86+'TX-HPL-GL '!AC86</f>
        <v>0</v>
      </c>
      <c r="AD86" s="173">
        <f>'TX-EGM-GL'!AD86+'TX-HPL-GL '!AD86</f>
        <v>0</v>
      </c>
      <c r="AE86" s="173">
        <f>'TX-EGM-GL'!AE86+'TX-HPL-GL '!AE86</f>
        <v>0</v>
      </c>
      <c r="AF86" s="173">
        <f>'TX-EGM-GL'!AF86+'TX-HPL-GL '!AF86</f>
        <v>0</v>
      </c>
      <c r="AG86" s="173">
        <f>'TX-EGM-GL'!AG86+'TX-HPL-GL '!AG86</f>
        <v>0</v>
      </c>
      <c r="AH86" s="173">
        <f>'TX-EGM-GL'!AJ86+'TX-HPL-GL '!AJ86</f>
        <v>0</v>
      </c>
      <c r="AI86" s="173">
        <f>'TX-EGM-GL'!AK86+'TX-HPL-GL '!AK86</f>
        <v>0</v>
      </c>
      <c r="AJ86" s="173">
        <f>'TX-EGM-GL'!AN86+'TX-HPL-GL '!AN86</f>
        <v>0</v>
      </c>
      <c r="AK86" s="173">
        <f>'TX-EGM-GL'!AO86+'TX-HPL-GL '!AO86</f>
        <v>0</v>
      </c>
      <c r="AL86" s="173">
        <f>'TX-EGM-GL'!AP86+'TX-HPL-GL '!AP86</f>
        <v>0</v>
      </c>
      <c r="AM86" s="173">
        <f>'TX-EGM-GL'!AQ86+'TX-HPL-GL '!AQ86</f>
        <v>0</v>
      </c>
    </row>
    <row r="87" spans="1:71" s="3" customFormat="1" x14ac:dyDescent="0.25">
      <c r="A87" s="172"/>
      <c r="C87" s="10" t="s">
        <v>74</v>
      </c>
      <c r="D87" s="174">
        <f t="shared" si="36"/>
        <v>0</v>
      </c>
      <c r="E87" s="174">
        <f t="shared" si="36"/>
        <v>0</v>
      </c>
      <c r="F87" s="174">
        <f>'TX-EGM-GL'!F87+'TX-HPL-GL '!F87</f>
        <v>0</v>
      </c>
      <c r="G87" s="174">
        <f>'TX-EGM-GL'!G87+'TX-HPL-GL '!G87</f>
        <v>0</v>
      </c>
      <c r="H87" s="174">
        <f>'TX-EGM-GL'!H87+'TX-HPL-GL '!H87</f>
        <v>0</v>
      </c>
      <c r="I87" s="174">
        <f>'TX-EGM-GL'!I87+'TX-HPL-GL '!I87</f>
        <v>0</v>
      </c>
      <c r="J87" s="174">
        <f>'TX-EGM-GL'!J87+'TX-HPL-GL '!J87</f>
        <v>0</v>
      </c>
      <c r="K87" s="174">
        <f>'TX-EGM-GL'!K87+'TX-HPL-GL '!K87</f>
        <v>0</v>
      </c>
      <c r="L87" s="174">
        <f>'TX-EGM-GL'!L87+'TX-HPL-GL '!L87</f>
        <v>0</v>
      </c>
      <c r="M87" s="174">
        <f>'TX-EGM-GL'!M87+'TX-HPL-GL '!M87</f>
        <v>0</v>
      </c>
      <c r="N87" s="174">
        <f>'TX-EGM-GL'!N87+'TX-HPL-GL '!N87</f>
        <v>0</v>
      </c>
      <c r="O87" s="174">
        <f>'TX-EGM-GL'!O87+'TX-HPL-GL '!O87</f>
        <v>0</v>
      </c>
      <c r="P87" s="174">
        <f>'TX-EGM-GL'!P87+'TX-HPL-GL '!P87</f>
        <v>0</v>
      </c>
      <c r="Q87" s="174">
        <f>'TX-EGM-GL'!Q87+'TX-HPL-GL '!Q87</f>
        <v>0</v>
      </c>
      <c r="R87" s="174">
        <f>'TX-EGM-GL'!R87+'TX-HPL-GL '!R87</f>
        <v>0</v>
      </c>
      <c r="S87" s="174">
        <f>'TX-EGM-GL'!S87+'TX-HPL-GL '!S87</f>
        <v>0</v>
      </c>
      <c r="T87" s="174">
        <f>'TX-EGM-GL'!T87+'TX-HPL-GL '!T87</f>
        <v>0</v>
      </c>
      <c r="U87" s="174">
        <f>'TX-EGM-GL'!U87+'TX-HPL-GL '!U87</f>
        <v>0</v>
      </c>
      <c r="V87" s="174">
        <f>'TX-EGM-GL'!V87+'TX-HPL-GL '!V87</f>
        <v>0</v>
      </c>
      <c r="W87" s="174">
        <f>'TX-EGM-GL'!W87+'TX-HPL-GL '!W87</f>
        <v>0</v>
      </c>
      <c r="X87" s="174">
        <f>'TX-EGM-GL'!X87+'TX-HPL-GL '!X87</f>
        <v>0</v>
      </c>
      <c r="Y87" s="174">
        <f>'TX-EGM-GL'!Y87+'TX-HPL-GL '!Y87</f>
        <v>0</v>
      </c>
      <c r="Z87" s="174">
        <f>'TX-EGM-GL'!Z87+'TX-HPL-GL '!Z87</f>
        <v>0</v>
      </c>
      <c r="AA87" s="174">
        <f>'TX-EGM-GL'!AA87+'TX-HPL-GL '!AA87</f>
        <v>0</v>
      </c>
      <c r="AB87" s="174">
        <f>'TX-EGM-GL'!AB87+'TX-HPL-GL '!AB87</f>
        <v>0</v>
      </c>
      <c r="AC87" s="174">
        <f>'TX-EGM-GL'!AC87+'TX-HPL-GL '!AC87</f>
        <v>0</v>
      </c>
      <c r="AD87" s="174">
        <f>'TX-EGM-GL'!AD87+'TX-HPL-GL '!AD87</f>
        <v>0</v>
      </c>
      <c r="AE87" s="174">
        <f>'TX-EGM-GL'!AE87+'TX-HPL-GL '!AE87</f>
        <v>0</v>
      </c>
      <c r="AF87" s="174">
        <f>'TX-EGM-GL'!AF87+'TX-HPL-GL '!AF87</f>
        <v>0</v>
      </c>
      <c r="AG87" s="174">
        <f>'TX-EGM-GL'!AG87+'TX-HPL-GL '!AG87</f>
        <v>0</v>
      </c>
      <c r="AH87" s="174">
        <f>'TX-EGM-GL'!AJ87+'TX-HPL-GL '!AJ87</f>
        <v>0</v>
      </c>
      <c r="AI87" s="174">
        <f>'TX-EGM-GL'!AK87+'TX-HPL-GL '!AK87</f>
        <v>0</v>
      </c>
      <c r="AJ87" s="174">
        <f>'TX-EGM-GL'!AN87+'TX-HPL-GL '!AN87</f>
        <v>0</v>
      </c>
      <c r="AK87" s="174">
        <f>'TX-EGM-GL'!AO87+'TX-HPL-GL '!AO87</f>
        <v>0</v>
      </c>
      <c r="AL87" s="174">
        <f>'TX-EGM-GL'!AP87+'TX-HPL-GL '!AP87</f>
        <v>0</v>
      </c>
      <c r="AM87" s="174">
        <f>'TX-EGM-GL'!AQ87+'TX-HPL-GL '!AQ87</f>
        <v>0</v>
      </c>
    </row>
    <row r="88" spans="1:71" s="3" customFormat="1" x14ac:dyDescent="0.25">
      <c r="A88" s="172"/>
      <c r="C88" s="10" t="s">
        <v>75</v>
      </c>
      <c r="D88" s="175">
        <f t="shared" si="36"/>
        <v>0</v>
      </c>
      <c r="E88" s="175">
        <f t="shared" si="36"/>
        <v>-5830400</v>
      </c>
      <c r="F88" s="175">
        <f>'TX-EGM-GL'!F88+'TX-HPL-GL '!F88</f>
        <v>0</v>
      </c>
      <c r="G88" s="175">
        <f>'TX-EGM-GL'!G88+'TX-HPL-GL '!G88</f>
        <v>-5830400</v>
      </c>
      <c r="H88" s="175">
        <f>'TX-EGM-GL'!H88+'TX-HPL-GL '!H88</f>
        <v>0</v>
      </c>
      <c r="I88" s="175">
        <f>'TX-EGM-GL'!I88+'TX-HPL-GL '!I88</f>
        <v>0</v>
      </c>
      <c r="J88" s="175">
        <f>'TX-EGM-GL'!J88+'TX-HPL-GL '!J88</f>
        <v>0</v>
      </c>
      <c r="K88" s="175">
        <f>'TX-EGM-GL'!K88+'TX-HPL-GL '!K88</f>
        <v>0</v>
      </c>
      <c r="L88" s="175">
        <f>'TX-EGM-GL'!L88+'TX-HPL-GL '!L88</f>
        <v>0</v>
      </c>
      <c r="M88" s="175">
        <f>'TX-EGM-GL'!M88+'TX-HPL-GL '!M88</f>
        <v>0</v>
      </c>
      <c r="N88" s="175">
        <f>'TX-EGM-GL'!N88+'TX-HPL-GL '!N88</f>
        <v>0</v>
      </c>
      <c r="O88" s="175">
        <f>'TX-EGM-GL'!O88+'TX-HPL-GL '!O88</f>
        <v>0</v>
      </c>
      <c r="P88" s="175">
        <f>'TX-EGM-GL'!P88+'TX-HPL-GL '!P88</f>
        <v>0</v>
      </c>
      <c r="Q88" s="175">
        <f>'TX-EGM-GL'!Q88+'TX-HPL-GL '!Q88</f>
        <v>0</v>
      </c>
      <c r="R88" s="175">
        <f>'TX-EGM-GL'!R88+'TX-HPL-GL '!R88</f>
        <v>0</v>
      </c>
      <c r="S88" s="175">
        <f>'TX-EGM-GL'!S88+'TX-HPL-GL '!S88</f>
        <v>0</v>
      </c>
      <c r="T88" s="175">
        <f>'TX-EGM-GL'!T88+'TX-HPL-GL '!T88</f>
        <v>0</v>
      </c>
      <c r="U88" s="175">
        <f>'TX-EGM-GL'!U88+'TX-HPL-GL '!U88</f>
        <v>0</v>
      </c>
      <c r="V88" s="175">
        <f>'TX-EGM-GL'!V88+'TX-HPL-GL '!V88</f>
        <v>0</v>
      </c>
      <c r="W88" s="175">
        <f>'TX-EGM-GL'!W88+'TX-HPL-GL '!W88</f>
        <v>0</v>
      </c>
      <c r="X88" s="175">
        <f>'TX-EGM-GL'!X88+'TX-HPL-GL '!X88</f>
        <v>0</v>
      </c>
      <c r="Y88" s="175">
        <f>'TX-EGM-GL'!Y88+'TX-HPL-GL '!Y88</f>
        <v>0</v>
      </c>
      <c r="Z88" s="175">
        <f>'TX-EGM-GL'!Z88+'TX-HPL-GL '!Z88</f>
        <v>0</v>
      </c>
      <c r="AA88" s="175">
        <f>'TX-EGM-GL'!AA88+'TX-HPL-GL '!AA88</f>
        <v>0</v>
      </c>
      <c r="AB88" s="175">
        <f>'TX-EGM-GL'!AB88+'TX-HPL-GL '!AB88</f>
        <v>0</v>
      </c>
      <c r="AC88" s="175">
        <f>'TX-EGM-GL'!AC88+'TX-HPL-GL '!AC88</f>
        <v>0</v>
      </c>
      <c r="AD88" s="175">
        <f>'TX-EGM-GL'!AD88+'TX-HPL-GL '!AD88</f>
        <v>0</v>
      </c>
      <c r="AE88" s="175">
        <f>'TX-EGM-GL'!AE88+'TX-HPL-GL '!AE88</f>
        <v>0</v>
      </c>
      <c r="AF88" s="175">
        <f>'TX-EGM-GL'!AF88+'TX-HPL-GL '!AF88</f>
        <v>0</v>
      </c>
      <c r="AG88" s="175">
        <f>'TX-EGM-GL'!AG88+'TX-HPL-GL '!AG88</f>
        <v>0</v>
      </c>
      <c r="AH88" s="175">
        <f>'TX-EGM-GL'!AJ88+'TX-HPL-GL '!AJ88</f>
        <v>0</v>
      </c>
      <c r="AI88" s="175">
        <f>'TX-EGM-GL'!AK88+'TX-HPL-GL '!AK88</f>
        <v>0</v>
      </c>
      <c r="AJ88" s="175">
        <f>'TX-EGM-GL'!AN88+'TX-HPL-GL '!AN88</f>
        <v>0</v>
      </c>
      <c r="AK88" s="175">
        <f>'TX-EGM-GL'!AO88+'TX-HPL-GL '!AO88</f>
        <v>0</v>
      </c>
      <c r="AL88" s="175">
        <f>'TX-EGM-GL'!AP88+'TX-HPL-GL '!AP88</f>
        <v>0</v>
      </c>
      <c r="AM88" s="175">
        <f>'TX-EGM-GL'!AQ88+'TX-HPL-GL '!AQ88</f>
        <v>0</v>
      </c>
    </row>
    <row r="89" spans="1:71" s="44" customFormat="1" ht="20.25" customHeight="1" x14ac:dyDescent="0.25">
      <c r="A89" s="179"/>
      <c r="B89" s="180"/>
      <c r="C89" s="185" t="s">
        <v>179</v>
      </c>
      <c r="D89" s="183">
        <f>SUM(D86:D88)</f>
        <v>0</v>
      </c>
      <c r="E89" s="183">
        <f t="shared" ref="E89:M89" si="37">SUM(E86:E88)</f>
        <v>-4927</v>
      </c>
      <c r="F89" s="183">
        <f t="shared" si="37"/>
        <v>0</v>
      </c>
      <c r="G89" s="183">
        <f t="shared" si="37"/>
        <v>-4927</v>
      </c>
      <c r="H89" s="183">
        <f t="shared" si="37"/>
        <v>0</v>
      </c>
      <c r="I89" s="183">
        <f t="shared" si="37"/>
        <v>0</v>
      </c>
      <c r="J89" s="183">
        <f t="shared" si="37"/>
        <v>0</v>
      </c>
      <c r="K89" s="183">
        <f t="shared" si="37"/>
        <v>0</v>
      </c>
      <c r="L89" s="183">
        <f t="shared" si="37"/>
        <v>0</v>
      </c>
      <c r="M89" s="183">
        <f t="shared" si="37"/>
        <v>0</v>
      </c>
      <c r="N89" s="183">
        <f t="shared" ref="N89:AE89" si="38">SUM(N86:N88)</f>
        <v>0</v>
      </c>
      <c r="O89" s="183">
        <f t="shared" si="38"/>
        <v>0</v>
      </c>
      <c r="P89" s="183">
        <f t="shared" si="38"/>
        <v>0</v>
      </c>
      <c r="Q89" s="183">
        <f t="shared" si="38"/>
        <v>0</v>
      </c>
      <c r="R89" s="183">
        <f t="shared" si="38"/>
        <v>0</v>
      </c>
      <c r="S89" s="183">
        <f t="shared" si="38"/>
        <v>0</v>
      </c>
      <c r="T89" s="183">
        <f t="shared" si="38"/>
        <v>0</v>
      </c>
      <c r="U89" s="183">
        <f t="shared" si="38"/>
        <v>0</v>
      </c>
      <c r="V89" s="183">
        <f t="shared" si="38"/>
        <v>0</v>
      </c>
      <c r="W89" s="183">
        <f t="shared" si="38"/>
        <v>0</v>
      </c>
      <c r="X89" s="183">
        <f t="shared" si="38"/>
        <v>0</v>
      </c>
      <c r="Y89" s="183">
        <f t="shared" si="38"/>
        <v>0</v>
      </c>
      <c r="Z89" s="183">
        <f t="shared" si="38"/>
        <v>0</v>
      </c>
      <c r="AA89" s="183">
        <f t="shared" si="38"/>
        <v>0</v>
      </c>
      <c r="AB89" s="183">
        <f t="shared" si="38"/>
        <v>0</v>
      </c>
      <c r="AC89" s="183">
        <f t="shared" si="38"/>
        <v>0</v>
      </c>
      <c r="AD89" s="183">
        <f t="shared" si="38"/>
        <v>0</v>
      </c>
      <c r="AE89" s="183">
        <f t="shared" si="38"/>
        <v>0</v>
      </c>
      <c r="AF89" s="183">
        <f t="shared" ref="AF89:AK89" si="39">SUM(AF86:AF88)</f>
        <v>0</v>
      </c>
      <c r="AG89" s="183">
        <f t="shared" si="39"/>
        <v>0</v>
      </c>
      <c r="AH89" s="183">
        <f t="shared" si="39"/>
        <v>0</v>
      </c>
      <c r="AI89" s="183">
        <f t="shared" si="39"/>
        <v>0</v>
      </c>
      <c r="AJ89" s="183">
        <f t="shared" si="39"/>
        <v>0</v>
      </c>
      <c r="AK89" s="183">
        <f t="shared" si="39"/>
        <v>0</v>
      </c>
      <c r="AL89" s="183">
        <f>SUM(AL86:AL88)</f>
        <v>0</v>
      </c>
      <c r="AM89" s="183">
        <f>SUM(AM86:AM88)</f>
        <v>0</v>
      </c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</row>
    <row r="91" spans="1:71" s="44" customFormat="1" ht="20.25" customHeight="1" x14ac:dyDescent="0.25">
      <c r="A91" s="179"/>
      <c r="B91" s="180"/>
      <c r="C91" s="185" t="s">
        <v>182</v>
      </c>
      <c r="D91" s="183">
        <f>+D82+D89</f>
        <v>0</v>
      </c>
      <c r="E91" s="183">
        <f t="shared" ref="E91:M91" si="40">+E82+E89</f>
        <v>2176702.4834999721</v>
      </c>
      <c r="F91" s="183">
        <f t="shared" si="40"/>
        <v>0</v>
      </c>
      <c r="G91" s="183">
        <f t="shared" si="40"/>
        <v>5144846.8099999987</v>
      </c>
      <c r="H91" s="183">
        <f t="shared" si="40"/>
        <v>0</v>
      </c>
      <c r="I91" s="183">
        <f t="shared" si="40"/>
        <v>-3642211.4149999898</v>
      </c>
      <c r="J91" s="183">
        <f t="shared" si="40"/>
        <v>0</v>
      </c>
      <c r="K91" s="183">
        <f t="shared" si="40"/>
        <v>1812025.0255</v>
      </c>
      <c r="L91" s="183">
        <f t="shared" si="40"/>
        <v>0</v>
      </c>
      <c r="M91" s="183">
        <f t="shared" si="40"/>
        <v>-1326954.3561999998</v>
      </c>
      <c r="N91" s="183">
        <f t="shared" ref="N91:AE91" si="41">+N82+N89</f>
        <v>0</v>
      </c>
      <c r="O91" s="183">
        <f t="shared" si="41"/>
        <v>166949.83519999994</v>
      </c>
      <c r="P91" s="183">
        <f t="shared" si="41"/>
        <v>0</v>
      </c>
      <c r="Q91" s="183">
        <f t="shared" si="41"/>
        <v>-54292.178999999967</v>
      </c>
      <c r="R91" s="183">
        <f t="shared" si="41"/>
        <v>0</v>
      </c>
      <c r="S91" s="183">
        <f t="shared" si="41"/>
        <v>-33725.536000000073</v>
      </c>
      <c r="T91" s="183">
        <f t="shared" si="41"/>
        <v>0</v>
      </c>
      <c r="U91" s="183">
        <f t="shared" si="41"/>
        <v>-157952.15499999947</v>
      </c>
      <c r="V91" s="183">
        <f t="shared" si="41"/>
        <v>0</v>
      </c>
      <c r="W91" s="183">
        <f t="shared" si="41"/>
        <v>107702.37499999968</v>
      </c>
      <c r="X91" s="183">
        <f t="shared" si="41"/>
        <v>0</v>
      </c>
      <c r="Y91" s="183">
        <f t="shared" si="41"/>
        <v>-399.94699999991803</v>
      </c>
      <c r="Z91" s="183">
        <f t="shared" si="41"/>
        <v>0</v>
      </c>
      <c r="AA91" s="183">
        <f t="shared" si="41"/>
        <v>66699.495000000388</v>
      </c>
      <c r="AB91" s="183">
        <f t="shared" si="41"/>
        <v>0</v>
      </c>
      <c r="AC91" s="183">
        <f t="shared" si="41"/>
        <v>48311.953000000001</v>
      </c>
      <c r="AD91" s="183">
        <f t="shared" si="41"/>
        <v>0</v>
      </c>
      <c r="AE91" s="183">
        <f t="shared" si="41"/>
        <v>74759.946999999956</v>
      </c>
      <c r="AF91" s="183">
        <f t="shared" ref="AF91:AK91" si="42">+AF82+AF89</f>
        <v>0</v>
      </c>
      <c r="AG91" s="183">
        <f t="shared" si="42"/>
        <v>-31167.458999999995</v>
      </c>
      <c r="AH91" s="183">
        <f t="shared" si="42"/>
        <v>0</v>
      </c>
      <c r="AI91" s="183">
        <f t="shared" si="42"/>
        <v>2110.0900000000051</v>
      </c>
      <c r="AJ91" s="183">
        <f t="shared" si="42"/>
        <v>0</v>
      </c>
      <c r="AK91" s="183">
        <f t="shared" si="42"/>
        <v>0</v>
      </c>
      <c r="AL91" s="183">
        <f>+AL82+AL89</f>
        <v>0</v>
      </c>
      <c r="AM91" s="183">
        <f>+AM82+AM89</f>
        <v>0</v>
      </c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M179"/>
  <sheetViews>
    <sheetView zoomScale="75" workbookViewId="0">
      <pane xSplit="3" ySplit="9" topLeftCell="AE1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L11" sqref="AL11:AM1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9" width="15.44140625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27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29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25568174</v>
      </c>
      <c r="E11" s="38">
        <f t="shared" si="0"/>
        <v>52097309.890000001</v>
      </c>
      <c r="F11" s="60">
        <f>'TIE-OUT'!N11+RECLASS!N11</f>
        <v>0</v>
      </c>
      <c r="G11" s="38">
        <f>'TIE-OUT'!O11+RECLASS!O11</f>
        <v>-314260</v>
      </c>
      <c r="H11" s="127">
        <f>+Actuals!E284</f>
        <v>25705617</v>
      </c>
      <c r="I11" s="128">
        <f>+Actuals!F284</f>
        <v>52794559.859999999</v>
      </c>
      <c r="J11" s="127">
        <f>+Actuals!G284</f>
        <v>-145812</v>
      </c>
      <c r="K11" s="128">
        <f>+Actuals!H284</f>
        <v>-396140.9</v>
      </c>
      <c r="L11" s="127">
        <f>+Actuals!I284</f>
        <v>46693</v>
      </c>
      <c r="M11" s="128">
        <f>+Actuals!J284</f>
        <v>109655.92</v>
      </c>
      <c r="N11" s="127">
        <f>+Actuals!K284</f>
        <v>-23051</v>
      </c>
      <c r="O11" s="128">
        <f>+Actuals!L284</f>
        <v>-68727.95</v>
      </c>
      <c r="P11" s="127">
        <f>+Actuals!M284</f>
        <v>903</v>
      </c>
      <c r="Q11" s="128">
        <f>+Actuals!N284</f>
        <v>1336.4</v>
      </c>
      <c r="R11" s="127">
        <f>+Actuals!O284</f>
        <v>0</v>
      </c>
      <c r="S11" s="128">
        <f>+Actuals!P284</f>
        <v>0</v>
      </c>
      <c r="T11" s="127">
        <f>+Actuals!Q284</f>
        <v>0</v>
      </c>
      <c r="U11" s="128">
        <f>+Actuals!R284</f>
        <v>0</v>
      </c>
      <c r="V11" s="127">
        <f>+Actuals!S484</f>
        <v>0</v>
      </c>
      <c r="W11" s="128">
        <f>+Actuals!T484</f>
        <v>0</v>
      </c>
      <c r="X11" s="127">
        <f>+Actuals!U484</f>
        <v>0</v>
      </c>
      <c r="Y11" s="128">
        <f>+Actuals!V484</f>
        <v>0</v>
      </c>
      <c r="Z11" s="127">
        <f>+Actuals!W484</f>
        <v>0</v>
      </c>
      <c r="AA11" s="128">
        <f>+Actuals!X484</f>
        <v>0</v>
      </c>
      <c r="AB11" s="127">
        <f>+Actuals!Y484</f>
        <v>0</v>
      </c>
      <c r="AC11" s="128">
        <f>+Actuals!Z484</f>
        <v>0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0</v>
      </c>
      <c r="AH11" s="127">
        <f>+Actuals!AE484</f>
        <v>0</v>
      </c>
      <c r="AI11" s="128">
        <f>+Actuals!AF484</f>
        <v>0</v>
      </c>
      <c r="AJ11" s="127">
        <v>-16176</v>
      </c>
      <c r="AK11" s="128">
        <v>-29113.439999999999</v>
      </c>
      <c r="AL11" s="127"/>
      <c r="AM11" s="128"/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597992.4</v>
      </c>
      <c r="F12" s="60">
        <f>'TIE-OUT'!N12+RECLASS!N12</f>
        <v>0</v>
      </c>
      <c r="G12" s="38">
        <f>'TIE-OUT'!O12+RECLASS!O12</f>
        <v>597992.4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60">
        <f>+Actuals!H285</f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28">
        <f>+Actuals!N285</f>
        <v>0</v>
      </c>
      <c r="R12" s="127">
        <f>+Actuals!O285</f>
        <v>0</v>
      </c>
      <c r="S12" s="128">
        <f>+Actuals!P285</f>
        <v>0</v>
      </c>
      <c r="T12" s="127">
        <f>+Actuals!Q285</f>
        <v>0</v>
      </c>
      <c r="U12" s="128">
        <f>+Actuals!R285</f>
        <v>0</v>
      </c>
      <c r="V12" s="127">
        <f>+Actuals!S485</f>
        <v>0</v>
      </c>
      <c r="W12" s="128">
        <f>+Actuals!T485</f>
        <v>0</v>
      </c>
      <c r="X12" s="127">
        <f>+Actuals!U485</f>
        <v>0</v>
      </c>
      <c r="Y12" s="128">
        <f>+Actuals!V485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+Actuals!AE485</f>
        <v>0</v>
      </c>
      <c r="AI12" s="128">
        <f>+Actuals!AF485</f>
        <v>0</v>
      </c>
      <c r="AJ12" s="127">
        <f>+Actuals!AG485</f>
        <v>0</v>
      </c>
      <c r="AK12" s="128">
        <f>+Actuals!AH485</f>
        <v>0</v>
      </c>
      <c r="AL12" s="127">
        <f>+Actuals!AI485</f>
        <v>0</v>
      </c>
      <c r="AM12" s="128">
        <f>+Actuals!AJ485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21435046</v>
      </c>
      <c r="E13" s="38">
        <f t="shared" si="0"/>
        <v>45842195</v>
      </c>
      <c r="F13" s="60">
        <f>'TIE-OUT'!N13+RECLASS!N13</f>
        <v>0</v>
      </c>
      <c r="G13" s="38">
        <f>'TIE-OUT'!O13+RECLASS!O13</f>
        <v>0</v>
      </c>
      <c r="H13" s="127">
        <f>+Actuals!E286</f>
        <v>21435046</v>
      </c>
      <c r="I13" s="128">
        <f>+Actuals!F286</f>
        <v>45842195</v>
      </c>
      <c r="J13" s="127">
        <f>+Actuals!G286</f>
        <v>0</v>
      </c>
      <c r="K13" s="128">
        <f>+Actuals!H286</f>
        <v>0</v>
      </c>
      <c r="L13" s="127">
        <f>+Actuals!I286</f>
        <v>-516638</v>
      </c>
      <c r="M13" s="128">
        <f>+Actuals!J286</f>
        <v>-1112067</v>
      </c>
      <c r="N13" s="127">
        <f>+Actuals!K286</f>
        <v>0</v>
      </c>
      <c r="O13" s="128">
        <f>+Actuals!L286</f>
        <v>0</v>
      </c>
      <c r="P13" s="127">
        <f>+Actuals!M286</f>
        <v>0</v>
      </c>
      <c r="Q13" s="128">
        <f>+Actuals!N286</f>
        <v>0</v>
      </c>
      <c r="R13" s="127">
        <f>+Actuals!O286</f>
        <v>1667833</v>
      </c>
      <c r="S13" s="128">
        <f>+Actuals!P286</f>
        <v>3622693</v>
      </c>
      <c r="T13" s="127">
        <f>+Actuals!Q286</f>
        <v>-1151195</v>
      </c>
      <c r="U13" s="128">
        <f>+Actuals!R286</f>
        <v>-2510626</v>
      </c>
      <c r="V13" s="127">
        <f>+Actuals!S486</f>
        <v>1151195</v>
      </c>
      <c r="W13" s="128">
        <f>+Actuals!T486</f>
        <v>2510626</v>
      </c>
      <c r="X13" s="127">
        <f>+Actuals!U486</f>
        <v>0</v>
      </c>
      <c r="Y13" s="128">
        <f>+Actuals!V486</f>
        <v>0</v>
      </c>
      <c r="Z13" s="127">
        <f>+Actuals!W486</f>
        <v>-1151195</v>
      </c>
      <c r="AA13" s="128">
        <f>+Actuals!X486</f>
        <v>-2510626</v>
      </c>
      <c r="AB13" s="127">
        <f>+Actuals!Y486</f>
        <v>0</v>
      </c>
      <c r="AC13" s="128">
        <f>+Actuals!Z486</f>
        <v>0</v>
      </c>
      <c r="AD13" s="127">
        <f>+Actuals!AA486</f>
        <v>0</v>
      </c>
      <c r="AE13" s="128">
        <f>+Actuals!AB486</f>
        <v>0</v>
      </c>
      <c r="AF13" s="127">
        <f>+Actuals!AC486</f>
        <v>0</v>
      </c>
      <c r="AG13" s="128">
        <f>+Actuals!AD486</f>
        <v>0</v>
      </c>
      <c r="AH13" s="127">
        <f>+Actuals!AE486</f>
        <v>0</v>
      </c>
      <c r="AI13" s="128">
        <f>+Actuals!AF486</f>
        <v>0</v>
      </c>
      <c r="AJ13" s="127">
        <f>+Actuals!AG486</f>
        <v>0</v>
      </c>
      <c r="AK13" s="128">
        <f>+Actuals!AH486</f>
        <v>0</v>
      </c>
      <c r="AL13" s="127">
        <f>+Actuals!AI486</f>
        <v>0</v>
      </c>
      <c r="AM13" s="128">
        <f>+Actuals!AJ486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+Actuals!Q287</f>
        <v>0</v>
      </c>
      <c r="U14" s="128">
        <f>+Actuals!R287</f>
        <v>0</v>
      </c>
      <c r="V14" s="127">
        <f>+Actuals!S487</f>
        <v>0</v>
      </c>
      <c r="W14" s="128">
        <f>+Actuals!T487</f>
        <v>0</v>
      </c>
      <c r="X14" s="127">
        <f>+Actuals!U487</f>
        <v>0</v>
      </c>
      <c r="Y14" s="128">
        <f>+Actuals!V487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+Actuals!AE487</f>
        <v>0</v>
      </c>
      <c r="AI14" s="128">
        <f>+Actuals!AF487</f>
        <v>0</v>
      </c>
      <c r="AJ14" s="127">
        <f>+Actuals!AG487</f>
        <v>0</v>
      </c>
      <c r="AK14" s="128">
        <f>+Actuals!AH487</f>
        <v>0</v>
      </c>
      <c r="AL14" s="127">
        <f>+Actuals!AI487</f>
        <v>0</v>
      </c>
      <c r="AM14" s="128">
        <f>+Actuals!AJ487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+Actuals!Q288</f>
        <v>0</v>
      </c>
      <c r="U15" s="128">
        <f>+Actuals!R288</f>
        <v>0</v>
      </c>
      <c r="V15" s="127">
        <f>+Actuals!S488</f>
        <v>0</v>
      </c>
      <c r="W15" s="128">
        <f>+Actuals!T488</f>
        <v>0</v>
      </c>
      <c r="X15" s="127">
        <f>+Actuals!U488</f>
        <v>0</v>
      </c>
      <c r="Y15" s="128">
        <f>+Actuals!V488</f>
        <v>0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+Actuals!AE488</f>
        <v>0</v>
      </c>
      <c r="AI15" s="128">
        <f>+Actuals!AF488</f>
        <v>0</v>
      </c>
      <c r="AJ15" s="127">
        <f>+Actuals!AG488</f>
        <v>0</v>
      </c>
      <c r="AK15" s="128">
        <f>+Actuals!AH488</f>
        <v>0</v>
      </c>
      <c r="AL15" s="127">
        <f>+Actuals!AI488</f>
        <v>0</v>
      </c>
      <c r="AM15" s="128">
        <f>+Actuals!AJ488</f>
        <v>0</v>
      </c>
    </row>
    <row r="16" spans="1:39" x14ac:dyDescent="0.25">
      <c r="A16" s="9"/>
      <c r="B16" s="7" t="s">
        <v>33</v>
      </c>
      <c r="C16" s="6"/>
      <c r="D16" s="61">
        <f t="shared" ref="D16:W16" si="1">SUM(D11:D15)</f>
        <v>47003220</v>
      </c>
      <c r="E16" s="39">
        <f t="shared" si="1"/>
        <v>98537497.289999992</v>
      </c>
      <c r="F16" s="61">
        <f t="shared" si="1"/>
        <v>0</v>
      </c>
      <c r="G16" s="39">
        <f t="shared" si="1"/>
        <v>283732.40000000002</v>
      </c>
      <c r="H16" s="61">
        <f t="shared" si="1"/>
        <v>47140663</v>
      </c>
      <c r="I16" s="39">
        <f t="shared" si="1"/>
        <v>98636754.859999999</v>
      </c>
      <c r="J16" s="61">
        <f t="shared" si="1"/>
        <v>-145812</v>
      </c>
      <c r="K16" s="39">
        <f t="shared" si="1"/>
        <v>-396140.9</v>
      </c>
      <c r="L16" s="61">
        <f t="shared" si="1"/>
        <v>-469945</v>
      </c>
      <c r="M16" s="39">
        <f t="shared" si="1"/>
        <v>-1002411.08</v>
      </c>
      <c r="N16" s="61">
        <f t="shared" si="1"/>
        <v>-23051</v>
      </c>
      <c r="O16" s="39">
        <f t="shared" si="1"/>
        <v>-68727.95</v>
      </c>
      <c r="P16" s="61">
        <f t="shared" si="1"/>
        <v>903</v>
      </c>
      <c r="Q16" s="39">
        <f t="shared" si="1"/>
        <v>1336.4</v>
      </c>
      <c r="R16" s="61">
        <f t="shared" si="1"/>
        <v>1667833</v>
      </c>
      <c r="S16" s="39">
        <f t="shared" si="1"/>
        <v>3622693</v>
      </c>
      <c r="T16" s="61">
        <f t="shared" si="1"/>
        <v>-1151195</v>
      </c>
      <c r="U16" s="39">
        <f t="shared" si="1"/>
        <v>-2510626</v>
      </c>
      <c r="V16" s="61">
        <f t="shared" si="1"/>
        <v>1151195</v>
      </c>
      <c r="W16" s="39">
        <f t="shared" si="1"/>
        <v>2510626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-1151195</v>
      </c>
      <c r="AA16" s="39">
        <f t="shared" si="2"/>
        <v>-2510626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-16176</v>
      </c>
      <c r="AK16" s="39">
        <f>SUM(AK11:AK15)</f>
        <v>-29113.439999999999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-28036309</v>
      </c>
      <c r="E19" s="38">
        <f t="shared" si="4"/>
        <v>-55959979.759999998</v>
      </c>
      <c r="F19" s="64">
        <f>'TIE-OUT'!N19+RECLASS!N19</f>
        <v>0</v>
      </c>
      <c r="G19" s="68">
        <f>'TIE-OUT'!O19+RECLASS!O19</f>
        <v>0</v>
      </c>
      <c r="H19" s="127">
        <f>+Actuals!E289</f>
        <v>-28173061</v>
      </c>
      <c r="I19" s="128">
        <f>+Actuals!F289</f>
        <v>-56629110.519999996</v>
      </c>
      <c r="J19" s="127">
        <f>+Actuals!G289</f>
        <v>229888</v>
      </c>
      <c r="K19" s="128">
        <f>+Actuals!H289</f>
        <v>865422.15</v>
      </c>
      <c r="L19" s="127">
        <f>+Actuals!I289</f>
        <v>-89018</v>
      </c>
      <c r="M19" s="128">
        <f>+Actuals!J289</f>
        <v>-187918.46</v>
      </c>
      <c r="N19" s="127">
        <f>+Actuals!K289</f>
        <v>0</v>
      </c>
      <c r="O19" s="128">
        <f>+Actuals!L289</f>
        <v>0</v>
      </c>
      <c r="P19" s="127">
        <f>+Actuals!M289</f>
        <v>-1000</v>
      </c>
      <c r="Q19" s="128">
        <f>+Actuals!N289</f>
        <v>-2053.0100000000002</v>
      </c>
      <c r="R19" s="127">
        <f>+Actuals!O289</f>
        <v>0</v>
      </c>
      <c r="S19" s="128">
        <f>+Actuals!P289</f>
        <v>0</v>
      </c>
      <c r="T19" s="127">
        <f>+Actuals!Q289</f>
        <v>0</v>
      </c>
      <c r="U19" s="128">
        <f>+Actuals!R289</f>
        <v>0</v>
      </c>
      <c r="V19" s="127">
        <f>+Actuals!S489</f>
        <v>-3064</v>
      </c>
      <c r="W19" s="128">
        <f>+Actuals!T489</f>
        <v>-6219.92</v>
      </c>
      <c r="X19" s="127">
        <f>+Actuals!U489</f>
        <v>0</v>
      </c>
      <c r="Y19" s="128">
        <f>+Actuals!V489</f>
        <v>0</v>
      </c>
      <c r="Z19" s="127">
        <f>+Actuals!W489</f>
        <v>0</v>
      </c>
      <c r="AA19" s="128">
        <f>+Actuals!X489</f>
        <v>0</v>
      </c>
      <c r="AB19" s="127">
        <f>+Actuals!Y489</f>
        <v>0</v>
      </c>
      <c r="AC19" s="128">
        <f>+Actuals!Z489</f>
        <v>0</v>
      </c>
      <c r="AD19" s="127">
        <f>+Actuals!AA489</f>
        <v>0</v>
      </c>
      <c r="AE19" s="128">
        <f>+Actuals!AB489</f>
        <v>0</v>
      </c>
      <c r="AF19" s="127">
        <f>+Actuals!AC489</f>
        <v>0</v>
      </c>
      <c r="AG19" s="128">
        <f>+Actuals!AD489</f>
        <v>0</v>
      </c>
      <c r="AH19" s="127">
        <f>+Actuals!AE489</f>
        <v>0</v>
      </c>
      <c r="AI19" s="128">
        <f>+Actuals!AF489</f>
        <v>0</v>
      </c>
      <c r="AJ19" s="127">
        <v>-54</v>
      </c>
      <c r="AK19" s="128">
        <v>-100</v>
      </c>
      <c r="AL19" s="127"/>
      <c r="AM19" s="128"/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-259121.8</v>
      </c>
      <c r="F20" s="60">
        <f>'TIE-OUT'!N20+RECLASS!N20</f>
        <v>0</v>
      </c>
      <c r="G20" s="38">
        <f>'TIE-OUT'!O20+RECLASS!O20</f>
        <v>-259121.8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+Actuals!Q290</f>
        <v>0</v>
      </c>
      <c r="U20" s="128">
        <f>+Actuals!R290</f>
        <v>0</v>
      </c>
      <c r="V20" s="127">
        <f>+Actuals!S490</f>
        <v>0</v>
      </c>
      <c r="W20" s="157">
        <v>0</v>
      </c>
      <c r="X20" s="127">
        <f>+Actuals!U490</f>
        <v>0</v>
      </c>
      <c r="Y20" s="128">
        <v>0</v>
      </c>
      <c r="Z20" s="127">
        <f>+Actuals!W490</f>
        <v>0</v>
      </c>
      <c r="AA20" s="128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+Actuals!AE490</f>
        <v>0</v>
      </c>
      <c r="AI20" s="128">
        <v>0</v>
      </c>
      <c r="AJ20" s="127">
        <f>+Actuals!AG490</f>
        <v>0</v>
      </c>
      <c r="AK20" s="128">
        <v>0</v>
      </c>
      <c r="AL20" s="127">
        <f>+Actuals!AI490</f>
        <v>0</v>
      </c>
      <c r="AM20" s="128"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-19226020</v>
      </c>
      <c r="E21" s="38">
        <f t="shared" si="4"/>
        <v>-41053457</v>
      </c>
      <c r="F21" s="60">
        <f>'TIE-OUT'!N21+RECLASS!N21</f>
        <v>0</v>
      </c>
      <c r="G21" s="38">
        <f>'TIE-OUT'!O21+RECLASS!O21</f>
        <v>0</v>
      </c>
      <c r="H21" s="127">
        <f>+Actuals!E291</f>
        <v>-19226020</v>
      </c>
      <c r="I21" s="128">
        <f>+Actuals!F291</f>
        <v>-41053457</v>
      </c>
      <c r="J21" s="127">
        <f>+Actuals!G291</f>
        <v>0</v>
      </c>
      <c r="K21" s="128">
        <f>+Actuals!H291</f>
        <v>0</v>
      </c>
      <c r="L21" s="127">
        <f>+Actuals!I291</f>
        <v>0</v>
      </c>
      <c r="M21" s="128">
        <f>+Actuals!J291</f>
        <v>0</v>
      </c>
      <c r="N21" s="127">
        <f>+Actuals!K291</f>
        <v>0</v>
      </c>
      <c r="O21" s="128">
        <f>+Actuals!L291</f>
        <v>0</v>
      </c>
      <c r="P21" s="127">
        <f>+Actuals!M291</f>
        <v>0</v>
      </c>
      <c r="Q21" s="128">
        <f>+Actuals!N291</f>
        <v>0</v>
      </c>
      <c r="R21" s="127">
        <f>+Actuals!O291</f>
        <v>-1667833</v>
      </c>
      <c r="S21" s="128">
        <f>+Actuals!P291</f>
        <v>-3622693</v>
      </c>
      <c r="T21" s="127">
        <f>+Actuals!Q291</f>
        <v>1667833</v>
      </c>
      <c r="U21" s="128">
        <f>+Actuals!R291</f>
        <v>3622693</v>
      </c>
      <c r="V21" s="127">
        <f>+Actuals!S491</f>
        <v>-1667833</v>
      </c>
      <c r="W21" s="128">
        <f>+Actuals!T491</f>
        <v>-3622693</v>
      </c>
      <c r="X21" s="127">
        <f>+Actuals!U491</f>
        <v>0</v>
      </c>
      <c r="Y21" s="128">
        <f>+Actuals!V491</f>
        <v>0</v>
      </c>
      <c r="Z21" s="127">
        <f>+Actuals!W491</f>
        <v>1667833</v>
      </c>
      <c r="AA21" s="128">
        <f>+Actuals!X491</f>
        <v>3622693</v>
      </c>
      <c r="AB21" s="127">
        <f>+Actuals!Y491</f>
        <v>0</v>
      </c>
      <c r="AC21" s="128">
        <f>+Actuals!Z491</f>
        <v>0</v>
      </c>
      <c r="AD21" s="127">
        <f>+Actuals!AA491</f>
        <v>0</v>
      </c>
      <c r="AE21" s="128">
        <f>+Actuals!AB491</f>
        <v>0</v>
      </c>
      <c r="AF21" s="127">
        <f>+Actuals!AC491</f>
        <v>0</v>
      </c>
      <c r="AG21" s="128">
        <f>+Actuals!AD491</f>
        <v>0</v>
      </c>
      <c r="AH21" s="127">
        <f>+Actuals!AE491</f>
        <v>0</v>
      </c>
      <c r="AI21" s="128">
        <f>+Actuals!AF491</f>
        <v>0</v>
      </c>
      <c r="AJ21" s="127">
        <f>+Actuals!AG491</f>
        <v>0</v>
      </c>
      <c r="AK21" s="128">
        <f>+Actuals!AH491</f>
        <v>0</v>
      </c>
      <c r="AL21" s="127">
        <f>+Actuals!AI491</f>
        <v>0</v>
      </c>
      <c r="AM21" s="128">
        <f>+Actuals!AJ491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+Actuals!Q292</f>
        <v>0</v>
      </c>
      <c r="U22" s="128">
        <f>+Actuals!R292</f>
        <v>0</v>
      </c>
      <c r="V22" s="127">
        <f>+Actuals!S492</f>
        <v>0</v>
      </c>
      <c r="W22" s="128">
        <f>+Actuals!T492</f>
        <v>0</v>
      </c>
      <c r="X22" s="127">
        <f>+Actuals!U492</f>
        <v>0</v>
      </c>
      <c r="Y22" s="128">
        <f>+Actuals!V492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+Actuals!AE492</f>
        <v>0</v>
      </c>
      <c r="AI22" s="128">
        <f>+Actuals!AF492</f>
        <v>0</v>
      </c>
      <c r="AJ22" s="127">
        <f>+Actuals!AG492</f>
        <v>0</v>
      </c>
      <c r="AK22" s="128">
        <f>+Actuals!AH492</f>
        <v>0</v>
      </c>
      <c r="AL22" s="127">
        <f>+Actuals!AI492</f>
        <v>0</v>
      </c>
      <c r="AM22" s="128">
        <f>+Actuals!AJ492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290422</v>
      </c>
      <c r="E23" s="38">
        <f t="shared" si="4"/>
        <v>604077.75999999989</v>
      </c>
      <c r="F23" s="81">
        <f>'TIE-OUT'!N23+RECLASS!N23</f>
        <v>0</v>
      </c>
      <c r="G23" s="82">
        <f>'TIE-OUT'!O23+RECLASS!O23</f>
        <v>0</v>
      </c>
      <c r="H23" s="127">
        <f>+Actuals!E293</f>
        <v>279890</v>
      </c>
      <c r="I23" s="128">
        <f>+Actuals!F293</f>
        <v>582171.19999999995</v>
      </c>
      <c r="J23" s="127">
        <f>+Actuals!G293</f>
        <v>10545</v>
      </c>
      <c r="K23" s="128">
        <f>+Actuals!H293</f>
        <v>21933.599999999999</v>
      </c>
      <c r="L23" s="127">
        <f>+Actuals!I293</f>
        <v>0</v>
      </c>
      <c r="M23" s="128">
        <f>+Actuals!J293</f>
        <v>0</v>
      </c>
      <c r="N23" s="127">
        <f>+Actuals!K293</f>
        <v>-13</v>
      </c>
      <c r="O23" s="128">
        <f>+Actuals!L293</f>
        <v>-27.04</v>
      </c>
      <c r="P23" s="127">
        <f>+Actuals!M293</f>
        <v>0</v>
      </c>
      <c r="Q23" s="128">
        <f>+Actuals!N293</f>
        <v>0</v>
      </c>
      <c r="R23" s="127">
        <f>+Actuals!O293</f>
        <v>0</v>
      </c>
      <c r="S23" s="128">
        <f>+Actuals!P293</f>
        <v>0</v>
      </c>
      <c r="T23" s="127">
        <f>+Actuals!Q293</f>
        <v>0</v>
      </c>
      <c r="U23" s="128">
        <f>+Actuals!R293</f>
        <v>0</v>
      </c>
      <c r="V23" s="127">
        <f>+Actuals!S493</f>
        <v>0</v>
      </c>
      <c r="W23" s="128">
        <f>+Actuals!T493</f>
        <v>0</v>
      </c>
      <c r="X23" s="127">
        <f>+Actuals!U493</f>
        <v>0</v>
      </c>
      <c r="Y23" s="128">
        <f>+Actuals!V493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+Actuals!AE493</f>
        <v>0</v>
      </c>
      <c r="AI23" s="128">
        <f>+Actuals!AF493</f>
        <v>0</v>
      </c>
      <c r="AJ23" s="127">
        <f>+Actuals!AG493</f>
        <v>0</v>
      </c>
      <c r="AK23" s="128">
        <f>+Actuals!AH493</f>
        <v>0</v>
      </c>
      <c r="AL23" s="127">
        <f>+Actuals!AI493</f>
        <v>0</v>
      </c>
      <c r="AM23" s="128">
        <f>+Actuals!AJ493</f>
        <v>0</v>
      </c>
    </row>
    <row r="24" spans="1:39" x14ac:dyDescent="0.25">
      <c r="A24" s="9"/>
      <c r="B24" s="7" t="s">
        <v>36</v>
      </c>
      <c r="C24" s="6"/>
      <c r="D24" s="61">
        <f t="shared" ref="D24:W24" si="5">SUM(D19:D23)</f>
        <v>-46971907</v>
      </c>
      <c r="E24" s="39">
        <f t="shared" si="5"/>
        <v>-96668480.799999997</v>
      </c>
      <c r="F24" s="61">
        <f t="shared" si="5"/>
        <v>0</v>
      </c>
      <c r="G24" s="39">
        <f t="shared" si="5"/>
        <v>-259121.8</v>
      </c>
      <c r="H24" s="61">
        <f t="shared" si="5"/>
        <v>-47119191</v>
      </c>
      <c r="I24" s="39">
        <f t="shared" si="5"/>
        <v>-97100396.319999993</v>
      </c>
      <c r="J24" s="61">
        <f t="shared" si="5"/>
        <v>240433</v>
      </c>
      <c r="K24" s="39">
        <f t="shared" si="5"/>
        <v>887355.75</v>
      </c>
      <c r="L24" s="61">
        <f t="shared" si="5"/>
        <v>-89018</v>
      </c>
      <c r="M24" s="39">
        <f t="shared" si="5"/>
        <v>-187918.46</v>
      </c>
      <c r="N24" s="61">
        <f t="shared" si="5"/>
        <v>-13</v>
      </c>
      <c r="O24" s="39">
        <f t="shared" si="5"/>
        <v>-27.04</v>
      </c>
      <c r="P24" s="61">
        <f t="shared" si="5"/>
        <v>-1000</v>
      </c>
      <c r="Q24" s="39">
        <f t="shared" si="5"/>
        <v>-2053.0100000000002</v>
      </c>
      <c r="R24" s="61">
        <f t="shared" si="5"/>
        <v>-1667833</v>
      </c>
      <c r="S24" s="39">
        <f t="shared" si="5"/>
        <v>-3622693</v>
      </c>
      <c r="T24" s="61">
        <f t="shared" si="5"/>
        <v>1667833</v>
      </c>
      <c r="U24" s="39">
        <f t="shared" si="5"/>
        <v>3622693</v>
      </c>
      <c r="V24" s="61">
        <f t="shared" si="5"/>
        <v>-1670897</v>
      </c>
      <c r="W24" s="39">
        <f t="shared" si="5"/>
        <v>-3628912.92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1667833</v>
      </c>
      <c r="AA24" s="39">
        <f t="shared" si="6"/>
        <v>3622693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-54</v>
      </c>
      <c r="AK24" s="39">
        <f>SUM(AK19:AK23)</f>
        <v>-100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+Actuals!Q294</f>
        <v>0</v>
      </c>
      <c r="U27" s="128">
        <f>+Actuals!R294</f>
        <v>0</v>
      </c>
      <c r="V27" s="127">
        <f>+Actuals!S494</f>
        <v>0</v>
      </c>
      <c r="W27" s="128">
        <f>+Actuals!T494</f>
        <v>0</v>
      </c>
      <c r="X27" s="127">
        <f>+Actuals!U494</f>
        <v>0</v>
      </c>
      <c r="Y27" s="128">
        <f>+Actuals!V494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+Actuals!AE494</f>
        <v>0</v>
      </c>
      <c r="AI27" s="128">
        <f>+Actuals!AF494</f>
        <v>0</v>
      </c>
      <c r="AJ27" s="127">
        <f>+Actuals!AG494</f>
        <v>0</v>
      </c>
      <c r="AK27" s="128">
        <f>+Actuals!AH494</f>
        <v>0</v>
      </c>
      <c r="AL27" s="127">
        <f>+Actuals!AI494</f>
        <v>0</v>
      </c>
      <c r="AM27" s="128">
        <f>+Actuals!AJ494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'TIE-OUT'!N28+RECLASS!N28</f>
        <v>0</v>
      </c>
      <c r="G28" s="82">
        <f>'TIE-OUT'!O28+RECLASS!O28</f>
        <v>0</v>
      </c>
      <c r="H28" s="127">
        <f>+Actuals!E295</f>
        <v>0</v>
      </c>
      <c r="I28" s="128">
        <f>+Actuals!F295</f>
        <v>0</v>
      </c>
      <c r="J28" s="127">
        <f>+Actuals!G295</f>
        <v>0</v>
      </c>
      <c r="K28" s="128">
        <f>+Actuals!H295</f>
        <v>0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+Actuals!Q295</f>
        <v>0</v>
      </c>
      <c r="U28" s="128">
        <f>+Actuals!R295</f>
        <v>0</v>
      </c>
      <c r="V28" s="127">
        <f>+Actuals!S495</f>
        <v>0</v>
      </c>
      <c r="W28" s="128">
        <f>+Actuals!T495</f>
        <v>0</v>
      </c>
      <c r="X28" s="127">
        <f>+Actuals!U495</f>
        <v>0</v>
      </c>
      <c r="Y28" s="128">
        <f>+Actuals!V495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+Actuals!AE495</f>
        <v>0</v>
      </c>
      <c r="AI28" s="128">
        <f>+Actuals!AF495</f>
        <v>0</v>
      </c>
      <c r="AJ28" s="127">
        <f>+Actuals!AG495</f>
        <v>0</v>
      </c>
      <c r="AK28" s="128">
        <f>+Actuals!AH495</f>
        <v>0</v>
      </c>
      <c r="AL28" s="127">
        <f>+Actuals!AI495</f>
        <v>0</v>
      </c>
      <c r="AM28" s="128">
        <f>+Actuals!AJ495</f>
        <v>0</v>
      </c>
    </row>
    <row r="29" spans="1:39" x14ac:dyDescent="0.25">
      <c r="A29" s="9"/>
      <c r="B29" s="7" t="s">
        <v>40</v>
      </c>
      <c r="C29" s="18"/>
      <c r="D29" s="61">
        <f t="shared" ref="D29:W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-16944</v>
      </c>
      <c r="E32" s="38">
        <f t="shared" si="11"/>
        <v>-34566.036999999989</v>
      </c>
      <c r="F32" s="64">
        <f>'TIE-OUT'!N32+RECLASS!N32</f>
        <v>0</v>
      </c>
      <c r="G32" s="68">
        <f>'TIE-OUT'!O32+RECLASS!O32</f>
        <v>0</v>
      </c>
      <c r="H32" s="127">
        <f>+Actuals!E296</f>
        <v>27555</v>
      </c>
      <c r="I32" s="128">
        <f>+Actuals!F296</f>
        <v>57314.39</v>
      </c>
      <c r="J32" s="127">
        <f>+Actuals!G296</f>
        <v>-79572</v>
      </c>
      <c r="K32" s="128">
        <f>+Actuals!H296</f>
        <v>-165873.87899999999</v>
      </c>
      <c r="L32" s="127">
        <f>+Actuals!I296</f>
        <v>-71682</v>
      </c>
      <c r="M32" s="128">
        <f>+Actuals!J296</f>
        <v>-206378.17499999999</v>
      </c>
      <c r="N32" s="127">
        <f>+Actuals!K296</f>
        <v>105958</v>
      </c>
      <c r="O32" s="128">
        <f>+Actuals!L296</f>
        <v>294524.511</v>
      </c>
      <c r="P32" s="127">
        <f>+Actuals!M296</f>
        <v>797</v>
      </c>
      <c r="Q32" s="128">
        <f>+Actuals!N296</f>
        <v>-14152.884</v>
      </c>
      <c r="R32" s="127">
        <f>+Actuals!O296</f>
        <v>0</v>
      </c>
      <c r="S32" s="128">
        <f>+Actuals!P296</f>
        <v>0</v>
      </c>
      <c r="T32" s="127">
        <f>+Actuals!Q296</f>
        <v>0</v>
      </c>
      <c r="U32" s="128">
        <f>+Actuals!R296</f>
        <v>0</v>
      </c>
      <c r="V32" s="127">
        <f>+Actuals!S496</f>
        <v>0</v>
      </c>
      <c r="W32" s="128">
        <f>+Actuals!T496</f>
        <v>0</v>
      </c>
      <c r="X32" s="127">
        <f>+Actuals!U496</f>
        <v>0</v>
      </c>
      <c r="Y32" s="128">
        <f>+Actuals!V496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+Actuals!AE496</f>
        <v>0</v>
      </c>
      <c r="AI32" s="128">
        <f>+Actuals!AF496</f>
        <v>0</v>
      </c>
      <c r="AJ32" s="127">
        <f>+Actuals!AG496</f>
        <v>0</v>
      </c>
      <c r="AK32" s="128">
        <f>+Actuals!AH496</f>
        <v>0</v>
      </c>
      <c r="AL32" s="127">
        <f>+Actuals!AI496</f>
        <v>0</v>
      </c>
      <c r="AM32" s="128">
        <f>+Actuals!AJ496</f>
        <v>0</v>
      </c>
    </row>
    <row r="33" spans="1:39" x14ac:dyDescent="0.25">
      <c r="A33" s="9">
        <v>14</v>
      </c>
      <c r="B33" s="7"/>
      <c r="C33" s="18" t="s">
        <v>43</v>
      </c>
      <c r="D33" s="60">
        <f t="shared" si="11"/>
        <v>-4013</v>
      </c>
      <c r="E33" s="38">
        <f t="shared" si="11"/>
        <v>-8793.2800000000007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-4011</v>
      </c>
      <c r="K33" s="128">
        <f>+Actuals!H297</f>
        <v>-8789.42</v>
      </c>
      <c r="L33" s="127">
        <f>+Actuals!I297</f>
        <v>-2</v>
      </c>
      <c r="M33" s="128">
        <f>+Actuals!J297</f>
        <v>-3.86</v>
      </c>
      <c r="N33" s="127">
        <f>+Actuals!K297</f>
        <v>0</v>
      </c>
      <c r="O33" s="128">
        <f>+Actuals!L297</f>
        <v>0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+Actuals!Q297</f>
        <v>0</v>
      </c>
      <c r="U33" s="128">
        <f>+Actuals!R297</f>
        <v>0</v>
      </c>
      <c r="V33" s="127">
        <f>+Actuals!S497</f>
        <v>0</v>
      </c>
      <c r="W33" s="128">
        <f>+Actuals!T497</f>
        <v>0</v>
      </c>
      <c r="X33" s="127">
        <f>+Actuals!U497</f>
        <v>0</v>
      </c>
      <c r="Y33" s="128">
        <f>+Actuals!V497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+Actuals!AE497</f>
        <v>0</v>
      </c>
      <c r="AI33" s="128">
        <f>+Actuals!AF497</f>
        <v>0</v>
      </c>
      <c r="AJ33" s="127">
        <f>+Actuals!AG497</f>
        <v>0</v>
      </c>
      <c r="AK33" s="128">
        <f>+Actuals!AH497</f>
        <v>0</v>
      </c>
      <c r="AL33" s="127">
        <f>+Actuals!AI497</f>
        <v>0</v>
      </c>
      <c r="AM33" s="128">
        <f>+Actuals!AJ497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1"/>
        <v>428</v>
      </c>
      <c r="E34" s="38">
        <f t="shared" si="11"/>
        <v>901.77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86</v>
      </c>
      <c r="K34" s="128">
        <f>+Actuals!H298</f>
        <v>191.09</v>
      </c>
      <c r="L34" s="127">
        <f>+Actuals!I298</f>
        <v>342</v>
      </c>
      <c r="M34" s="128">
        <f>+Actuals!J298</f>
        <v>710.68</v>
      </c>
      <c r="N34" s="127">
        <f>+Actuals!K298</f>
        <v>0</v>
      </c>
      <c r="O34" s="128">
        <f>+Actuals!L298</f>
        <v>0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+Actuals!Q298</f>
        <v>0</v>
      </c>
      <c r="U34" s="128">
        <f>+Actuals!R298</f>
        <v>0</v>
      </c>
      <c r="V34" s="127">
        <f>+Actuals!S498</f>
        <v>0</v>
      </c>
      <c r="W34" s="128">
        <f>+Actuals!T498</f>
        <v>0</v>
      </c>
      <c r="X34" s="127">
        <f>+Actuals!U498</f>
        <v>0</v>
      </c>
      <c r="Y34" s="128">
        <f>+Actuals!V498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+Actuals!AE498</f>
        <v>0</v>
      </c>
      <c r="AI34" s="128">
        <f>+Actuals!AF498</f>
        <v>0</v>
      </c>
      <c r="AJ34" s="127">
        <f>+Actuals!AG498</f>
        <v>0</v>
      </c>
      <c r="AK34" s="128">
        <f>+Actuals!AH498</f>
        <v>0</v>
      </c>
      <c r="AL34" s="127">
        <f>+Actuals!AI498</f>
        <v>0</v>
      </c>
      <c r="AM34" s="128">
        <f>+Actuals!AJ498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1"/>
        <v>12669</v>
      </c>
      <c r="E35" s="38">
        <f t="shared" si="11"/>
        <v>26352.01</v>
      </c>
      <c r="F35" s="81">
        <f>'TIE-OUT'!N35+RECLASS!N35</f>
        <v>0</v>
      </c>
      <c r="G35" s="82">
        <f>'TIE-OUT'!O35+RECLASS!O35</f>
        <v>0</v>
      </c>
      <c r="H35" s="127">
        <f>+Actuals!E299</f>
        <v>-16411</v>
      </c>
      <c r="I35" s="128">
        <f>+Actuals!F299</f>
        <v>0.01</v>
      </c>
      <c r="J35" s="127">
        <f>+Actuals!G299</f>
        <v>29080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+Actuals!K299</f>
        <v>0</v>
      </c>
      <c r="O35" s="128">
        <f>+Actuals!L299</f>
        <v>0</v>
      </c>
      <c r="P35" s="127">
        <f>+Actuals!M299</f>
        <v>0</v>
      </c>
      <c r="Q35" s="128">
        <f>+Actuals!N299</f>
        <v>26352</v>
      </c>
      <c r="R35" s="127">
        <f>+Actuals!O299</f>
        <v>0</v>
      </c>
      <c r="S35" s="128">
        <f>+Actuals!P299</f>
        <v>0</v>
      </c>
      <c r="T35" s="127">
        <f>+Actuals!Q299</f>
        <v>0</v>
      </c>
      <c r="U35" s="128">
        <f>+Actuals!R299</f>
        <v>0</v>
      </c>
      <c r="V35" s="127">
        <f>+Actuals!S499</f>
        <v>0</v>
      </c>
      <c r="W35" s="128">
        <f>+Actuals!T499</f>
        <v>0</v>
      </c>
      <c r="X35" s="127">
        <f>+Actuals!U499</f>
        <v>0</v>
      </c>
      <c r="Y35" s="128">
        <f>+Actuals!V499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+Actuals!AE499</f>
        <v>0</v>
      </c>
      <c r="AI35" s="128">
        <f>+Actuals!AF499</f>
        <v>0</v>
      </c>
      <c r="AJ35" s="127">
        <f>+Actuals!AG499</f>
        <v>0</v>
      </c>
      <c r="AK35" s="128">
        <f>+Actuals!AH499</f>
        <v>0</v>
      </c>
      <c r="AL35" s="127">
        <f>+Actuals!AI499</f>
        <v>0</v>
      </c>
      <c r="AM35" s="128">
        <f>+Actuals!AJ499</f>
        <v>0</v>
      </c>
    </row>
    <row r="36" spans="1:39" x14ac:dyDescent="0.25">
      <c r="A36" s="9"/>
      <c r="B36" s="7" t="s">
        <v>46</v>
      </c>
      <c r="C36" s="6"/>
      <c r="D36" s="61">
        <f t="shared" ref="D36:W36" si="12">SUM(D32:D35)</f>
        <v>-7860</v>
      </c>
      <c r="E36" s="39">
        <f t="shared" si="12"/>
        <v>-16105.536999999993</v>
      </c>
      <c r="F36" s="61">
        <f t="shared" si="12"/>
        <v>0</v>
      </c>
      <c r="G36" s="39">
        <f t="shared" si="12"/>
        <v>0</v>
      </c>
      <c r="H36" s="61">
        <f t="shared" si="12"/>
        <v>11144</v>
      </c>
      <c r="I36" s="39">
        <f t="shared" si="12"/>
        <v>57314.400000000001</v>
      </c>
      <c r="J36" s="61">
        <f t="shared" si="12"/>
        <v>-54417</v>
      </c>
      <c r="K36" s="39">
        <f t="shared" si="12"/>
        <v>-174472.209</v>
      </c>
      <c r="L36" s="61">
        <f t="shared" si="12"/>
        <v>-71342</v>
      </c>
      <c r="M36" s="39">
        <f t="shared" si="12"/>
        <v>-205671.35499999998</v>
      </c>
      <c r="N36" s="61">
        <f t="shared" si="12"/>
        <v>105958</v>
      </c>
      <c r="O36" s="39">
        <f t="shared" si="12"/>
        <v>294524.511</v>
      </c>
      <c r="P36" s="61">
        <f t="shared" si="12"/>
        <v>797</v>
      </c>
      <c r="Q36" s="39">
        <f t="shared" si="12"/>
        <v>12199.116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+Actuals!Q300</f>
        <v>0</v>
      </c>
      <c r="U39" s="128">
        <f>+Actuals!R300</f>
        <v>0</v>
      </c>
      <c r="V39" s="127">
        <f>+Actuals!S500</f>
        <v>0</v>
      </c>
      <c r="W39" s="128">
        <f>+Actuals!T500</f>
        <v>0</v>
      </c>
      <c r="X39" s="127">
        <f>+Actuals!U500</f>
        <v>0</v>
      </c>
      <c r="Y39" s="128">
        <f>+Actuals!V500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+Actuals!AE500</f>
        <v>0</v>
      </c>
      <c r="AI39" s="128">
        <f>+Actuals!AF500</f>
        <v>0</v>
      </c>
      <c r="AJ39" s="127">
        <f>+Actuals!AG500</f>
        <v>0</v>
      </c>
      <c r="AK39" s="128">
        <f>+Actuals!AH500</f>
        <v>0</v>
      </c>
      <c r="AL39" s="127">
        <f>+Actuals!AI500</f>
        <v>0</v>
      </c>
      <c r="AM39" s="128">
        <f>+Actuals!AJ500</f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0</v>
      </c>
      <c r="E40" s="38">
        <f t="shared" si="15"/>
        <v>0</v>
      </c>
      <c r="F40" s="60">
        <f>'TIE-OUT'!N40+RECLASS!N40</f>
        <v>0</v>
      </c>
      <c r="G40" s="38">
        <f>'TIE-OUT'!O40+RECLASS!O40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+Actuals!Q301</f>
        <v>0</v>
      </c>
      <c r="U40" s="128">
        <f>+Actuals!R301</f>
        <v>0</v>
      </c>
      <c r="V40" s="127">
        <f>+Actuals!S501</f>
        <v>0</v>
      </c>
      <c r="W40" s="128">
        <f>+Actuals!T501</f>
        <v>0</v>
      </c>
      <c r="X40" s="127">
        <f>+Actuals!U501</f>
        <v>0</v>
      </c>
      <c r="Y40" s="128">
        <f>+Actuals!V501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+Actuals!AE501</f>
        <v>0</v>
      </c>
      <c r="AI40" s="128">
        <f>+Actuals!AF501</f>
        <v>0</v>
      </c>
      <c r="AJ40" s="127">
        <f>+Actuals!AG501</f>
        <v>0</v>
      </c>
      <c r="AK40" s="128">
        <f>+Actuals!AH501</f>
        <v>0</v>
      </c>
      <c r="AL40" s="127">
        <f>+Actuals!AI501</f>
        <v>0</v>
      </c>
      <c r="AM40" s="128">
        <f>+Actuals!AJ501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+Actuals!Q302</f>
        <v>0</v>
      </c>
      <c r="U41" s="128">
        <f>+Actuals!R302</f>
        <v>0</v>
      </c>
      <c r="V41" s="127">
        <f>+Actuals!S502</f>
        <v>0</v>
      </c>
      <c r="W41" s="128">
        <f>+Actuals!T502</f>
        <v>0</v>
      </c>
      <c r="X41" s="127">
        <f>+Actuals!U502</f>
        <v>0</v>
      </c>
      <c r="Y41" s="128">
        <f>+Actuals!V502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+Actuals!AE502</f>
        <v>0</v>
      </c>
      <c r="AI41" s="128">
        <f>+Actuals!AF502</f>
        <v>0</v>
      </c>
      <c r="AJ41" s="127">
        <f>+Actuals!AG502</f>
        <v>0</v>
      </c>
      <c r="AK41" s="128">
        <f>+Actuals!AH502</f>
        <v>0</v>
      </c>
      <c r="AL41" s="127">
        <f>+Actuals!AI502</f>
        <v>0</v>
      </c>
      <c r="AM41" s="128">
        <f>+Actuals!AJ502</f>
        <v>0</v>
      </c>
    </row>
    <row r="42" spans="1:39" x14ac:dyDescent="0.25">
      <c r="A42" s="9"/>
      <c r="B42" s="7"/>
      <c r="C42" s="53" t="s">
        <v>51</v>
      </c>
      <c r="D42" s="61">
        <f t="shared" ref="D42:W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 t="shared" ref="D43:W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+Actuals!Q303</f>
        <v>0</v>
      </c>
      <c r="U45" s="128">
        <f>+Actuals!R303</f>
        <v>0</v>
      </c>
      <c r="V45" s="127">
        <f>+Actuals!S503</f>
        <v>0</v>
      </c>
      <c r="W45" s="128">
        <f>+Actuals!T503</f>
        <v>0</v>
      </c>
      <c r="X45" s="127">
        <f>+Actuals!U503</f>
        <v>0</v>
      </c>
      <c r="Y45" s="128">
        <f>+Actuals!V503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+Actuals!AE503</f>
        <v>0</v>
      </c>
      <c r="AI45" s="128">
        <f>+Actuals!AF503</f>
        <v>0</v>
      </c>
      <c r="AJ45" s="127">
        <f>+Actuals!AG503</f>
        <v>0</v>
      </c>
      <c r="AK45" s="128">
        <f>+Actuals!AH503</f>
        <v>0</v>
      </c>
      <c r="AL45" s="127">
        <f>+Actuals!AI503</f>
        <v>0</v>
      </c>
      <c r="AM45" s="128">
        <f>+Actuals!AJ503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+Actuals!Q304</f>
        <v>0</v>
      </c>
      <c r="U47" s="128">
        <f>+Actuals!R304</f>
        <v>0</v>
      </c>
      <c r="V47" s="127">
        <f>+Actuals!S504</f>
        <v>0</v>
      </c>
      <c r="W47" s="128">
        <f>+Actuals!T504</f>
        <v>0</v>
      </c>
      <c r="X47" s="127">
        <f>+Actuals!U504</f>
        <v>0</v>
      </c>
      <c r="Y47" s="128">
        <f>+Actuals!V504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+Actuals!AE504</f>
        <v>0</v>
      </c>
      <c r="AI47" s="128">
        <f>+Actuals!AF504</f>
        <v>0</v>
      </c>
      <c r="AJ47" s="127">
        <f>+Actuals!AG504</f>
        <v>0</v>
      </c>
      <c r="AK47" s="128">
        <f>+Actuals!AH504</f>
        <v>0</v>
      </c>
      <c r="AL47" s="127">
        <f>+Actuals!AI504</f>
        <v>0</v>
      </c>
      <c r="AM47" s="128">
        <f>+Actuals!AJ504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-23453</v>
      </c>
      <c r="E49" s="38">
        <f>SUM(G49,I49,K49,M49,O49,Q49,S49,U49,W49,Y49,AA49,AC49,AE49,AG49,AI49,AK49,AM49)</f>
        <v>-48782.640000000363</v>
      </c>
      <c r="F49" s="60">
        <f>'TIE-OUT'!N49+RECLASS!N49</f>
        <v>0</v>
      </c>
      <c r="G49" s="38">
        <f>'TIE-OUT'!O49+RECLASS!O49</f>
        <v>0</v>
      </c>
      <c r="H49" s="127">
        <f>+Actuals!E305</f>
        <v>-32616</v>
      </c>
      <c r="I49" s="128">
        <f>+Actuals!F305</f>
        <v>-67841.279999999999</v>
      </c>
      <c r="J49" s="127">
        <f>+Actuals!G305</f>
        <v>-40204</v>
      </c>
      <c r="K49" s="128">
        <f>+Actuals!H305</f>
        <v>-83624.320000000007</v>
      </c>
      <c r="L49" s="127">
        <f>+Actuals!I305</f>
        <v>630305</v>
      </c>
      <c r="M49" s="128">
        <f>+Actuals!J305</f>
        <v>1311034.3999999999</v>
      </c>
      <c r="N49" s="127">
        <f>+Actuals!K305</f>
        <v>-82894</v>
      </c>
      <c r="O49" s="128">
        <f>+Actuals!L305</f>
        <v>-172419.52</v>
      </c>
      <c r="P49" s="127">
        <f>+Actuals!M305</f>
        <v>-700</v>
      </c>
      <c r="Q49" s="128">
        <f>+Actuals!N305</f>
        <v>-1456</v>
      </c>
      <c r="R49" s="127">
        <f>+Actuals!O305</f>
        <v>0</v>
      </c>
      <c r="S49" s="128">
        <f>+Actuals!P305</f>
        <v>0</v>
      </c>
      <c r="T49" s="127">
        <f>+Actuals!Q305</f>
        <v>-516638</v>
      </c>
      <c r="U49" s="128">
        <f>+Actuals!R305</f>
        <v>-1074607.04</v>
      </c>
      <c r="V49" s="127">
        <f>+Actuals!S505</f>
        <v>519702</v>
      </c>
      <c r="W49" s="128">
        <f>+Actuals!T505</f>
        <v>1080980.1599999999</v>
      </c>
      <c r="X49" s="127">
        <f>+Actuals!U505</f>
        <v>0</v>
      </c>
      <c r="Y49" s="128">
        <f>+Actuals!V505</f>
        <v>0</v>
      </c>
      <c r="Z49" s="127">
        <f>+Actuals!W505</f>
        <v>-516638</v>
      </c>
      <c r="AA49" s="128">
        <f>+Actuals!X505</f>
        <v>-1074607.04</v>
      </c>
      <c r="AB49" s="127">
        <f>+Actuals!Y505</f>
        <v>0</v>
      </c>
      <c r="AC49" s="128">
        <f>+Actuals!Z505</f>
        <v>0</v>
      </c>
      <c r="AD49" s="127">
        <f>+Actuals!AA505</f>
        <v>0</v>
      </c>
      <c r="AE49" s="128">
        <f>+Actuals!AB505</f>
        <v>0</v>
      </c>
      <c r="AF49" s="127">
        <f>+Actuals!AC505</f>
        <v>0</v>
      </c>
      <c r="AG49" s="128">
        <f>+Actuals!AD505</f>
        <v>0</v>
      </c>
      <c r="AH49" s="127">
        <f>+Actuals!AE505</f>
        <v>0</v>
      </c>
      <c r="AI49" s="128">
        <f>+Actuals!AF505</f>
        <v>0</v>
      </c>
      <c r="AJ49" s="127">
        <v>16230</v>
      </c>
      <c r="AK49" s="128">
        <v>33758</v>
      </c>
      <c r="AL49" s="127"/>
      <c r="AM49" s="128"/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-290422</v>
      </c>
      <c r="E51" s="38">
        <f>SUM(G51,I51,K51,M51,O51,Q51,S51,U51,W51,Y51,AA51,AC51,AE51,AG51,AI51,AK51,AM51)</f>
        <v>-604077.75999999989</v>
      </c>
      <c r="F51" s="60">
        <f>'TIE-OUT'!N51+RECLASS!N51</f>
        <v>0</v>
      </c>
      <c r="G51" s="38">
        <f>'TIE-OUT'!O51+RECLASS!O51</f>
        <v>0</v>
      </c>
      <c r="H51" s="127">
        <f>+Actuals!E306</f>
        <v>-279890</v>
      </c>
      <c r="I51" s="128">
        <f>+Actuals!F306</f>
        <v>-582171.19999999995</v>
      </c>
      <c r="J51" s="127">
        <f>+Actuals!G306</f>
        <v>-10545</v>
      </c>
      <c r="K51" s="128">
        <f>+Actuals!H306</f>
        <v>-21933.599999999999</v>
      </c>
      <c r="L51" s="127">
        <f>+Actuals!I306</f>
        <v>0</v>
      </c>
      <c r="M51" s="128">
        <f>+Actuals!J306</f>
        <v>0</v>
      </c>
      <c r="N51" s="127">
        <f>+Actuals!K306</f>
        <v>13</v>
      </c>
      <c r="O51" s="128">
        <f>+Actuals!L306</f>
        <v>27.04</v>
      </c>
      <c r="P51" s="127">
        <f>+Actuals!M306</f>
        <v>0</v>
      </c>
      <c r="Q51" s="128">
        <f>+Actuals!N306</f>
        <v>0</v>
      </c>
      <c r="R51" s="127">
        <f>+Actuals!O306</f>
        <v>0</v>
      </c>
      <c r="S51" s="128">
        <f>+Actuals!P306</f>
        <v>0</v>
      </c>
      <c r="T51" s="127">
        <f>+Actuals!Q306</f>
        <v>0</v>
      </c>
      <c r="U51" s="128">
        <f>+Actuals!R306</f>
        <v>0</v>
      </c>
      <c r="V51" s="127">
        <f>+Actuals!S506</f>
        <v>0</v>
      </c>
      <c r="W51" s="128">
        <f>+Actuals!T506</f>
        <v>0</v>
      </c>
      <c r="X51" s="127">
        <f>+Actuals!U506</f>
        <v>0</v>
      </c>
      <c r="Y51" s="128">
        <f>+Actuals!V506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+Actuals!AE506</f>
        <v>0</v>
      </c>
      <c r="AI51" s="128">
        <f>+Actuals!AF506</f>
        <v>0</v>
      </c>
      <c r="AJ51" s="127">
        <f>+Actuals!AG506</f>
        <v>0</v>
      </c>
      <c r="AK51" s="128">
        <f>+Actuals!AH506</f>
        <v>0</v>
      </c>
      <c r="AL51" s="127">
        <f>+Actuals!AI506</f>
        <v>0</v>
      </c>
      <c r="AM51" s="128">
        <f>+Actuals!AJ506</f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-11109229</v>
      </c>
      <c r="E54" s="38">
        <f>SUM(G54,I54,K54,M54,O54,Q54,S54,U54,W54,Y54,AA54,AC54,AE54,AG54,AI54,AK54,AM54)</f>
        <v>-241577.63</v>
      </c>
      <c r="F54" s="64">
        <f>'TIE-OUT'!N54+RECLASS!N54</f>
        <v>0</v>
      </c>
      <c r="G54" s="68">
        <f>'TIE-OUT'!O54+RECLASS!O54</f>
        <v>0</v>
      </c>
      <c r="H54" s="127">
        <f>+Actuals!E307</f>
        <v>-11109229</v>
      </c>
      <c r="I54" s="128">
        <f>+Actuals!F307</f>
        <v>-232774.96</v>
      </c>
      <c r="J54" s="127">
        <f>+Actuals!G307</f>
        <v>0</v>
      </c>
      <c r="K54" s="128">
        <f>+Actuals!H307</f>
        <v>-18014.919999999998</v>
      </c>
      <c r="L54" s="127">
        <f>+Actuals!I307</f>
        <v>0</v>
      </c>
      <c r="M54" s="128">
        <f>+Actuals!J307</f>
        <v>7201.25</v>
      </c>
      <c r="N54" s="127">
        <f>+Actuals!K307</f>
        <v>0</v>
      </c>
      <c r="O54" s="128">
        <f>+Actuals!L307</f>
        <v>4.83</v>
      </c>
      <c r="P54" s="127">
        <f>+Actuals!M307</f>
        <v>0</v>
      </c>
      <c r="Q54" s="128">
        <f>+Actuals!N307</f>
        <v>0</v>
      </c>
      <c r="R54" s="127">
        <f>+Actuals!O307</f>
        <v>0</v>
      </c>
      <c r="S54" s="128">
        <f>+Actuals!P307</f>
        <v>0</v>
      </c>
      <c r="T54" s="127">
        <f>+Actuals!Q307</f>
        <v>0</v>
      </c>
      <c r="U54" s="128">
        <f>+Actuals!R307</f>
        <v>0</v>
      </c>
      <c r="V54" s="127">
        <f>+Actuals!S507</f>
        <v>0</v>
      </c>
      <c r="W54" s="128">
        <f>+Actuals!T507</f>
        <v>0</v>
      </c>
      <c r="X54" s="127">
        <f>+Actuals!U507</f>
        <v>0</v>
      </c>
      <c r="Y54" s="128">
        <f>+Actuals!V507</f>
        <v>2006.17</v>
      </c>
      <c r="Z54" s="127">
        <f>+Actuals!W507</f>
        <v>0</v>
      </c>
      <c r="AA54" s="128">
        <f>+Actuals!X507</f>
        <v>0</v>
      </c>
      <c r="AB54" s="127">
        <f>+Actuals!Y507</f>
        <v>0</v>
      </c>
      <c r="AC54" s="128">
        <f>+Actuals!Z507</f>
        <v>0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+Actuals!AE507</f>
        <v>0</v>
      </c>
      <c r="AI54" s="128">
        <f>+Actuals!AF507</f>
        <v>0</v>
      </c>
      <c r="AJ54" s="127">
        <f>+Actuals!AG507</f>
        <v>0</v>
      </c>
      <c r="AK54" s="128">
        <f>+Actuals!AH507</f>
        <v>0</v>
      </c>
      <c r="AL54" s="127">
        <f>+Actuals!AI507</f>
        <v>0</v>
      </c>
      <c r="AM54" s="128">
        <f>+Actuals!AJ507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-1495894.56</v>
      </c>
      <c r="F55" s="81">
        <f>'TIE-OUT'!N55+RECLASS!N55</f>
        <v>0</v>
      </c>
      <c r="G55" s="82">
        <f>'TIE-OUT'!O55+RECLASS!O55</f>
        <v>1125789</v>
      </c>
      <c r="H55" s="127">
        <f>+Actuals!E308</f>
        <v>0</v>
      </c>
      <c r="I55" s="128">
        <f>+Actuals!F308</f>
        <v>-2630767.09</v>
      </c>
      <c r="J55" s="127">
        <f>+Actuals!G308</f>
        <v>0</v>
      </c>
      <c r="K55" s="128">
        <f>+Actuals!H308</f>
        <v>18802.64</v>
      </c>
      <c r="L55" s="127">
        <f>+Actuals!I308</f>
        <v>0</v>
      </c>
      <c r="M55" s="128">
        <f>+Actuals!J308</f>
        <v>-0.01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+Actuals!Q308</f>
        <v>0</v>
      </c>
      <c r="U55" s="128">
        <f>+Actuals!R308</f>
        <v>0</v>
      </c>
      <c r="V55" s="127">
        <f>+Actuals!S508</f>
        <v>0</v>
      </c>
      <c r="W55" s="128">
        <f>+Actuals!T508</f>
        <v>0</v>
      </c>
      <c r="X55" s="127">
        <f>+Actuals!U508</f>
        <v>0</v>
      </c>
      <c r="Y55" s="128">
        <f>+Actuals!V508</f>
        <v>-9719.1</v>
      </c>
      <c r="Z55" s="127">
        <f>+Actuals!W508</f>
        <v>0</v>
      </c>
      <c r="AA55" s="128">
        <f>+Actuals!X508</f>
        <v>0</v>
      </c>
      <c r="AB55" s="127">
        <f>+Actuals!Y508</f>
        <v>0</v>
      </c>
      <c r="AC55" s="128">
        <f>+Actuals!Z508</f>
        <v>0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+Actuals!AE508</f>
        <v>0</v>
      </c>
      <c r="AI55" s="128">
        <f>+Actuals!AF508</f>
        <v>0</v>
      </c>
      <c r="AJ55" s="127">
        <f>+Actuals!AG508</f>
        <v>0</v>
      </c>
      <c r="AK55" s="128">
        <f>+Actuals!AH508</f>
        <v>0</v>
      </c>
      <c r="AL55" s="127">
        <f>+Actuals!AI508</f>
        <v>0</v>
      </c>
      <c r="AM55" s="128">
        <f>+Actuals!AJ508</f>
        <v>0</v>
      </c>
    </row>
    <row r="56" spans="1:39" x14ac:dyDescent="0.25">
      <c r="A56" s="9"/>
      <c r="B56" s="7" t="s">
        <v>60</v>
      </c>
      <c r="C56" s="6"/>
      <c r="D56" s="61">
        <f t="shared" ref="D56:W56" si="22">SUM(D54:D55)</f>
        <v>-11109229</v>
      </c>
      <c r="E56" s="39">
        <f t="shared" si="22"/>
        <v>-1737472.19</v>
      </c>
      <c r="F56" s="61">
        <f t="shared" si="22"/>
        <v>0</v>
      </c>
      <c r="G56" s="39">
        <f t="shared" si="22"/>
        <v>1125789</v>
      </c>
      <c r="H56" s="61">
        <f t="shared" si="22"/>
        <v>-11109229</v>
      </c>
      <c r="I56" s="39">
        <f t="shared" si="22"/>
        <v>-2863542.05</v>
      </c>
      <c r="J56" s="61">
        <f t="shared" si="22"/>
        <v>0</v>
      </c>
      <c r="K56" s="39">
        <f t="shared" si="22"/>
        <v>787.72000000000116</v>
      </c>
      <c r="L56" s="61">
        <f t="shared" si="22"/>
        <v>0</v>
      </c>
      <c r="M56" s="39">
        <f t="shared" si="22"/>
        <v>7201.24</v>
      </c>
      <c r="N56" s="61">
        <f t="shared" si="22"/>
        <v>0</v>
      </c>
      <c r="O56" s="39">
        <f t="shared" si="22"/>
        <v>4.83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-7712.93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+Actuals!Q309</f>
        <v>0</v>
      </c>
      <c r="U59" s="128">
        <f>+Actuals!R309</f>
        <v>0</v>
      </c>
      <c r="V59" s="127">
        <f>+Actuals!S509</f>
        <v>0</v>
      </c>
      <c r="W59" s="128">
        <f>+Actuals!T509</f>
        <v>0</v>
      </c>
      <c r="X59" s="127">
        <f>+Actuals!U509</f>
        <v>0</v>
      </c>
      <c r="Y59" s="128">
        <f>+Actuals!V509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+Actuals!AE509</f>
        <v>0</v>
      </c>
      <c r="AI59" s="128">
        <f>+Actuals!AF509</f>
        <v>0</v>
      </c>
      <c r="AJ59" s="127">
        <f>+Actuals!AG509</f>
        <v>0</v>
      </c>
      <c r="AK59" s="128">
        <f>+Actuals!AH509</f>
        <v>0</v>
      </c>
      <c r="AL59" s="127">
        <f>+Actuals!AI509</f>
        <v>0</v>
      </c>
      <c r="AM59" s="128">
        <f>+Actuals!AJ509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+Actuals!Q310</f>
        <v>0</v>
      </c>
      <c r="U60" s="128">
        <f>+Actuals!R310</f>
        <v>0</v>
      </c>
      <c r="V60" s="127">
        <f>+Actuals!S510</f>
        <v>0</v>
      </c>
      <c r="W60" s="128">
        <f>+Actuals!T510</f>
        <v>0</v>
      </c>
      <c r="X60" s="127">
        <f>+Actuals!U510</f>
        <v>0</v>
      </c>
      <c r="Y60" s="128">
        <f>+Actuals!V510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+Actuals!AE510</f>
        <v>0</v>
      </c>
      <c r="AI60" s="128">
        <f>+Actuals!AF510</f>
        <v>0</v>
      </c>
      <c r="AJ60" s="127">
        <f>+Actuals!AG510</f>
        <v>0</v>
      </c>
      <c r="AK60" s="128">
        <f>+Actuals!AH510</f>
        <v>0</v>
      </c>
      <c r="AL60" s="127">
        <f>+Actuals!AI510</f>
        <v>0</v>
      </c>
      <c r="AM60" s="128">
        <f>+Actuals!AJ510</f>
        <v>0</v>
      </c>
    </row>
    <row r="61" spans="1:39" x14ac:dyDescent="0.25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+Actuals!Q311</f>
        <v>0</v>
      </c>
      <c r="U64" s="128">
        <f>+Actuals!R311</f>
        <v>0</v>
      </c>
      <c r="V64" s="127">
        <f>+Actuals!S511</f>
        <v>0</v>
      </c>
      <c r="W64" s="128">
        <f>+Actuals!T511</f>
        <v>0</v>
      </c>
      <c r="X64" s="127">
        <f>+Actuals!U511</f>
        <v>0</v>
      </c>
      <c r="Y64" s="128">
        <f>+Actuals!V511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+Actuals!AE511</f>
        <v>0</v>
      </c>
      <c r="AI64" s="128">
        <f>+Actuals!AF511</f>
        <v>0</v>
      </c>
      <c r="AJ64" s="127">
        <f>+Actuals!AG511</f>
        <v>0</v>
      </c>
      <c r="AK64" s="128">
        <f>+Actuals!AH511</f>
        <v>0</v>
      </c>
      <c r="AL64" s="127">
        <f>+Actuals!AI511</f>
        <v>0</v>
      </c>
      <c r="AM64" s="128">
        <f>+Actuals!AJ511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+Actuals!Q312</f>
        <v>0</v>
      </c>
      <c r="U65" s="128">
        <f>+Actuals!R312</f>
        <v>0</v>
      </c>
      <c r="V65" s="127">
        <f>+Actuals!S512</f>
        <v>0</v>
      </c>
      <c r="W65" s="128">
        <f>+Actuals!T512</f>
        <v>0</v>
      </c>
      <c r="X65" s="127">
        <f>+Actuals!U512</f>
        <v>0</v>
      </c>
      <c r="Y65" s="128">
        <f>+Actuals!V512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+Actuals!AE512</f>
        <v>0</v>
      </c>
      <c r="AI65" s="128">
        <f>+Actuals!AF512</f>
        <v>0</v>
      </c>
      <c r="AJ65" s="127">
        <f>+Actuals!AG512</f>
        <v>0</v>
      </c>
      <c r="AK65" s="128">
        <f>+Actuals!AH512</f>
        <v>0</v>
      </c>
      <c r="AL65" s="127">
        <f>+Actuals!AI512</f>
        <v>0</v>
      </c>
      <c r="AM65" s="128">
        <f>+Actuals!AJ512</f>
        <v>0</v>
      </c>
    </row>
    <row r="66" spans="1:39" x14ac:dyDescent="0.25">
      <c r="A66" s="9"/>
      <c r="B66" s="7" t="s">
        <v>67</v>
      </c>
      <c r="C66" s="6"/>
      <c r="D66" s="61">
        <f t="shared" ref="D66:W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2029682</v>
      </c>
      <c r="F70" s="64">
        <f>'TIE-OUT'!N70+RECLASS!N70</f>
        <v>0</v>
      </c>
      <c r="G70" s="68">
        <f>'TIE-OUT'!O70+RECLASS!O70</f>
        <v>2029682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+Actuals!Q313</f>
        <v>0</v>
      </c>
      <c r="U70" s="128">
        <f>+Actuals!R313</f>
        <v>0</v>
      </c>
      <c r="V70" s="127">
        <f>+Actuals!S513</f>
        <v>0</v>
      </c>
      <c r="W70" s="128">
        <f>+Actuals!T513</f>
        <v>0</v>
      </c>
      <c r="X70" s="127">
        <f>+Actuals!U513</f>
        <v>0</v>
      </c>
      <c r="Y70" s="128">
        <f>+Actuals!V513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+Actuals!AE513</f>
        <v>0</v>
      </c>
      <c r="AI70" s="128">
        <f>+Actuals!AF513</f>
        <v>0</v>
      </c>
      <c r="AJ70" s="127">
        <f>+Actuals!AG513</f>
        <v>0</v>
      </c>
      <c r="AK70" s="128">
        <f>+Actuals!AH513</f>
        <v>0</v>
      </c>
      <c r="AL70" s="127">
        <f>+Actuals!AI513</f>
        <v>0</v>
      </c>
      <c r="AM70" s="128">
        <f>+Actuals!AJ513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-1493640</v>
      </c>
      <c r="F71" s="81">
        <f>'TIE-OUT'!N71+RECLASS!N71</f>
        <v>0</v>
      </c>
      <c r="G71" s="82">
        <f>'TIE-OUT'!O71+RECLASS!O71</f>
        <v>-1493640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+Actuals!Q314</f>
        <v>0</v>
      </c>
      <c r="U71" s="128">
        <f>+Actuals!R314</f>
        <v>0</v>
      </c>
      <c r="V71" s="127">
        <f>+Actuals!S514</f>
        <v>0</v>
      </c>
      <c r="W71" s="128">
        <f>+Actuals!T514</f>
        <v>0</v>
      </c>
      <c r="X71" s="127">
        <f>+Actuals!U514</f>
        <v>0</v>
      </c>
      <c r="Y71" s="128">
        <f>+Actuals!V514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+Actuals!AE514</f>
        <v>0</v>
      </c>
      <c r="AI71" s="128">
        <f>+Actuals!AF514</f>
        <v>0</v>
      </c>
      <c r="AJ71" s="127">
        <f>+Actuals!AG514</f>
        <v>0</v>
      </c>
      <c r="AK71" s="128">
        <f>+Actuals!AH514</f>
        <v>0</v>
      </c>
      <c r="AL71" s="127">
        <f>+Actuals!AI514</f>
        <v>0</v>
      </c>
      <c r="AM71" s="128">
        <f>+Actuals!AJ514</f>
        <v>0</v>
      </c>
    </row>
    <row r="72" spans="1:39" x14ac:dyDescent="0.25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536042</v>
      </c>
      <c r="F72" s="61">
        <f t="shared" si="31"/>
        <v>0</v>
      </c>
      <c r="G72" s="39">
        <f t="shared" si="31"/>
        <v>536042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+Actuals!Q315</f>
        <v>0</v>
      </c>
      <c r="U73" s="128">
        <f>+Actuals!R315</f>
        <v>0</v>
      </c>
      <c r="V73" s="127">
        <f>+Actuals!S515</f>
        <v>0</v>
      </c>
      <c r="W73" s="128">
        <f>+Actuals!T515</f>
        <v>0</v>
      </c>
      <c r="X73" s="127">
        <f>+Actuals!U515</f>
        <v>0</v>
      </c>
      <c r="Y73" s="128">
        <f>+Actuals!V515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+Actuals!AE515</f>
        <v>0</v>
      </c>
      <c r="AI73" s="128">
        <f>+Actuals!AF515</f>
        <v>0</v>
      </c>
      <c r="AJ73" s="127">
        <f>+Actuals!AG515</f>
        <v>0</v>
      </c>
      <c r="AK73" s="128">
        <f>+Actuals!AH515</f>
        <v>0</v>
      </c>
      <c r="AL73" s="127">
        <f>+Actuals!AI515</f>
        <v>0</v>
      </c>
      <c r="AM73" s="128">
        <f>+Actuals!AJ515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-73631.049999999988</v>
      </c>
      <c r="F74" s="60">
        <f>'TIE-OUT'!N74+RECLASS!N74</f>
        <v>0</v>
      </c>
      <c r="G74" s="60">
        <f>'TIE-OUT'!O74+RECLASS!O74</f>
        <v>67828</v>
      </c>
      <c r="H74" s="127">
        <f>+Actuals!E316</f>
        <v>0</v>
      </c>
      <c r="I74" s="128">
        <f>+Actuals!F316+132511</f>
        <v>132511</v>
      </c>
      <c r="J74" s="127">
        <f>+Actuals!G316</f>
        <v>0</v>
      </c>
      <c r="K74" s="157">
        <f>-132511-141459.05</f>
        <v>-273970.05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28">
        <f>+Actuals!N316</f>
        <v>0</v>
      </c>
      <c r="R74" s="127">
        <f>+Actuals!O316</f>
        <v>0</v>
      </c>
      <c r="S74" s="128">
        <f>+Actuals!P316</f>
        <v>0</v>
      </c>
      <c r="T74" s="127">
        <f>+Actuals!Q316</f>
        <v>0</v>
      </c>
      <c r="U74" s="128">
        <f>+Actuals!R316</f>
        <v>0</v>
      </c>
      <c r="V74" s="127">
        <f>+Actuals!S516</f>
        <v>0</v>
      </c>
      <c r="W74" s="128">
        <f>+Actuals!T516</f>
        <v>0</v>
      </c>
      <c r="X74" s="127">
        <f>+Actuals!U516</f>
        <v>0</v>
      </c>
      <c r="Y74" s="128">
        <f>+Actuals!V516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+Actuals!AE516</f>
        <v>0</v>
      </c>
      <c r="AI74" s="128">
        <f>+Actuals!AF516</f>
        <v>0</v>
      </c>
      <c r="AJ74" s="127">
        <f>+Actuals!AG516</f>
        <v>0</v>
      </c>
      <c r="AK74" s="128">
        <f>+Actuals!AH516</f>
        <v>0</v>
      </c>
      <c r="AL74" s="127">
        <f>+Actuals!AI516</f>
        <v>0</v>
      </c>
      <c r="AM74" s="128">
        <f>+Actuals!AJ516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60">
        <f>'TIE-OUT'!N75+RECLASS!N75</f>
        <v>0</v>
      </c>
      <c r="G75" s="60">
        <f>'TIE-OUT'!O75+RECLASS!O75</f>
        <v>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+Actuals!Q317</f>
        <v>0</v>
      </c>
      <c r="U75" s="128">
        <f>+Actuals!R317</f>
        <v>0</v>
      </c>
      <c r="V75" s="127">
        <f>+Actuals!S517</f>
        <v>0</v>
      </c>
      <c r="W75" s="128">
        <f>+Actuals!T517</f>
        <v>0</v>
      </c>
      <c r="X75" s="127">
        <f>+Actuals!U517</f>
        <v>0</v>
      </c>
      <c r="Y75" s="128">
        <f>+Actuals!V517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+Actuals!AE517</f>
        <v>0</v>
      </c>
      <c r="AI75" s="128">
        <f>+Actuals!AF517</f>
        <v>0</v>
      </c>
      <c r="AJ75" s="127">
        <f>+Actuals!AG517</f>
        <v>0</v>
      </c>
      <c r="AK75" s="128">
        <f>+Actuals!AH517</f>
        <v>0</v>
      </c>
      <c r="AL75" s="127">
        <f>+Actuals!AI517</f>
        <v>0</v>
      </c>
      <c r="AM75" s="128">
        <f>+Actuals!AJ517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-23472.43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0</v>
      </c>
      <c r="J76" s="127">
        <f>+Actuals!G318</f>
        <v>0</v>
      </c>
      <c r="K76" s="128">
        <f>+Actuals!H318</f>
        <v>-23472.43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+Actuals!Q318</f>
        <v>0</v>
      </c>
      <c r="U76" s="128">
        <f>+Actuals!R318</f>
        <v>0</v>
      </c>
      <c r="V76" s="127">
        <f>+Actuals!S518</f>
        <v>0</v>
      </c>
      <c r="W76" s="128">
        <f>+Actuals!T518</f>
        <v>0</v>
      </c>
      <c r="X76" s="127">
        <f>+Actuals!U518</f>
        <v>0</v>
      </c>
      <c r="Y76" s="128">
        <f>+Actuals!V518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+Actuals!AE518</f>
        <v>0</v>
      </c>
      <c r="AI76" s="128">
        <f>+Actuals!AF518</f>
        <v>0</v>
      </c>
      <c r="AJ76" s="127">
        <f>+Actuals!AG518</f>
        <v>0</v>
      </c>
      <c r="AK76" s="128">
        <f>+Actuals!AH518</f>
        <v>0</v>
      </c>
      <c r="AL76" s="127">
        <f>+Actuals!AI518</f>
        <v>0</v>
      </c>
      <c r="AM76" s="128">
        <f>+Actuals!AJ518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+Actuals!Q319</f>
        <v>0</v>
      </c>
      <c r="U77" s="128">
        <f>+Actuals!R319</f>
        <v>0</v>
      </c>
      <c r="V77" s="127">
        <f>+Actuals!S519</f>
        <v>0</v>
      </c>
      <c r="W77" s="128">
        <f>+Actuals!T519</f>
        <v>0</v>
      </c>
      <c r="X77" s="127">
        <f>+Actuals!U519</f>
        <v>0</v>
      </c>
      <c r="Y77" s="128">
        <f>+Actuals!V519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+Actuals!AE519</f>
        <v>0</v>
      </c>
      <c r="AI77" s="128">
        <f>+Actuals!AF519</f>
        <v>0</v>
      </c>
      <c r="AJ77" s="127">
        <f>+Actuals!AG519</f>
        <v>0</v>
      </c>
      <c r="AK77" s="128">
        <f>+Actuals!AH519</f>
        <v>0</v>
      </c>
      <c r="AL77" s="127">
        <f>+Actuals!AI519</f>
        <v>0</v>
      </c>
      <c r="AM77" s="128">
        <f>+Actuals!AJ519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+Actuals!Q320</f>
        <v>0</v>
      </c>
      <c r="U78" s="128">
        <f>+Actuals!R320</f>
        <v>0</v>
      </c>
      <c r="V78" s="127">
        <f>+Actuals!S520</f>
        <v>0</v>
      </c>
      <c r="W78" s="128">
        <f>+Actuals!T520</f>
        <v>0</v>
      </c>
      <c r="X78" s="127">
        <f>+Actuals!U520</f>
        <v>0</v>
      </c>
      <c r="Y78" s="128">
        <f>+Actuals!V520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+Actuals!AE520</f>
        <v>0</v>
      </c>
      <c r="AI78" s="128">
        <f>+Actuals!AF520</f>
        <v>0</v>
      </c>
      <c r="AJ78" s="127">
        <f>+Actuals!AG520</f>
        <v>0</v>
      </c>
      <c r="AK78" s="128">
        <f>+Actuals!AH520</f>
        <v>0</v>
      </c>
      <c r="AL78" s="127">
        <f>+Actuals!AI520</f>
        <v>0</v>
      </c>
      <c r="AM78" s="128">
        <f>+Actuals!AJ520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+Actuals!Q321</f>
        <v>0</v>
      </c>
      <c r="U79" s="128">
        <f>+Actuals!R321</f>
        <v>0</v>
      </c>
      <c r="V79" s="127">
        <f>+Actuals!S521</f>
        <v>0</v>
      </c>
      <c r="W79" s="128">
        <f>+Actuals!T521</f>
        <v>0</v>
      </c>
      <c r="X79" s="127">
        <f>+Actuals!U521</f>
        <v>0</v>
      </c>
      <c r="Y79" s="128">
        <f>+Actuals!V521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+Actuals!AE521</f>
        <v>0</v>
      </c>
      <c r="AI79" s="128">
        <f>+Actuals!AF521</f>
        <v>0</v>
      </c>
      <c r="AJ79" s="127">
        <f>+Actuals!AG521</f>
        <v>0</v>
      </c>
      <c r="AK79" s="128">
        <f>+Actuals!AH521</f>
        <v>0</v>
      </c>
      <c r="AL79" s="127">
        <f>+Actuals!AI521</f>
        <v>0</v>
      </c>
      <c r="AM79" s="128">
        <f>+Actuals!AJ521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+Actuals!Q322</f>
        <v>0</v>
      </c>
      <c r="U80" s="128">
        <f>+Actuals!R322</f>
        <v>0</v>
      </c>
      <c r="V80" s="127">
        <f>+Actuals!S522</f>
        <v>0</v>
      </c>
      <c r="W80" s="128">
        <f>+Actuals!T522</f>
        <v>0</v>
      </c>
      <c r="X80" s="127">
        <f>+Actuals!U522</f>
        <v>0</v>
      </c>
      <c r="Y80" s="128">
        <f>+Actuals!V522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+Actuals!AE522</f>
        <v>0</v>
      </c>
      <c r="AI80" s="128">
        <f>+Actuals!AF522</f>
        <v>0</v>
      </c>
      <c r="AJ80" s="127">
        <f>+Actuals!AG522</f>
        <v>0</v>
      </c>
      <c r="AK80" s="128">
        <f>+Actuals!AH522</f>
        <v>0</v>
      </c>
      <c r="AL80" s="127">
        <f>+Actuals!AI522</f>
        <v>0</v>
      </c>
      <c r="AM80" s="128">
        <f>+Actuals!AJ522</f>
        <v>0</v>
      </c>
    </row>
    <row r="81" spans="1:39" x14ac:dyDescent="0.25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61694.39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59668.86</v>
      </c>
      <c r="J81" s="127">
        <f>+Actuals!G323</f>
        <v>0</v>
      </c>
      <c r="K81" s="128">
        <f>+Actuals!H323</f>
        <v>-4319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6344.53</v>
      </c>
      <c r="P81" s="127">
        <f>+Actuals!M323</f>
        <v>0</v>
      </c>
      <c r="Q81" s="128">
        <f>+Actuals!N323</f>
        <v>0</v>
      </c>
      <c r="R81" s="127">
        <f>+Actuals!O323</f>
        <v>0</v>
      </c>
      <c r="S81" s="128">
        <f>+Actuals!P323</f>
        <v>0</v>
      </c>
      <c r="T81" s="127">
        <f>+Actuals!Q323</f>
        <v>0</v>
      </c>
      <c r="U81" s="128">
        <f>+Actuals!R323</f>
        <v>0</v>
      </c>
      <c r="V81" s="127">
        <f>+Actuals!S523</f>
        <v>0</v>
      </c>
      <c r="W81" s="128">
        <f>+Actuals!T523</f>
        <v>0</v>
      </c>
      <c r="X81" s="127">
        <f>+Actuals!U523</f>
        <v>0</v>
      </c>
      <c r="Y81" s="128">
        <f>+Actuals!V523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+Actuals!AE523</f>
        <v>0</v>
      </c>
      <c r="AI81" s="128">
        <f>+Actuals!AF523</f>
        <v>0</v>
      </c>
      <c r="AJ81" s="127">
        <f>+Actuals!AG523</f>
        <v>0</v>
      </c>
      <c r="AK81" s="128">
        <f>+Actuals!AH523</f>
        <v>0</v>
      </c>
      <c r="AL81" s="127">
        <f>+Actuals!AI523</f>
        <v>0</v>
      </c>
      <c r="AM81" s="128">
        <f>+Actuals!AJ523</f>
        <v>0</v>
      </c>
    </row>
    <row r="82" spans="1:39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-36788.727000008803</v>
      </c>
      <c r="F82" s="92">
        <f>F16+F24+F29+F36+F43+F45+F47+F49</f>
        <v>0</v>
      </c>
      <c r="G82" s="93">
        <f>SUM(G72:G81)+G16+G24+G29+G36+G43+G45+G47+G49+G51+G56+G61+G66</f>
        <v>1754269.6</v>
      </c>
      <c r="H82" s="92">
        <f>H16+H24+H29+H36+H43+H45+H47+H49</f>
        <v>0</v>
      </c>
      <c r="I82" s="93">
        <f>SUM(I72:I81)+I16+I24+I29+I36+I43+I45+I47+I49+I51+I56+I61+I66</f>
        <v>-1727701.7299999939</v>
      </c>
      <c r="J82" s="92">
        <f>J16+J24+J29+J36+J43+J45+J47+J49</f>
        <v>0</v>
      </c>
      <c r="K82" s="158">
        <f>SUM(K72:K81)+K16+K24+K29+K36+K43+K45+K47+K49+K51+K56+K61+K66</f>
        <v>-89789.039000000019</v>
      </c>
      <c r="L82" s="92">
        <f>L16+L24+L29+L36+L43+L45+L47+L49</f>
        <v>0</v>
      </c>
      <c r="M82" s="93">
        <f>SUM(M72:M81)+M16+M24+M29+M36+M43+M45+M47+M49+M51+M56+M61+M66</f>
        <v>-77765.255000000107</v>
      </c>
      <c r="N82" s="92">
        <f>N16+N24+N29+N36+N43+N45+N47+N49</f>
        <v>0</v>
      </c>
      <c r="O82" s="93">
        <f>SUM(O72:O81)+O16+O24+O29+O36+O43+O45+O47+O49+O51+O56+O61+O66</f>
        <v>59726.40100000002</v>
      </c>
      <c r="P82" s="92">
        <f>P16+P24+P29+P36+P43+P45+P47+P49</f>
        <v>0</v>
      </c>
      <c r="Q82" s="93">
        <f>SUM(Q72:Q81)+Q16+Q24+Q29+Q36+Q43+Q45+Q47+Q49+Q51+Q56+Q61+Q66</f>
        <v>10026.505999999999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37459.959999999963</v>
      </c>
      <c r="V82" s="92">
        <f>V16+V24+V29+V36+V43+V45+V47+V49</f>
        <v>0</v>
      </c>
      <c r="W82" s="93">
        <f>SUM(W72:W81)+W16+W24+W29+W36+W43+W45+W47+W49+W51+W56+W61+W66</f>
        <v>-37306.760000000009</v>
      </c>
      <c r="X82" s="92">
        <f>X16+X24+X29+X36+X43+X45+X47+X49</f>
        <v>0</v>
      </c>
      <c r="Y82" s="93">
        <f>SUM(Y72:Y81)+Y16+Y24+Y29+Y36+Y43+Y45+Y47+Y49+Y51+Y56+Y61+Y66</f>
        <v>-7712.93</v>
      </c>
      <c r="Z82" s="92">
        <f>Z16+Z24+Z29+Z36+Z43+Z45+Z47+Z49</f>
        <v>0</v>
      </c>
      <c r="AA82" s="93">
        <f>SUM(AA72:AA81)+AA16+AA24+AA29+AA36+AA43+AA45+AA47+AA49+AA51+AA56+AA61+AA66</f>
        <v>37459.959999999963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4544.5600000000013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8" thickTop="1" x14ac:dyDescent="0.25">
      <c r="A83" s="4"/>
      <c r="B83" s="3"/>
    </row>
    <row r="84" spans="1:39" x14ac:dyDescent="0.25">
      <c r="A84" s="4"/>
      <c r="B84" s="3"/>
    </row>
    <row r="85" spans="1:39" x14ac:dyDescent="0.25">
      <c r="A85" s="4"/>
      <c r="B85" s="3"/>
    </row>
    <row r="86" spans="1:39" x14ac:dyDescent="0.25">
      <c r="A86" s="4"/>
      <c r="B86" s="3"/>
    </row>
    <row r="87" spans="1:39" x14ac:dyDescent="0.25">
      <c r="A87" s="4"/>
      <c r="B87" s="3"/>
    </row>
    <row r="88" spans="1:39" x14ac:dyDescent="0.25">
      <c r="A88" s="4"/>
      <c r="B88" s="3"/>
    </row>
    <row r="89" spans="1:39" x14ac:dyDescent="0.25">
      <c r="A89" s="4"/>
      <c r="B89" s="3"/>
    </row>
    <row r="90" spans="1:39" x14ac:dyDescent="0.25">
      <c r="A90" s="4"/>
      <c r="B90" s="3"/>
    </row>
    <row r="91" spans="1:39" x14ac:dyDescent="0.25">
      <c r="A91" s="4"/>
      <c r="B91" s="3"/>
    </row>
    <row r="92" spans="1:39" x14ac:dyDescent="0.25">
      <c r="A92" s="4"/>
      <c r="B92" s="3"/>
    </row>
    <row r="93" spans="1:39" x14ac:dyDescent="0.25">
      <c r="A93" s="4"/>
      <c r="B93" s="3"/>
    </row>
    <row r="94" spans="1:39" x14ac:dyDescent="0.25">
      <c r="A94" s="4"/>
      <c r="B94" s="3"/>
    </row>
    <row r="95" spans="1:39" x14ac:dyDescent="0.25">
      <c r="A95" s="4"/>
      <c r="B95" s="3"/>
    </row>
    <row r="96" spans="1:3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M179"/>
  <sheetViews>
    <sheetView zoomScale="75" workbookViewId="0">
      <pane xSplit="3" ySplit="9" topLeftCell="AD10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9" width="15.44140625" customWidth="1"/>
    <col min="56" max="60" width="0" hidden="1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5798202</v>
      </c>
      <c r="E11" s="38">
        <f t="shared" si="0"/>
        <v>11572806</v>
      </c>
      <c r="F11" s="60">
        <f>'TIE-OUT'!X11+RECLASS!X11</f>
        <v>0</v>
      </c>
      <c r="G11" s="38">
        <f>'TIE-OUT'!Y11+RECLASS!Y11</f>
        <v>-8870946</v>
      </c>
      <c r="H11" s="130">
        <f>+Actuals!E84+5788337</f>
        <v>5788337</v>
      </c>
      <c r="I11" s="131">
        <f>+Actuals!F84+11967868-6168715</f>
        <v>5799153</v>
      </c>
      <c r="J11" s="130">
        <f>+Actuals!G84</f>
        <v>0</v>
      </c>
      <c r="K11" s="147">
        <f>+Actuals!H84</f>
        <v>0</v>
      </c>
      <c r="L11" s="130">
        <f>+Actuals!I84</f>
        <v>0</v>
      </c>
      <c r="M11" s="131">
        <f>+Actuals!J84</f>
        <v>0</v>
      </c>
      <c r="N11" s="130">
        <f>+Actuals!K84</f>
        <v>0</v>
      </c>
      <c r="O11" s="131">
        <f>+Actuals!L84</f>
        <v>0</v>
      </c>
      <c r="P11" s="130">
        <v>9865</v>
      </c>
      <c r="Q11" s="131">
        <v>14644599</v>
      </c>
      <c r="R11" s="130">
        <f>+Actuals!O84</f>
        <v>0</v>
      </c>
      <c r="S11" s="131">
        <f>+Actuals!P84</f>
        <v>0</v>
      </c>
      <c r="T11" s="130">
        <f>+Actuals!Q84</f>
        <v>0</v>
      </c>
      <c r="U11" s="131">
        <f>+Actuals!R84</f>
        <v>0</v>
      </c>
      <c r="V11" s="127">
        <f>+Actuals!S124</f>
        <v>0</v>
      </c>
      <c r="W11" s="128">
        <f>+Actuals!T124</f>
        <v>0</v>
      </c>
      <c r="X11" s="130">
        <f>+Actuals!U124</f>
        <v>0</v>
      </c>
      <c r="Y11" s="131">
        <f>+Actuals!V124</f>
        <v>0</v>
      </c>
      <c r="Z11" s="130">
        <f>+Actuals!W124</f>
        <v>0</v>
      </c>
      <c r="AA11" s="131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+Actuals!AE124</f>
        <v>0</v>
      </c>
      <c r="AI11" s="131">
        <f>+Actuals!AF124</f>
        <v>0</v>
      </c>
      <c r="AJ11" s="130">
        <f>+Actuals!AG124</f>
        <v>0</v>
      </c>
      <c r="AK11" s="131">
        <f>+Actuals!AH124</f>
        <v>0</v>
      </c>
      <c r="AL11" s="130">
        <f>+Actuals!AI124</f>
        <v>0</v>
      </c>
      <c r="AM11" s="131">
        <f>+Actuals!AJ124</f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31">
        <f>+Actuals!J85</f>
        <v>0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f>+Actuals!N85</f>
        <v>0</v>
      </c>
      <c r="R12" s="130">
        <f>+Actuals!O85</f>
        <v>0</v>
      </c>
      <c r="S12" s="131">
        <f>+Actuals!P85</f>
        <v>0</v>
      </c>
      <c r="T12" s="130">
        <f>+Actuals!Q85</f>
        <v>0</v>
      </c>
      <c r="U12" s="131">
        <f>+Actuals!R85</f>
        <v>0</v>
      </c>
      <c r="V12" s="127">
        <f>+Actuals!S125</f>
        <v>0</v>
      </c>
      <c r="W12" s="128">
        <f>+Actuals!T125</f>
        <v>0</v>
      </c>
      <c r="X12" s="130">
        <f>+Actuals!U125</f>
        <v>0</v>
      </c>
      <c r="Y12" s="131">
        <f>+Actuals!V125</f>
        <v>0</v>
      </c>
      <c r="Z12" s="130">
        <f>+Actuals!W125</f>
        <v>0</v>
      </c>
      <c r="AA12" s="131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+Actuals!AE125</f>
        <v>0</v>
      </c>
      <c r="AI12" s="131">
        <f>+Actuals!AF125</f>
        <v>0</v>
      </c>
      <c r="AJ12" s="130">
        <f>+Actuals!AG125</f>
        <v>0</v>
      </c>
      <c r="AK12" s="131">
        <f>+Actuals!AH125</f>
        <v>0</v>
      </c>
      <c r="AL12" s="130">
        <f>+Actuals!AI125</f>
        <v>0</v>
      </c>
      <c r="AM12" s="131">
        <f>+Actuals!AJ125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19806567</v>
      </c>
      <c r="E13" s="38">
        <f t="shared" si="0"/>
        <v>48575377</v>
      </c>
      <c r="F13" s="60">
        <f>'TIE-OUT'!X13+RECLASS!X13</f>
        <v>0</v>
      </c>
      <c r="G13" s="38">
        <f>'TIE-OUT'!Y13+RECLASS!Y13</f>
        <v>0</v>
      </c>
      <c r="H13" s="130">
        <f>+Actuals!E86+19806567</f>
        <v>19806567</v>
      </c>
      <c r="I13" s="131">
        <f>+Actuals!F86+48575377</f>
        <v>48575377</v>
      </c>
      <c r="J13" s="130">
        <f>+Actuals!G86</f>
        <v>0</v>
      </c>
      <c r="K13" s="147">
        <f>+Actuals!H86</f>
        <v>0</v>
      </c>
      <c r="L13" s="130">
        <f>+Actuals!I86</f>
        <v>0</v>
      </c>
      <c r="M13" s="131">
        <f>+Actuals!J86</f>
        <v>0</v>
      </c>
      <c r="N13" s="130">
        <f>+Actuals!K86</f>
        <v>0</v>
      </c>
      <c r="O13" s="131">
        <f>+Actuals!L86</f>
        <v>0</v>
      </c>
      <c r="P13" s="130">
        <f>+Actuals!M86</f>
        <v>0</v>
      </c>
      <c r="Q13" s="131">
        <f>+Actuals!N86</f>
        <v>0</v>
      </c>
      <c r="R13" s="130">
        <f>+Actuals!O86</f>
        <v>0</v>
      </c>
      <c r="S13" s="131">
        <f>+Actuals!P86</f>
        <v>0</v>
      </c>
      <c r="T13" s="130">
        <f>+Actuals!Q86</f>
        <v>0</v>
      </c>
      <c r="U13" s="131">
        <f>+Actuals!R86</f>
        <v>0</v>
      </c>
      <c r="V13" s="127">
        <f>+Actuals!S126</f>
        <v>0</v>
      </c>
      <c r="W13" s="128">
        <f>+Actuals!T126</f>
        <v>0</v>
      </c>
      <c r="X13" s="130">
        <f>+Actuals!U126</f>
        <v>0</v>
      </c>
      <c r="Y13" s="131">
        <f>+Actuals!V126</f>
        <v>0</v>
      </c>
      <c r="Z13" s="130">
        <f>+Actuals!W126</f>
        <v>0</v>
      </c>
      <c r="AA13" s="131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0</v>
      </c>
      <c r="AE13" s="131">
        <f>+Actuals!AB126</f>
        <v>0</v>
      </c>
      <c r="AF13" s="130">
        <f>+Actuals!AC126</f>
        <v>0</v>
      </c>
      <c r="AG13" s="131">
        <f>+Actuals!AD126</f>
        <v>0</v>
      </c>
      <c r="AH13" s="130">
        <f>+Actuals!AE126</f>
        <v>0</v>
      </c>
      <c r="AI13" s="131">
        <f>+Actuals!AF126</f>
        <v>0</v>
      </c>
      <c r="AJ13" s="130">
        <f>+Actuals!AG126</f>
        <v>0</v>
      </c>
      <c r="AK13" s="131">
        <f>+Actuals!AH126</f>
        <v>0</v>
      </c>
      <c r="AL13" s="130">
        <f>+Actuals!AI126</f>
        <v>0</v>
      </c>
      <c r="AM13" s="131">
        <f>+Actuals!AJ126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30">
        <f>+Actuals!Q87</f>
        <v>0</v>
      </c>
      <c r="U14" s="131">
        <f>+Actuals!R87</f>
        <v>0</v>
      </c>
      <c r="V14" s="127">
        <f>+Actuals!S127</f>
        <v>0</v>
      </c>
      <c r="W14" s="128">
        <f>+Actuals!T127</f>
        <v>0</v>
      </c>
      <c r="X14" s="130">
        <f>+Actuals!U127</f>
        <v>0</v>
      </c>
      <c r="Y14" s="131">
        <f>+Actuals!V127</f>
        <v>0</v>
      </c>
      <c r="Z14" s="130">
        <f>+Actuals!W127</f>
        <v>0</v>
      </c>
      <c r="AA14" s="131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+Actuals!AE127</f>
        <v>0</v>
      </c>
      <c r="AI14" s="131">
        <f>+Actuals!AF127</f>
        <v>0</v>
      </c>
      <c r="AJ14" s="130">
        <f>+Actuals!AG127</f>
        <v>0</v>
      </c>
      <c r="AK14" s="131">
        <f>+Actuals!AH127</f>
        <v>0</v>
      </c>
      <c r="AL14" s="130">
        <f>+Actuals!AI127</f>
        <v>0</v>
      </c>
      <c r="AM14" s="131">
        <f>+Actuals!AJ127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279317</v>
      </c>
      <c r="F15" s="81">
        <f>'TIE-OUT'!X15+RECLASS!X15</f>
        <v>0</v>
      </c>
      <c r="G15" s="82">
        <f>'TIE-OUT'!Y15+RECLASS!Y15</f>
        <v>279317</v>
      </c>
      <c r="H15" s="130">
        <f>+Actuals!E88</f>
        <v>0</v>
      </c>
      <c r="I15" s="131">
        <v>10400000</v>
      </c>
      <c r="J15" s="130">
        <f>+Actuals!G88</f>
        <v>0</v>
      </c>
      <c r="K15" s="147">
        <v>-10400000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30">
        <f>+Actuals!Q88</f>
        <v>0</v>
      </c>
      <c r="U15" s="131">
        <f>+Actuals!R88</f>
        <v>0</v>
      </c>
      <c r="V15" s="127">
        <f>+Actuals!S128</f>
        <v>0</v>
      </c>
      <c r="W15" s="129">
        <f>+Actuals!T128</f>
        <v>0</v>
      </c>
      <c r="X15" s="130">
        <f>+Actuals!U128</f>
        <v>0</v>
      </c>
      <c r="Y15" s="131">
        <f>+Actuals!V128</f>
        <v>0</v>
      </c>
      <c r="Z15" s="130">
        <f>+Actuals!W128</f>
        <v>0</v>
      </c>
      <c r="AA15" s="131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+Actuals!AE128</f>
        <v>0</v>
      </c>
      <c r="AI15" s="131">
        <f>+Actuals!AF128</f>
        <v>0</v>
      </c>
      <c r="AJ15" s="130">
        <f>+Actuals!AG128</f>
        <v>0</v>
      </c>
      <c r="AK15" s="131">
        <f>+Actuals!AH128</f>
        <v>0</v>
      </c>
      <c r="AL15" s="130">
        <f>+Actuals!AI128</f>
        <v>0</v>
      </c>
      <c r="AM15" s="131">
        <f>+Actuals!AJ128</f>
        <v>0</v>
      </c>
    </row>
    <row r="16" spans="1:39" x14ac:dyDescent="0.25">
      <c r="A16" s="9"/>
      <c r="B16" s="7" t="s">
        <v>33</v>
      </c>
      <c r="C16" s="6"/>
      <c r="D16" s="61">
        <f t="shared" ref="D16:W16" si="1">SUM(D11:D15)</f>
        <v>25604769</v>
      </c>
      <c r="E16" s="39">
        <f t="shared" si="1"/>
        <v>60427500</v>
      </c>
      <c r="F16" s="61">
        <f t="shared" si="1"/>
        <v>0</v>
      </c>
      <c r="G16" s="39">
        <f t="shared" si="1"/>
        <v>-8591629</v>
      </c>
      <c r="H16" s="61">
        <f t="shared" si="1"/>
        <v>25594904</v>
      </c>
      <c r="I16" s="39">
        <f t="shared" si="1"/>
        <v>64774530</v>
      </c>
      <c r="J16" s="61">
        <f t="shared" si="1"/>
        <v>0</v>
      </c>
      <c r="K16" s="148">
        <f t="shared" si="1"/>
        <v>-10400000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>SUM(P11:P15)</f>
        <v>9865</v>
      </c>
      <c r="Q16" s="39">
        <f>SUM(Q11:Q15)</f>
        <v>14644599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82">
        <f t="shared" si="1"/>
        <v>0</v>
      </c>
      <c r="X16" s="61">
        <f t="shared" ref="X16:AC16" si="2">SUM(X11:X15)</f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-5718634</v>
      </c>
      <c r="E19" s="38">
        <f t="shared" si="4"/>
        <v>-11189822</v>
      </c>
      <c r="F19" s="64">
        <f>'TIE-OUT'!X19+RECLASS!X19</f>
        <v>0</v>
      </c>
      <c r="G19" s="68">
        <f>'TIE-OUT'!Y19+RECLASS!Y19</f>
        <v>-252973</v>
      </c>
      <c r="H19" s="130">
        <f>+Actuals!E89+541480</f>
        <v>541480</v>
      </c>
      <c r="I19" s="131">
        <f>+Actuals!F89+1205876</f>
        <v>1205876</v>
      </c>
      <c r="J19" s="130">
        <f>+Actuals!G89</f>
        <v>0</v>
      </c>
      <c r="K19" s="147">
        <f>+Actuals!H89</f>
        <v>0</v>
      </c>
      <c r="L19" s="130">
        <f>+Actuals!I89</f>
        <v>0</v>
      </c>
      <c r="M19" s="131">
        <f>+Actuals!J89</f>
        <v>0</v>
      </c>
      <c r="N19" s="130">
        <f>+Actuals!K89</f>
        <v>0</v>
      </c>
      <c r="O19" s="131">
        <f>+Actuals!L89</f>
        <v>0</v>
      </c>
      <c r="P19" s="130">
        <v>-6260114</v>
      </c>
      <c r="Q19" s="131">
        <v>-12142725</v>
      </c>
      <c r="R19" s="130">
        <f>+Actuals!O89</f>
        <v>0</v>
      </c>
      <c r="S19" s="131">
        <f>+Actuals!P89</f>
        <v>0</v>
      </c>
      <c r="T19" s="130">
        <f>+Actuals!Q89</f>
        <v>0</v>
      </c>
      <c r="U19" s="131">
        <f>+Actuals!R89</f>
        <v>0</v>
      </c>
      <c r="V19" s="127">
        <f>+Actuals!S129</f>
        <v>0</v>
      </c>
      <c r="W19" s="128">
        <f>+Actuals!T129</f>
        <v>0</v>
      </c>
      <c r="X19" s="130">
        <f>+Actuals!U129</f>
        <v>0</v>
      </c>
      <c r="Y19" s="131">
        <f>+Actuals!V129</f>
        <v>0</v>
      </c>
      <c r="Z19" s="130">
        <f>+Actuals!W129</f>
        <v>0</v>
      </c>
      <c r="AA19" s="131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0</v>
      </c>
      <c r="AF19" s="130">
        <f>+Actuals!AC129</f>
        <v>0</v>
      </c>
      <c r="AG19" s="131">
        <f>+Actuals!AD129</f>
        <v>0</v>
      </c>
      <c r="AH19" s="130">
        <f>+Actuals!AE129</f>
        <v>0</v>
      </c>
      <c r="AI19" s="131">
        <f>+Actuals!AF129</f>
        <v>0</v>
      </c>
      <c r="AJ19" s="130">
        <f>+Actuals!AG129</f>
        <v>0</v>
      </c>
      <c r="AK19" s="131">
        <f>+Actuals!AH129</f>
        <v>0</v>
      </c>
      <c r="AL19" s="130">
        <f>+Actuals!AI129</f>
        <v>0</v>
      </c>
      <c r="AM19" s="131">
        <f>+Actuals!AJ129</f>
        <v>0</v>
      </c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0</v>
      </c>
      <c r="F20" s="60">
        <f>'TIE-OUT'!X20+RECLASS!X20</f>
        <v>0</v>
      </c>
      <c r="G20" s="38">
        <f>'TIE-OUT'!Y20+RECLASS!Y20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30">
        <f>+Actuals!Q90</f>
        <v>0</v>
      </c>
      <c r="U20" s="131">
        <f>+Actuals!R90</f>
        <v>0</v>
      </c>
      <c r="V20" s="127">
        <f>+Actuals!S130</f>
        <v>0</v>
      </c>
      <c r="W20" s="128">
        <f>+Actuals!T130</f>
        <v>0</v>
      </c>
      <c r="X20" s="130">
        <f>+Actuals!U130</f>
        <v>0</v>
      </c>
      <c r="Y20" s="131">
        <f>+Actuals!V130</f>
        <v>0</v>
      </c>
      <c r="Z20" s="130">
        <f>+Actuals!W130</f>
        <v>0</v>
      </c>
      <c r="AA20" s="131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+Actuals!AE130</f>
        <v>0</v>
      </c>
      <c r="AI20" s="131">
        <f>+Actuals!AF130</f>
        <v>0</v>
      </c>
      <c r="AJ20" s="130">
        <f>+Actuals!AG130</f>
        <v>0</v>
      </c>
      <c r="AK20" s="131">
        <f>+Actuals!AH130</f>
        <v>0</v>
      </c>
      <c r="AL20" s="130">
        <f>+Actuals!AI130</f>
        <v>0</v>
      </c>
      <c r="AM20" s="131">
        <f>+Actuals!AJ130</f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-25428560</v>
      </c>
      <c r="E21" s="38">
        <f t="shared" si="4"/>
        <v>-60695726</v>
      </c>
      <c r="F21" s="60">
        <f>'TIE-OUT'!X21+RECLASS!X21</f>
        <v>0</v>
      </c>
      <c r="G21" s="38">
        <f>'TIE-OUT'!Y21+RECLASS!Y21</f>
        <v>0</v>
      </c>
      <c r="H21" s="130">
        <f>+Actuals!E91-25428560</f>
        <v>-25428560</v>
      </c>
      <c r="I21" s="131">
        <f>+Actuals!F91-60695726</f>
        <v>-60695726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f>+Actuals!K91</f>
        <v>0</v>
      </c>
      <c r="O21" s="131">
        <f>+Actuals!L91</f>
        <v>0</v>
      </c>
      <c r="P21" s="130">
        <f>+Actuals!M91</f>
        <v>0</v>
      </c>
      <c r="Q21" s="131">
        <f>+Actuals!N91</f>
        <v>0</v>
      </c>
      <c r="R21" s="130">
        <f>+Actuals!O91</f>
        <v>0</v>
      </c>
      <c r="S21" s="131">
        <f>+Actuals!P91</f>
        <v>0</v>
      </c>
      <c r="T21" s="130">
        <f>+Actuals!Q91</f>
        <v>0</v>
      </c>
      <c r="U21" s="131">
        <f>+Actuals!R91</f>
        <v>0</v>
      </c>
      <c r="V21" s="127">
        <f>+Actuals!S131</f>
        <v>0</v>
      </c>
      <c r="W21" s="128">
        <f>+Actuals!T131</f>
        <v>0</v>
      </c>
      <c r="X21" s="130">
        <f>+Actuals!U131</f>
        <v>0</v>
      </c>
      <c r="Y21" s="131">
        <f>+Actuals!V131</f>
        <v>0</v>
      </c>
      <c r="Z21" s="130">
        <f>+Actuals!W131</f>
        <v>0</v>
      </c>
      <c r="AA21" s="131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0</v>
      </c>
      <c r="AE21" s="131">
        <f>+Actuals!AB131</f>
        <v>0</v>
      </c>
      <c r="AF21" s="130">
        <f>+Actuals!AC131</f>
        <v>0</v>
      </c>
      <c r="AG21" s="131">
        <f>+Actuals!AD131</f>
        <v>0</v>
      </c>
      <c r="AH21" s="130">
        <f>+Actuals!AE131</f>
        <v>0</v>
      </c>
      <c r="AI21" s="131">
        <f>+Actuals!AF131</f>
        <v>0</v>
      </c>
      <c r="AJ21" s="130">
        <f>+Actuals!AG131</f>
        <v>0</v>
      </c>
      <c r="AK21" s="131">
        <f>+Actuals!AH131</f>
        <v>0</v>
      </c>
      <c r="AL21" s="130">
        <f>+Actuals!AI131</f>
        <v>0</v>
      </c>
      <c r="AM21" s="131">
        <f>+Actuals!AJ131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30">
        <f>+Actuals!Q92</f>
        <v>0</v>
      </c>
      <c r="U22" s="131">
        <f>+Actuals!R92</f>
        <v>0</v>
      </c>
      <c r="V22" s="127">
        <f>+Actuals!S132</f>
        <v>0</v>
      </c>
      <c r="W22" s="128">
        <f>+Actuals!T132</f>
        <v>0</v>
      </c>
      <c r="X22" s="130">
        <f>+Actuals!U132</f>
        <v>0</v>
      </c>
      <c r="Y22" s="131">
        <f>+Actuals!V132</f>
        <v>0</v>
      </c>
      <c r="Z22" s="130">
        <f>+Actuals!W132</f>
        <v>0</v>
      </c>
      <c r="AA22" s="131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+Actuals!AE132</f>
        <v>0</v>
      </c>
      <c r="AI22" s="131">
        <f>+Actuals!AF132</f>
        <v>0</v>
      </c>
      <c r="AJ22" s="130">
        <f>+Actuals!AG132</f>
        <v>0</v>
      </c>
      <c r="AK22" s="131">
        <f>+Actuals!AH132</f>
        <v>0</v>
      </c>
      <c r="AL22" s="130">
        <f>+Actuals!AI132</f>
        <v>0</v>
      </c>
      <c r="AM22" s="131">
        <f>+Actuals!AJ132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'TIE-OUT'!X23+RECLASS!X23</f>
        <v>0</v>
      </c>
      <c r="G23" s="82">
        <f>'TIE-OUT'!Y23+RECLASS!Y23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v>0</v>
      </c>
      <c r="Q23" s="131">
        <v>0</v>
      </c>
      <c r="R23" s="130">
        <f>+Actuals!O93</f>
        <v>0</v>
      </c>
      <c r="S23" s="131">
        <f>+Actuals!P93</f>
        <v>0</v>
      </c>
      <c r="T23" s="130">
        <f>+Actuals!Q93</f>
        <v>0</v>
      </c>
      <c r="U23" s="131">
        <f>+Actuals!R93</f>
        <v>0</v>
      </c>
      <c r="V23" s="127">
        <f>+Actuals!S133</f>
        <v>0</v>
      </c>
      <c r="W23" s="129">
        <f>+Actuals!T133</f>
        <v>0</v>
      </c>
      <c r="X23" s="130">
        <f>+Actuals!U133</f>
        <v>0</v>
      </c>
      <c r="Y23" s="131">
        <f>+Actuals!V133</f>
        <v>0</v>
      </c>
      <c r="Z23" s="130">
        <f>+Actuals!W133</f>
        <v>0</v>
      </c>
      <c r="AA23" s="131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+Actuals!AE133</f>
        <v>0</v>
      </c>
      <c r="AI23" s="131">
        <f>+Actuals!AF133</f>
        <v>0</v>
      </c>
      <c r="AJ23" s="130">
        <f>+Actuals!AG133</f>
        <v>0</v>
      </c>
      <c r="AK23" s="131">
        <f>+Actuals!AH133</f>
        <v>0</v>
      </c>
      <c r="AL23" s="130">
        <f>+Actuals!AI133</f>
        <v>0</v>
      </c>
      <c r="AM23" s="131">
        <f>+Actuals!AJ133</f>
        <v>0</v>
      </c>
    </row>
    <row r="24" spans="1:39" x14ac:dyDescent="0.25">
      <c r="A24" s="9"/>
      <c r="B24" s="7" t="s">
        <v>36</v>
      </c>
      <c r="C24" s="6"/>
      <c r="D24" s="61">
        <f t="shared" ref="D24:W24" si="5">SUM(D19:D23)</f>
        <v>-31147194</v>
      </c>
      <c r="E24" s="39">
        <f t="shared" si="5"/>
        <v>-71885548</v>
      </c>
      <c r="F24" s="61">
        <f t="shared" si="5"/>
        <v>0</v>
      </c>
      <c r="G24" s="39">
        <f t="shared" si="5"/>
        <v>-252973</v>
      </c>
      <c r="H24" s="61">
        <f t="shared" si="5"/>
        <v>-24887080</v>
      </c>
      <c r="I24" s="39">
        <f t="shared" si="5"/>
        <v>-59489850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>SUM(P19:P23)</f>
        <v>-6260114</v>
      </c>
      <c r="Q24" s="39">
        <f>SUM(Q19:Q23)</f>
        <v>-12142725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ref="X24:AC24" si="6">SUM(X19:X23)</f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'TIE-OUT'!X27+RECLASS!X27</f>
        <v>0</v>
      </c>
      <c r="G27" s="68">
        <f>'TIE-OUT'!Y27+RECLASS!Y27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f>+Actuals!I94</f>
        <v>0</v>
      </c>
      <c r="M27" s="131">
        <f>+Actuals!J94</f>
        <v>0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30">
        <f>+Actuals!Q94</f>
        <v>0</v>
      </c>
      <c r="U27" s="131">
        <f>+Actuals!R94</f>
        <v>0</v>
      </c>
      <c r="V27" s="127">
        <f>+Actuals!S134</f>
        <v>0</v>
      </c>
      <c r="W27" s="128">
        <f>+Actuals!T134</f>
        <v>0</v>
      </c>
      <c r="X27" s="130">
        <f>+Actuals!U134</f>
        <v>0</v>
      </c>
      <c r="Y27" s="131">
        <f>+Actuals!V134</f>
        <v>0</v>
      </c>
      <c r="Z27" s="130">
        <f>+Actuals!W134</f>
        <v>0</v>
      </c>
      <c r="AA27" s="131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+Actuals!AE134</f>
        <v>0</v>
      </c>
      <c r="AI27" s="131">
        <f>+Actuals!AF134</f>
        <v>0</v>
      </c>
      <c r="AJ27" s="130">
        <f>+Actuals!AG134</f>
        <v>0</v>
      </c>
      <c r="AK27" s="131">
        <f>+Actuals!AH134</f>
        <v>0</v>
      </c>
      <c r="AL27" s="130">
        <f>+Actuals!AI134</f>
        <v>0</v>
      </c>
      <c r="AM27" s="131">
        <f>+Actuals!AJ134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'TIE-OUT'!X28+RECLASS!X28</f>
        <v>0</v>
      </c>
      <c r="G28" s="82">
        <f>'TIE-OUT'!Y28+RECLASS!Y28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30">
        <f>+Actuals!Q95</f>
        <v>0</v>
      </c>
      <c r="U28" s="131">
        <f>+Actuals!R95</f>
        <v>0</v>
      </c>
      <c r="V28" s="127">
        <f>+Actuals!S135</f>
        <v>0</v>
      </c>
      <c r="W28" s="128">
        <f>+Actuals!T135</f>
        <v>0</v>
      </c>
      <c r="X28" s="130">
        <f>+Actuals!U135</f>
        <v>0</v>
      </c>
      <c r="Y28" s="131">
        <f>+Actuals!V135</f>
        <v>0</v>
      </c>
      <c r="Z28" s="130">
        <f>+Actuals!W135</f>
        <v>0</v>
      </c>
      <c r="AA28" s="131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+Actuals!AE135</f>
        <v>0</v>
      </c>
      <c r="AI28" s="131">
        <f>+Actuals!AF135</f>
        <v>0</v>
      </c>
      <c r="AJ28" s="130">
        <f>+Actuals!AG135</f>
        <v>0</v>
      </c>
      <c r="AK28" s="131">
        <f>+Actuals!AH135</f>
        <v>0</v>
      </c>
      <c r="AL28" s="130">
        <f>+Actuals!AI135</f>
        <v>0</v>
      </c>
      <c r="AM28" s="131">
        <f>+Actuals!AJ135</f>
        <v>0</v>
      </c>
    </row>
    <row r="29" spans="1:39" x14ac:dyDescent="0.25">
      <c r="A29" s="9"/>
      <c r="B29" s="7" t="s">
        <v>40</v>
      </c>
      <c r="C29" s="18"/>
      <c r="D29" s="61">
        <f t="shared" ref="D29:W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>SUM(P27:P28)</f>
        <v>0</v>
      </c>
      <c r="Q29" s="39">
        <f>SUM(Q27:Q28)</f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ref="X29:AC29" si="9">SUM(X27:X28)</f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60"/>
      <c r="W31" s="38"/>
      <c r="X31" s="130"/>
      <c r="Y31" s="131"/>
      <c r="Z31" s="130"/>
      <c r="AA31" s="131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  <c r="AL31" s="130"/>
      <c r="AM31" s="131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19059</v>
      </c>
      <c r="E32" s="38">
        <f t="shared" si="11"/>
        <v>42443</v>
      </c>
      <c r="F32" s="64">
        <f>'TIE-OUT'!X32+RECLASS!X32</f>
        <v>0</v>
      </c>
      <c r="G32" s="68">
        <f>'TIE-OUT'!Y32+RECLASS!Y32</f>
        <v>0</v>
      </c>
      <c r="H32" s="130">
        <f>+Actuals!E96+222325-6329133</f>
        <v>-6106808</v>
      </c>
      <c r="I32" s="131">
        <f>+Actuals!F96+495118-14094979</f>
        <v>-13599861</v>
      </c>
      <c r="J32" s="130">
        <f>-203266+6329133</f>
        <v>6125867</v>
      </c>
      <c r="K32" s="147">
        <f>-451949+14094979</f>
        <v>13643030</v>
      </c>
      <c r="L32" s="130">
        <v>181</v>
      </c>
      <c r="M32" s="131">
        <v>14686</v>
      </c>
      <c r="N32" s="130">
        <f>+Actuals!K96</f>
        <v>0</v>
      </c>
      <c r="O32" s="131">
        <v>-2098</v>
      </c>
      <c r="P32" s="130">
        <v>-181</v>
      </c>
      <c r="Q32" s="131">
        <v>-13314</v>
      </c>
      <c r="R32" s="130">
        <f>+Actuals!O96</f>
        <v>0</v>
      </c>
      <c r="S32" s="131">
        <f>+Actuals!P96</f>
        <v>0</v>
      </c>
      <c r="T32" s="130">
        <f>+Actuals!Q96</f>
        <v>0</v>
      </c>
      <c r="U32" s="131">
        <f>+Actuals!R96</f>
        <v>0</v>
      </c>
      <c r="V32" s="127">
        <f>+Actuals!S136</f>
        <v>0</v>
      </c>
      <c r="W32" s="128">
        <f>+Actuals!T136</f>
        <v>0</v>
      </c>
      <c r="X32" s="130">
        <f>+Actuals!U136</f>
        <v>0</v>
      </c>
      <c r="Y32" s="131">
        <f>+Actuals!V136</f>
        <v>0</v>
      </c>
      <c r="Z32" s="130">
        <f>+Actuals!W136</f>
        <v>0</v>
      </c>
      <c r="AA32" s="131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+Actuals!AE136</f>
        <v>0</v>
      </c>
      <c r="AI32" s="131">
        <f>+Actuals!AF136</f>
        <v>0</v>
      </c>
      <c r="AJ32" s="130">
        <f>+Actuals!AG136</f>
        <v>0</v>
      </c>
      <c r="AK32" s="131">
        <f>+Actuals!AH136</f>
        <v>0</v>
      </c>
      <c r="AL32" s="130">
        <f>+Actuals!AI136</f>
        <v>0</v>
      </c>
      <c r="AM32" s="131">
        <f>+Actuals!AJ136</f>
        <v>0</v>
      </c>
    </row>
    <row r="33" spans="1:39" x14ac:dyDescent="0.25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'TIE-OUT'!X33+RECLASS!X33</f>
        <v>0</v>
      </c>
      <c r="G33" s="38">
        <f>'TIE-OUT'!Y33+RECLASS!Y33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30">
        <f>+Actuals!Q97</f>
        <v>0</v>
      </c>
      <c r="U33" s="131">
        <f>+Actuals!R97</f>
        <v>0</v>
      </c>
      <c r="V33" s="127">
        <f>+Actuals!S137</f>
        <v>0</v>
      </c>
      <c r="W33" s="128">
        <f>+Actuals!T137</f>
        <v>0</v>
      </c>
      <c r="X33" s="130">
        <f>+Actuals!U137</f>
        <v>0</v>
      </c>
      <c r="Y33" s="131">
        <f>+Actuals!V137</f>
        <v>0</v>
      </c>
      <c r="Z33" s="130">
        <f>+Actuals!W137</f>
        <v>0</v>
      </c>
      <c r="AA33" s="131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+Actuals!AE137</f>
        <v>0</v>
      </c>
      <c r="AI33" s="131">
        <f>+Actuals!AF137</f>
        <v>0</v>
      </c>
      <c r="AJ33" s="130">
        <f>+Actuals!AG137</f>
        <v>0</v>
      </c>
      <c r="AK33" s="131">
        <f>+Actuals!AH137</f>
        <v>0</v>
      </c>
      <c r="AL33" s="130">
        <f>+Actuals!AI137</f>
        <v>0</v>
      </c>
      <c r="AM33" s="131">
        <f>+Actuals!AJ137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1"/>
        <v>3298</v>
      </c>
      <c r="E34" s="38">
        <f t="shared" si="11"/>
        <v>7570</v>
      </c>
      <c r="F34" s="60">
        <f>'TIE-OUT'!X34+RECLASS!X34</f>
        <v>0</v>
      </c>
      <c r="G34" s="38">
        <f>'TIE-OUT'!Y34+RECLASS!Y34</f>
        <v>0</v>
      </c>
      <c r="H34" s="130">
        <f>+Actuals!E98</f>
        <v>0</v>
      </c>
      <c r="I34" s="131">
        <f>+Actuals!F98</f>
        <v>0</v>
      </c>
      <c r="J34" s="130">
        <v>3298</v>
      </c>
      <c r="K34" s="147">
        <v>7570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30">
        <f>+Actuals!Q98</f>
        <v>0</v>
      </c>
      <c r="U34" s="131">
        <f>+Actuals!R98</f>
        <v>0</v>
      </c>
      <c r="V34" s="127">
        <f>+Actuals!S138</f>
        <v>0</v>
      </c>
      <c r="W34" s="128">
        <f>+Actuals!T138</f>
        <v>0</v>
      </c>
      <c r="X34" s="130">
        <f>+Actuals!U138</f>
        <v>0</v>
      </c>
      <c r="Y34" s="131">
        <f>+Actuals!V138</f>
        <v>0</v>
      </c>
      <c r="Z34" s="130">
        <f>+Actuals!W138</f>
        <v>0</v>
      </c>
      <c r="AA34" s="131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+Actuals!AE138</f>
        <v>0</v>
      </c>
      <c r="AI34" s="131">
        <f>+Actuals!AF138</f>
        <v>0</v>
      </c>
      <c r="AJ34" s="130">
        <f>+Actuals!AG138</f>
        <v>0</v>
      </c>
      <c r="AK34" s="131">
        <f>+Actuals!AH138</f>
        <v>0</v>
      </c>
      <c r="AL34" s="130">
        <f>+Actuals!AI138</f>
        <v>0</v>
      </c>
      <c r="AM34" s="131">
        <f>+Actuals!AJ138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81">
        <f>'TIE-OUT'!X35+RECLASS!X35</f>
        <v>0</v>
      </c>
      <c r="G35" s="82">
        <f>'TIE-OUT'!Y35+RECLASS!Y35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30">
        <f>+Actuals!Q99</f>
        <v>0</v>
      </c>
      <c r="U35" s="131">
        <f>+Actuals!R99</f>
        <v>0</v>
      </c>
      <c r="V35" s="127">
        <f>+Actuals!S139</f>
        <v>0</v>
      </c>
      <c r="W35" s="128">
        <f>+Actuals!T139</f>
        <v>0</v>
      </c>
      <c r="X35" s="130">
        <f>+Actuals!U139</f>
        <v>0</v>
      </c>
      <c r="Y35" s="131">
        <f>+Actuals!V139</f>
        <v>0</v>
      </c>
      <c r="Z35" s="130">
        <f>+Actuals!W139</f>
        <v>0</v>
      </c>
      <c r="AA35" s="131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+Actuals!AE139</f>
        <v>0</v>
      </c>
      <c r="AI35" s="131">
        <f>+Actuals!AF139</f>
        <v>0</v>
      </c>
      <c r="AJ35" s="130">
        <f>+Actuals!AG139</f>
        <v>0</v>
      </c>
      <c r="AK35" s="131">
        <f>+Actuals!AH139</f>
        <v>0</v>
      </c>
      <c r="AL35" s="130">
        <f>+Actuals!AI139</f>
        <v>0</v>
      </c>
      <c r="AM35" s="131">
        <f>+Actuals!AJ139</f>
        <v>0</v>
      </c>
    </row>
    <row r="36" spans="1:39" x14ac:dyDescent="0.25">
      <c r="A36" s="9"/>
      <c r="B36" s="7" t="s">
        <v>46</v>
      </c>
      <c r="C36" s="6"/>
      <c r="D36" s="61">
        <f t="shared" ref="D36:W36" si="12">SUM(D32:D35)</f>
        <v>22357</v>
      </c>
      <c r="E36" s="39">
        <f t="shared" si="12"/>
        <v>50013</v>
      </c>
      <c r="F36" s="61">
        <f t="shared" si="12"/>
        <v>0</v>
      </c>
      <c r="G36" s="39">
        <f t="shared" si="12"/>
        <v>0</v>
      </c>
      <c r="H36" s="61">
        <f t="shared" si="12"/>
        <v>-6106808</v>
      </c>
      <c r="I36" s="39">
        <f t="shared" si="12"/>
        <v>-13599861</v>
      </c>
      <c r="J36" s="61">
        <f t="shared" si="12"/>
        <v>6129165</v>
      </c>
      <c r="K36" s="148">
        <f t="shared" si="12"/>
        <v>13650600</v>
      </c>
      <c r="L36" s="61">
        <f t="shared" si="12"/>
        <v>181</v>
      </c>
      <c r="M36" s="39">
        <f t="shared" si="12"/>
        <v>14686</v>
      </c>
      <c r="N36" s="61">
        <f t="shared" si="12"/>
        <v>0</v>
      </c>
      <c r="O36" s="39">
        <f t="shared" si="12"/>
        <v>-2098</v>
      </c>
      <c r="P36" s="61">
        <f>SUM(P32:P35)</f>
        <v>-181</v>
      </c>
      <c r="Q36" s="39">
        <f>SUM(Q32:Q35)</f>
        <v>-13314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ref="X36:AC36" si="13">SUM(X32:X35)</f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4460329</v>
      </c>
      <c r="E39" s="38">
        <f t="shared" si="15"/>
        <v>10906342.789999999</v>
      </c>
      <c r="F39" s="64">
        <f>'TIE-OUT'!X39+RECLASS!X39</f>
        <v>0</v>
      </c>
      <c r="G39" s="68">
        <f>'TIE-OUT'!Y39+RECLASS!Y39</f>
        <v>0</v>
      </c>
      <c r="H39" s="130">
        <f>+Actuals!E100+5398984</f>
        <v>5398984</v>
      </c>
      <c r="I39" s="131">
        <f>+Actuals!F100+13205714</f>
        <v>13205714</v>
      </c>
      <c r="J39" s="130">
        <v>-916236</v>
      </c>
      <c r="K39" s="147">
        <v>-2257627</v>
      </c>
      <c r="L39" s="130">
        <v>-56049</v>
      </c>
      <c r="M39" s="131">
        <v>-136028</v>
      </c>
      <c r="N39" s="130">
        <f>+Actuals!K100</f>
        <v>0</v>
      </c>
      <c r="O39" s="131">
        <f>+Actuals!L100</f>
        <v>0</v>
      </c>
      <c r="P39" s="130">
        <f>+Actuals!M100</f>
        <v>0</v>
      </c>
      <c r="Q39" s="131">
        <f>+Actuals!N100</f>
        <v>0</v>
      </c>
      <c r="R39" s="130">
        <f>+Actuals!O100</f>
        <v>0</v>
      </c>
      <c r="S39" s="131">
        <f>+Actuals!P100</f>
        <v>0</v>
      </c>
      <c r="T39" s="130">
        <f>+Actuals!Q100</f>
        <v>0</v>
      </c>
      <c r="U39" s="131">
        <f>+Actuals!R100</f>
        <v>0</v>
      </c>
      <c r="V39" s="127">
        <f>+Actuals!S140</f>
        <v>0</v>
      </c>
      <c r="W39" s="128">
        <f>+Actuals!T140</f>
        <v>0</v>
      </c>
      <c r="X39" s="130">
        <f>+Actuals!U140</f>
        <v>0</v>
      </c>
      <c r="Y39" s="131">
        <f>+Actuals!V140</f>
        <v>0</v>
      </c>
      <c r="Z39" s="130">
        <f>+Actuals!W140</f>
        <v>0</v>
      </c>
      <c r="AA39" s="131">
        <f>+Actuals!X140</f>
        <v>0</v>
      </c>
      <c r="AB39" s="130">
        <f>+Actuals!Y140</f>
        <v>0</v>
      </c>
      <c r="AC39" s="131">
        <f>+Actuals!Z140</f>
        <v>0</v>
      </c>
      <c r="AD39" s="130">
        <f>+Actuals!AA140</f>
        <v>33630</v>
      </c>
      <c r="AE39" s="131">
        <f>+Actuals!AB140</f>
        <v>94283.79</v>
      </c>
      <c r="AF39" s="130">
        <f>+Actuals!AC140</f>
        <v>0</v>
      </c>
      <c r="AG39" s="131">
        <f>+Actuals!AD140</f>
        <v>0</v>
      </c>
      <c r="AH39" s="130">
        <f>+Actuals!AE140</f>
        <v>0</v>
      </c>
      <c r="AI39" s="131">
        <f>+Actuals!AF140</f>
        <v>0</v>
      </c>
      <c r="AJ39" s="130">
        <f>+Actuals!AG140</f>
        <v>0</v>
      </c>
      <c r="AK39" s="131">
        <f>+Actuals!AH140</f>
        <v>0</v>
      </c>
      <c r="AL39" s="130">
        <f>+Actuals!AI140</f>
        <v>0</v>
      </c>
      <c r="AM39" s="131">
        <f>+Actuals!AJ140</f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1106981</v>
      </c>
      <c r="E40" s="38">
        <f t="shared" si="15"/>
        <v>2718723</v>
      </c>
      <c r="F40" s="60">
        <f>'TIE-OUT'!X40+RECLASS!X40</f>
        <v>0</v>
      </c>
      <c r="G40" s="38">
        <f>'TIE-OUT'!Y40+RECLASS!Y40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v>1106981</v>
      </c>
      <c r="M40" s="131">
        <v>2718723</v>
      </c>
      <c r="N40" s="130">
        <f>+Actuals!K101</f>
        <v>0</v>
      </c>
      <c r="O40" s="131">
        <f>+Actuals!L101</f>
        <v>0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30">
        <f>+Actuals!Q101</f>
        <v>0</v>
      </c>
      <c r="U40" s="131">
        <f>+Actuals!R101</f>
        <v>0</v>
      </c>
      <c r="V40" s="127">
        <f>+Actuals!S141</f>
        <v>0</v>
      </c>
      <c r="W40" s="128">
        <f>+Actuals!T141</f>
        <v>0</v>
      </c>
      <c r="X40" s="130">
        <f>+Actuals!U141</f>
        <v>0</v>
      </c>
      <c r="Y40" s="131">
        <f>+Actuals!V141</f>
        <v>0</v>
      </c>
      <c r="Z40" s="130">
        <f>+Actuals!W141</f>
        <v>0</v>
      </c>
      <c r="AA40" s="131">
        <f>+Actuals!X141</f>
        <v>0</v>
      </c>
      <c r="AB40" s="130">
        <f>+Actuals!Y141</f>
        <v>0</v>
      </c>
      <c r="AC40" s="131">
        <f>+Actuals!Z141</f>
        <v>0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+Actuals!AE141</f>
        <v>0</v>
      </c>
      <c r="AI40" s="131">
        <f>+Actuals!AF141</f>
        <v>0</v>
      </c>
      <c r="AJ40" s="130">
        <f>+Actuals!AG141</f>
        <v>0</v>
      </c>
      <c r="AK40" s="131">
        <f>+Actuals!AH141</f>
        <v>0</v>
      </c>
      <c r="AL40" s="130">
        <f>+Actuals!AI141</f>
        <v>0</v>
      </c>
      <c r="AM40" s="131">
        <f>+Actuals!AJ141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0</v>
      </c>
      <c r="F41" s="81">
        <f>'TIE-OUT'!X41+RECLASS!X41</f>
        <v>0</v>
      </c>
      <c r="G41" s="82">
        <f>'TIE-OUT'!Y41+RECLASS!Y41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30">
        <f>+Actuals!Q102</f>
        <v>0</v>
      </c>
      <c r="U41" s="131">
        <f>+Actuals!R102</f>
        <v>0</v>
      </c>
      <c r="V41" s="127">
        <f>+Actuals!S142</f>
        <v>0</v>
      </c>
      <c r="W41" s="128">
        <f>+Actuals!T142</f>
        <v>0</v>
      </c>
      <c r="X41" s="130">
        <f>+Actuals!U142</f>
        <v>0</v>
      </c>
      <c r="Y41" s="131">
        <f>+Actuals!V142</f>
        <v>0</v>
      </c>
      <c r="Z41" s="130">
        <f>+Actuals!W142</f>
        <v>0</v>
      </c>
      <c r="AA41" s="131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+Actuals!AE142</f>
        <v>0</v>
      </c>
      <c r="AI41" s="131">
        <f>+Actuals!AF142</f>
        <v>0</v>
      </c>
      <c r="AJ41" s="130">
        <f>+Actuals!AG142</f>
        <v>0</v>
      </c>
      <c r="AK41" s="131">
        <f>+Actuals!AH142</f>
        <v>0</v>
      </c>
      <c r="AL41" s="130">
        <f>+Actuals!AI142</f>
        <v>0</v>
      </c>
      <c r="AM41" s="131">
        <f>+Actuals!AJ142</f>
        <v>0</v>
      </c>
    </row>
    <row r="42" spans="1:39" x14ac:dyDescent="0.25">
      <c r="A42" s="9"/>
      <c r="B42" s="7"/>
      <c r="C42" s="53" t="s">
        <v>51</v>
      </c>
      <c r="D42" s="61">
        <f t="shared" ref="D42:W42" si="16">SUM(D40:D41)</f>
        <v>1106981</v>
      </c>
      <c r="E42" s="39">
        <f t="shared" si="16"/>
        <v>2718723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1106981</v>
      </c>
      <c r="M42" s="39">
        <f t="shared" si="16"/>
        <v>2718723</v>
      </c>
      <c r="N42" s="61">
        <f t="shared" si="16"/>
        <v>0</v>
      </c>
      <c r="O42" s="39">
        <f t="shared" si="16"/>
        <v>0</v>
      </c>
      <c r="P42" s="61">
        <f>SUM(P40:P41)</f>
        <v>0</v>
      </c>
      <c r="Q42" s="39">
        <f>SUM(Q40:Q41)</f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ref="X42:AC42" si="17">SUM(X40:X41)</f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 t="shared" ref="D43:W43" si="19">D42+D39</f>
        <v>5567310</v>
      </c>
      <c r="E43" s="39">
        <f t="shared" si="19"/>
        <v>13625065.789999999</v>
      </c>
      <c r="F43" s="61">
        <f t="shared" si="19"/>
        <v>0</v>
      </c>
      <c r="G43" s="39">
        <f t="shared" si="19"/>
        <v>0</v>
      </c>
      <c r="H43" s="61">
        <f t="shared" si="19"/>
        <v>5398984</v>
      </c>
      <c r="I43" s="39">
        <f t="shared" si="19"/>
        <v>13205714</v>
      </c>
      <c r="J43" s="61">
        <f t="shared" si="19"/>
        <v>-916236</v>
      </c>
      <c r="K43" s="148">
        <f t="shared" si="19"/>
        <v>-2257627</v>
      </c>
      <c r="L43" s="61">
        <f t="shared" si="19"/>
        <v>1050932</v>
      </c>
      <c r="M43" s="39">
        <f t="shared" si="19"/>
        <v>2582695</v>
      </c>
      <c r="N43" s="61">
        <f t="shared" si="19"/>
        <v>0</v>
      </c>
      <c r="O43" s="39">
        <f t="shared" si="19"/>
        <v>0</v>
      </c>
      <c r="P43" s="61">
        <f>P42+P39</f>
        <v>0</v>
      </c>
      <c r="Q43" s="39">
        <f>Q42+Q39</f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ref="X43:AC43" si="20">X42+X39</f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33630</v>
      </c>
      <c r="AE43" s="39">
        <f t="shared" si="21"/>
        <v>94283.79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'TIE-OUT'!X45+RECLASS!X45</f>
        <v>0</v>
      </c>
      <c r="G45" s="68">
        <f>'TIE-OUT'!Y45+RECLASS!Y45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30">
        <f>+Actuals!Q103</f>
        <v>0</v>
      </c>
      <c r="U45" s="131">
        <f>+Actuals!R103</f>
        <v>0</v>
      </c>
      <c r="V45" s="127">
        <f>+Actuals!S143</f>
        <v>0</v>
      </c>
      <c r="W45" s="128">
        <f>+Actuals!T143</f>
        <v>0</v>
      </c>
      <c r="X45" s="130">
        <f>+Actuals!U143</f>
        <v>0</v>
      </c>
      <c r="Y45" s="131">
        <f>+Actuals!V143</f>
        <v>0</v>
      </c>
      <c r="Z45" s="130">
        <f>+Actuals!W143</f>
        <v>0</v>
      </c>
      <c r="AA45" s="131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+Actuals!AE143</f>
        <v>0</v>
      </c>
      <c r="AI45" s="131">
        <f>+Actuals!AF143</f>
        <v>0</v>
      </c>
      <c r="AJ45" s="130">
        <f>+Actuals!AG143</f>
        <v>0</v>
      </c>
      <c r="AK45" s="131">
        <f>+Actuals!AH143</f>
        <v>0</v>
      </c>
      <c r="AL45" s="130">
        <f>+Actuals!AI143</f>
        <v>0</v>
      </c>
      <c r="AM45" s="131">
        <f>+Actuals!AJ143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'TIE-OUT'!X47+RECLASS!X47</f>
        <v>0</v>
      </c>
      <c r="G47" s="38">
        <f>'TIE-OUT'!Y47+RECLASS!Y47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30">
        <f>+Actuals!Q104</f>
        <v>0</v>
      </c>
      <c r="U47" s="131">
        <f>+Actuals!R104</f>
        <v>0</v>
      </c>
      <c r="V47" s="127">
        <f>+Actuals!S144</f>
        <v>0</v>
      </c>
      <c r="W47" s="128">
        <f>+Actuals!T144</f>
        <v>0</v>
      </c>
      <c r="X47" s="130">
        <f>+Actuals!U144</f>
        <v>0</v>
      </c>
      <c r="Y47" s="131">
        <f>+Actuals!V144</f>
        <v>0</v>
      </c>
      <c r="Z47" s="130">
        <f>+Actuals!W144</f>
        <v>0</v>
      </c>
      <c r="AA47" s="131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+Actuals!AE144</f>
        <v>0</v>
      </c>
      <c r="AI47" s="131">
        <f>+Actuals!AF144</f>
        <v>0</v>
      </c>
      <c r="AJ47" s="130">
        <f>+Actuals!AG144</f>
        <v>0</v>
      </c>
      <c r="AK47" s="131">
        <f>+Actuals!AH144</f>
        <v>0</v>
      </c>
      <c r="AL47" s="130">
        <f>+Actuals!AI144</f>
        <v>0</v>
      </c>
      <c r="AM47" s="131">
        <f>+Actuals!AJ144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-47242</v>
      </c>
      <c r="E49" s="38">
        <f>SUM(G49,I49,K49,M49,O49,Q49,S49,U49,W49,Y49,AA49,AC49,AE49,AG49,AI49,AK49,AM49)</f>
        <v>-105208.01</v>
      </c>
      <c r="F49" s="60">
        <f>'TIE-OUT'!X49+RECLASS!X49</f>
        <v>0</v>
      </c>
      <c r="G49" s="38">
        <f>'TIE-OUT'!Y49+RECLASS!Y49</f>
        <v>0</v>
      </c>
      <c r="H49" s="130">
        <f>+Actuals!E105</f>
        <v>0</v>
      </c>
      <c r="I49" s="131">
        <f>+Actuals!F105</f>
        <v>0</v>
      </c>
      <c r="J49" s="130">
        <v>-5212929</v>
      </c>
      <c r="K49" s="147">
        <v>-11609193</v>
      </c>
      <c r="L49" s="130">
        <v>-1051113</v>
      </c>
      <c r="M49" s="131">
        <v>-2340829</v>
      </c>
      <c r="N49" s="130">
        <f>+Actuals!K105</f>
        <v>0</v>
      </c>
      <c r="O49" s="131">
        <f>+Actuals!L105</f>
        <v>0</v>
      </c>
      <c r="P49" s="130">
        <v>6250430</v>
      </c>
      <c r="Q49" s="131">
        <v>13919708</v>
      </c>
      <c r="R49" s="130">
        <f>+Actuals!O105</f>
        <v>0</v>
      </c>
      <c r="S49" s="131">
        <f>+Actuals!P105</f>
        <v>0</v>
      </c>
      <c r="T49" s="130">
        <f>+Actuals!Q105</f>
        <v>0</v>
      </c>
      <c r="U49" s="131">
        <f>+Actuals!R105</f>
        <v>0</v>
      </c>
      <c r="V49" s="127">
        <f>+Actuals!S145</f>
        <v>0</v>
      </c>
      <c r="W49" s="128">
        <f>+Actuals!T145</f>
        <v>0</v>
      </c>
      <c r="X49" s="130">
        <f>+Actuals!U145</f>
        <v>0</v>
      </c>
      <c r="Y49" s="131">
        <f>+Actuals!V145</f>
        <v>0</v>
      </c>
      <c r="Z49" s="130">
        <f>+Actuals!W145</f>
        <v>0</v>
      </c>
      <c r="AA49" s="131">
        <f>+Actuals!X145</f>
        <v>0</v>
      </c>
      <c r="AB49" s="130">
        <f>+Actuals!Y145</f>
        <v>0</v>
      </c>
      <c r="AC49" s="131">
        <f>+Actuals!Z145</f>
        <v>0</v>
      </c>
      <c r="AD49" s="130">
        <f>+Actuals!AA145</f>
        <v>-33630</v>
      </c>
      <c r="AE49" s="131">
        <f>+Actuals!AB145</f>
        <v>-74894.009999999995</v>
      </c>
      <c r="AF49" s="130">
        <f>+Actuals!AC145</f>
        <v>0</v>
      </c>
      <c r="AG49" s="131">
        <f>+Actuals!AD145</f>
        <v>0</v>
      </c>
      <c r="AH49" s="130">
        <f>+Actuals!AE145</f>
        <v>0</v>
      </c>
      <c r="AI49" s="131">
        <f>+Actuals!AF145</f>
        <v>0</v>
      </c>
      <c r="AJ49" s="130">
        <f>+Actuals!AG145</f>
        <v>0</v>
      </c>
      <c r="AK49" s="131">
        <f>+Actuals!AH145</f>
        <v>0</v>
      </c>
      <c r="AL49" s="130">
        <f>+Actuals!AI145</f>
        <v>0</v>
      </c>
      <c r="AM49" s="131">
        <f>+Actuals!AJ145</f>
        <v>0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-514013</v>
      </c>
      <c r="E51" s="38">
        <f>SUM(G51,I51,K51,M51,O51,Q51,S51,U51,W51,Y51,AA51,AC51,AE51,AG51,AI51,AK51,AM51)</f>
        <v>-1144707</v>
      </c>
      <c r="F51" s="60">
        <f>'TIE-OUT'!X51+RECLASS!X51</f>
        <v>0</v>
      </c>
      <c r="G51" s="38">
        <f>'TIE-OUT'!Y51+RECLASS!Y51</f>
        <v>0</v>
      </c>
      <c r="H51" s="130">
        <f>+Actuals!E106-541480</f>
        <v>-541480</v>
      </c>
      <c r="I51" s="131">
        <f>+Actuals!F106-1205876</f>
        <v>-1205876</v>
      </c>
      <c r="J51" s="130">
        <v>27286</v>
      </c>
      <c r="K51" s="147">
        <v>60766</v>
      </c>
      <c r="L51" s="130">
        <v>181</v>
      </c>
      <c r="M51" s="131">
        <v>403</v>
      </c>
      <c r="N51" s="130">
        <f>+Actuals!K106</f>
        <v>0</v>
      </c>
      <c r="O51" s="131">
        <f>+Actuals!L106</f>
        <v>0</v>
      </c>
      <c r="P51" s="130">
        <v>0</v>
      </c>
      <c r="Q51" s="131">
        <v>0</v>
      </c>
      <c r="R51" s="130">
        <f>+Actuals!O106</f>
        <v>0</v>
      </c>
      <c r="S51" s="131">
        <f>+Actuals!P106</f>
        <v>0</v>
      </c>
      <c r="T51" s="130">
        <f>+Actuals!Q106</f>
        <v>0</v>
      </c>
      <c r="U51" s="131">
        <f>+Actuals!R106</f>
        <v>0</v>
      </c>
      <c r="V51" s="127">
        <f>+Actuals!S146</f>
        <v>0</v>
      </c>
      <c r="W51" s="128">
        <f>+Actuals!T146</f>
        <v>0</v>
      </c>
      <c r="X51" s="130">
        <f>+Actuals!U146</f>
        <v>0</v>
      </c>
      <c r="Y51" s="131">
        <f>+Actuals!V146</f>
        <v>0</v>
      </c>
      <c r="Z51" s="130">
        <f>+Actuals!W146</f>
        <v>0</v>
      </c>
      <c r="AA51" s="131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+Actuals!AE146</f>
        <v>0</v>
      </c>
      <c r="AI51" s="131">
        <f>+Actuals!AF146</f>
        <v>0</v>
      </c>
      <c r="AJ51" s="130">
        <f>+Actuals!AG146</f>
        <v>0</v>
      </c>
      <c r="AK51" s="131">
        <f>+Actuals!AH146</f>
        <v>0</v>
      </c>
      <c r="AL51" s="130">
        <f>+Actuals!AI146</f>
        <v>0</v>
      </c>
      <c r="AM51" s="131">
        <f>+Actuals!AJ146</f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-16652170</v>
      </c>
      <c r="E54" s="38">
        <f>SUM(G54,I54,K54,M54,O54,Q54,S54,U54,W54,Y54,AA54,AC54,AE54,AG54,AI54,AK54,AM54)</f>
        <v>-569364</v>
      </c>
      <c r="F54" s="64">
        <f>'TIE-OUT'!X54+RECLASS!X54</f>
        <v>0</v>
      </c>
      <c r="G54" s="68">
        <f>'TIE-OUT'!Y54+RECLASS!Y54</f>
        <v>262729</v>
      </c>
      <c r="H54" s="130">
        <f>+Actuals!E107-9676810-11175895</f>
        <v>-20852705</v>
      </c>
      <c r="I54" s="131">
        <f>+Actuals!F107-280883-448031</f>
        <v>-728914</v>
      </c>
      <c r="J54" s="130">
        <v>-1587911</v>
      </c>
      <c r="K54" s="147">
        <f>239045-342224</f>
        <v>-103179</v>
      </c>
      <c r="L54" s="130">
        <v>5788446</v>
      </c>
      <c r="M54" s="131">
        <f>+Actuals!J107</f>
        <v>0</v>
      </c>
      <c r="N54" s="130">
        <f>+Actuals!K107</f>
        <v>0</v>
      </c>
      <c r="O54" s="131">
        <f>+Actuals!L107</f>
        <v>0</v>
      </c>
      <c r="P54" s="130">
        <f>+Actuals!M107</f>
        <v>0</v>
      </c>
      <c r="Q54" s="131">
        <f>+Actuals!N107</f>
        <v>0</v>
      </c>
      <c r="R54" s="130">
        <f>+Actuals!O107</f>
        <v>0</v>
      </c>
      <c r="S54" s="131">
        <f>+Actuals!P107</f>
        <v>0</v>
      </c>
      <c r="T54" s="130">
        <f>+Actuals!Q107</f>
        <v>0</v>
      </c>
      <c r="U54" s="131">
        <f>+Actuals!R107</f>
        <v>0</v>
      </c>
      <c r="V54" s="127">
        <f>+Actuals!S147</f>
        <v>0</v>
      </c>
      <c r="W54" s="128">
        <f>+Actuals!T147</f>
        <v>0</v>
      </c>
      <c r="X54" s="130">
        <f>+Actuals!U147</f>
        <v>0</v>
      </c>
      <c r="Y54" s="131">
        <f>+Actuals!V147</f>
        <v>0</v>
      </c>
      <c r="Z54" s="130">
        <f>+Actuals!W147</f>
        <v>0</v>
      </c>
      <c r="AA54" s="131">
        <f>+Actuals!X147</f>
        <v>0</v>
      </c>
      <c r="AB54" s="130">
        <f>+Actuals!Y147</f>
        <v>0</v>
      </c>
      <c r="AC54" s="131">
        <f>+Actuals!Z147</f>
        <v>0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f>+Actuals!AE147</f>
        <v>0</v>
      </c>
      <c r="AI54" s="131">
        <f>+Actuals!AF147</f>
        <v>0</v>
      </c>
      <c r="AJ54" s="130">
        <f>+Actuals!AG147</f>
        <v>0</v>
      </c>
      <c r="AK54" s="131">
        <f>+Actuals!AH147</f>
        <v>0</v>
      </c>
      <c r="AL54" s="130">
        <f>+Actuals!AI147</f>
        <v>0</v>
      </c>
      <c r="AM54" s="131">
        <f>+Actuals!AJ147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-10080057</v>
      </c>
      <c r="F55" s="81">
        <f>'TIE-OUT'!X55+RECLASS!X55</f>
        <v>0</v>
      </c>
      <c r="G55" s="82">
        <f>'TIE-OUT'!Y55+RECLASS!Y55</f>
        <v>-1810205</v>
      </c>
      <c r="H55" s="130">
        <f>+Actuals!E108</f>
        <v>0</v>
      </c>
      <c r="I55" s="131">
        <f>+Actuals!F108-8640365</f>
        <v>-8640365</v>
      </c>
      <c r="J55" s="130">
        <f>+Actuals!G108</f>
        <v>0</v>
      </c>
      <c r="K55" s="147">
        <v>342224</v>
      </c>
      <c r="L55" s="130">
        <f>+Actuals!I108</f>
        <v>0</v>
      </c>
      <c r="M55" s="131">
        <f>+Actuals!J108</f>
        <v>0</v>
      </c>
      <c r="N55" s="130">
        <f>+Actuals!K108</f>
        <v>0</v>
      </c>
      <c r="O55" s="131">
        <v>28289</v>
      </c>
      <c r="P55" s="130">
        <f>+Actuals!M108</f>
        <v>0</v>
      </c>
      <c r="Q55" s="131">
        <v>0</v>
      </c>
      <c r="R55" s="130">
        <f>+Actuals!O108</f>
        <v>0</v>
      </c>
      <c r="S55" s="131">
        <f>+Actuals!P108</f>
        <v>0</v>
      </c>
      <c r="T55" s="130">
        <f>+Actuals!Q108</f>
        <v>0</v>
      </c>
      <c r="U55" s="131">
        <f>+Actuals!R108</f>
        <v>0</v>
      </c>
      <c r="V55" s="127">
        <f>+Actuals!S148</f>
        <v>0</v>
      </c>
      <c r="W55" s="128">
        <f>+Actuals!T148</f>
        <v>0</v>
      </c>
      <c r="X55" s="130">
        <f>+Actuals!U148</f>
        <v>0</v>
      </c>
      <c r="Y55" s="131">
        <f>+Actuals!V148</f>
        <v>0</v>
      </c>
      <c r="Z55" s="130">
        <f>+Actuals!W148</f>
        <v>0</v>
      </c>
      <c r="AA55" s="131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+Actuals!AE148</f>
        <v>0</v>
      </c>
      <c r="AI55" s="131">
        <f>+Actuals!AF148</f>
        <v>0</v>
      </c>
      <c r="AJ55" s="130">
        <f>+Actuals!AG148</f>
        <v>0</v>
      </c>
      <c r="AK55" s="131">
        <f>+Actuals!AH148</f>
        <v>0</v>
      </c>
      <c r="AL55" s="130">
        <f>+Actuals!AI148</f>
        <v>0</v>
      </c>
      <c r="AM55" s="131">
        <f>+Actuals!AJ148</f>
        <v>0</v>
      </c>
    </row>
    <row r="56" spans="1:39" x14ac:dyDescent="0.25">
      <c r="A56" s="9"/>
      <c r="B56" s="7" t="s">
        <v>60</v>
      </c>
      <c r="C56" s="6"/>
      <c r="D56" s="61">
        <f t="shared" ref="D56:W56" si="22">SUM(D54:D55)</f>
        <v>-16652170</v>
      </c>
      <c r="E56" s="39">
        <f t="shared" si="22"/>
        <v>-10649421</v>
      </c>
      <c r="F56" s="61">
        <f t="shared" si="22"/>
        <v>0</v>
      </c>
      <c r="G56" s="39">
        <f t="shared" si="22"/>
        <v>-1547476</v>
      </c>
      <c r="H56" s="61">
        <f t="shared" si="22"/>
        <v>-20852705</v>
      </c>
      <c r="I56" s="39">
        <f t="shared" si="22"/>
        <v>-9369279</v>
      </c>
      <c r="J56" s="61">
        <f t="shared" si="22"/>
        <v>-1587911</v>
      </c>
      <c r="K56" s="148">
        <f t="shared" si="22"/>
        <v>239045</v>
      </c>
      <c r="L56" s="61">
        <f t="shared" si="22"/>
        <v>5788446</v>
      </c>
      <c r="M56" s="39">
        <f t="shared" si="22"/>
        <v>0</v>
      </c>
      <c r="N56" s="61">
        <f t="shared" si="22"/>
        <v>0</v>
      </c>
      <c r="O56" s="39">
        <f t="shared" si="22"/>
        <v>28289</v>
      </c>
      <c r="P56" s="61">
        <f>SUM(P54:P55)</f>
        <v>0</v>
      </c>
      <c r="Q56" s="39">
        <f>SUM(Q54:Q55)</f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ref="X56:AC56" si="23">SUM(X54:X55)</f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-46</v>
      </c>
      <c r="F59" s="64">
        <f>'TIE-OUT'!X59+RECLASS!X59</f>
        <v>0</v>
      </c>
      <c r="G59" s="68">
        <f>'TIE-OUT'!Y59+RECLASS!Y59</f>
        <v>0</v>
      </c>
      <c r="H59" s="130">
        <f>+Actuals!E109</f>
        <v>0</v>
      </c>
      <c r="I59" s="131">
        <f>+Actuals!F109</f>
        <v>0</v>
      </c>
      <c r="J59" s="130">
        <f>+Actuals!G109</f>
        <v>0</v>
      </c>
      <c r="K59" s="147">
        <f>+Actuals!H109</f>
        <v>0</v>
      </c>
      <c r="L59" s="130">
        <f>+Actuals!I109</f>
        <v>0</v>
      </c>
      <c r="M59" s="131">
        <v>-46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30">
        <f>+Actuals!Q109</f>
        <v>0</v>
      </c>
      <c r="U59" s="131">
        <f>+Actuals!R109</f>
        <v>0</v>
      </c>
      <c r="V59" s="127">
        <f>+Actuals!S149</f>
        <v>0</v>
      </c>
      <c r="W59" s="128">
        <f>+Actuals!T149</f>
        <v>0</v>
      </c>
      <c r="X59" s="130">
        <f>+Actuals!U149</f>
        <v>0</v>
      </c>
      <c r="Y59" s="131">
        <f>+Actuals!V149</f>
        <v>0</v>
      </c>
      <c r="Z59" s="130">
        <f>+Actuals!W149</f>
        <v>0</v>
      </c>
      <c r="AA59" s="131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+Actuals!AE149</f>
        <v>0</v>
      </c>
      <c r="AI59" s="131">
        <f>+Actuals!AF149</f>
        <v>0</v>
      </c>
      <c r="AJ59" s="130">
        <f>+Actuals!AG149</f>
        <v>0</v>
      </c>
      <c r="AK59" s="131">
        <f>+Actuals!AH149</f>
        <v>0</v>
      </c>
      <c r="AL59" s="130">
        <f>+Actuals!AI149</f>
        <v>0</v>
      </c>
      <c r="AM59" s="131">
        <f>+Actuals!AJ149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'TIE-OUT'!X60+RECLASS!X60</f>
        <v>0</v>
      </c>
      <c r="G60" s="82">
        <f>'TIE-OUT'!Y60+RECLASS!Y60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30">
        <f>+Actuals!Q110</f>
        <v>0</v>
      </c>
      <c r="U60" s="131">
        <f>+Actuals!R110</f>
        <v>0</v>
      </c>
      <c r="V60" s="127">
        <f>+Actuals!S150</f>
        <v>0</v>
      </c>
      <c r="W60" s="128">
        <f>+Actuals!T150</f>
        <v>0</v>
      </c>
      <c r="X60" s="130">
        <f>+Actuals!U150</f>
        <v>0</v>
      </c>
      <c r="Y60" s="131">
        <f>+Actuals!V150</f>
        <v>0</v>
      </c>
      <c r="Z60" s="130">
        <f>+Actuals!W150</f>
        <v>0</v>
      </c>
      <c r="AA60" s="131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+Actuals!AE150</f>
        <v>0</v>
      </c>
      <c r="AI60" s="131">
        <f>+Actuals!AF150</f>
        <v>0</v>
      </c>
      <c r="AJ60" s="130">
        <f>+Actuals!AG150</f>
        <v>0</v>
      </c>
      <c r="AK60" s="131">
        <f>+Actuals!AH150</f>
        <v>0</v>
      </c>
      <c r="AL60" s="130">
        <f>+Actuals!AI150</f>
        <v>0</v>
      </c>
      <c r="AM60" s="131">
        <f>+Actuals!AJ150</f>
        <v>0</v>
      </c>
    </row>
    <row r="61" spans="1:39" x14ac:dyDescent="0.25">
      <c r="A61" s="9"/>
      <c r="B61" s="62" t="s">
        <v>64</v>
      </c>
      <c r="C61" s="6"/>
      <c r="D61" s="61">
        <f t="shared" ref="D61:W61" si="25">SUM(D59:D60)</f>
        <v>0</v>
      </c>
      <c r="E61" s="39">
        <f t="shared" si="25"/>
        <v>-46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-46</v>
      </c>
      <c r="N61" s="61">
        <f t="shared" si="25"/>
        <v>0</v>
      </c>
      <c r="O61" s="39">
        <f t="shared" si="25"/>
        <v>0</v>
      </c>
      <c r="P61" s="61">
        <f>SUM(P59:P60)</f>
        <v>0</v>
      </c>
      <c r="Q61" s="39">
        <f>SUM(Q59:Q60)</f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ref="X61:AC61" si="26">SUM(X59:X60)</f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'TIE-OUT'!X64+RECLASS!X64</f>
        <v>0</v>
      </c>
      <c r="G64" s="68">
        <f>'TIE-OUT'!Y64+RECLASS!Y64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30">
        <f>+Actuals!Q111</f>
        <v>0</v>
      </c>
      <c r="U64" s="131">
        <f>+Actuals!R111</f>
        <v>0</v>
      </c>
      <c r="V64" s="127">
        <f>+Actuals!S151</f>
        <v>0</v>
      </c>
      <c r="W64" s="128">
        <f>+Actuals!T151</f>
        <v>0</v>
      </c>
      <c r="X64" s="130">
        <f>+Actuals!U151</f>
        <v>0</v>
      </c>
      <c r="Y64" s="131">
        <f>+Actuals!V151</f>
        <v>0</v>
      </c>
      <c r="Z64" s="130">
        <f>+Actuals!W151</f>
        <v>0</v>
      </c>
      <c r="AA64" s="131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+Actuals!AE151</f>
        <v>0</v>
      </c>
      <c r="AI64" s="131">
        <f>+Actuals!AF151</f>
        <v>0</v>
      </c>
      <c r="AJ64" s="130">
        <f>+Actuals!AG151</f>
        <v>0</v>
      </c>
      <c r="AK64" s="131">
        <f>+Actuals!AH151</f>
        <v>0</v>
      </c>
      <c r="AL64" s="130">
        <f>+Actuals!AI151</f>
        <v>0</v>
      </c>
      <c r="AM64" s="131">
        <f>+Actuals!AJ151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'TIE-OUT'!X65+RECLASS!X65</f>
        <v>0</v>
      </c>
      <c r="G65" s="82">
        <f>'TIE-OUT'!Y65+RECLASS!Y65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30">
        <f>+Actuals!Q112</f>
        <v>0</v>
      </c>
      <c r="U65" s="131">
        <f>+Actuals!R112</f>
        <v>0</v>
      </c>
      <c r="V65" s="127">
        <f>+Actuals!S152</f>
        <v>0</v>
      </c>
      <c r="W65" s="128">
        <f>+Actuals!T152</f>
        <v>0</v>
      </c>
      <c r="X65" s="130">
        <f>+Actuals!U152</f>
        <v>0</v>
      </c>
      <c r="Y65" s="131">
        <f>+Actuals!V152</f>
        <v>0</v>
      </c>
      <c r="Z65" s="130">
        <f>+Actuals!W152</f>
        <v>0</v>
      </c>
      <c r="AA65" s="131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+Actuals!AE152</f>
        <v>0</v>
      </c>
      <c r="AI65" s="131">
        <f>+Actuals!AF152</f>
        <v>0</v>
      </c>
      <c r="AJ65" s="130">
        <f>+Actuals!AG152</f>
        <v>0</v>
      </c>
      <c r="AK65" s="131">
        <f>+Actuals!AH152</f>
        <v>0</v>
      </c>
      <c r="AL65" s="130">
        <f>+Actuals!AI152</f>
        <v>0</v>
      </c>
      <c r="AM65" s="131">
        <f>+Actuals!AJ152</f>
        <v>0</v>
      </c>
    </row>
    <row r="66" spans="1:39" x14ac:dyDescent="0.25">
      <c r="A66" s="9"/>
      <c r="B66" s="7" t="s">
        <v>67</v>
      </c>
      <c r="C66" s="6"/>
      <c r="D66" s="61">
        <f t="shared" ref="D66:W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>SUM(P64:P65)</f>
        <v>0</v>
      </c>
      <c r="Q66" s="39">
        <f>SUM(Q64:Q65)</f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ref="X66:AC66" si="29">SUM(X64:X65)</f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6075072.7400000002</v>
      </c>
      <c r="F70" s="64">
        <f>'TIE-OUT'!X70+RECLASS!X70</f>
        <v>0</v>
      </c>
      <c r="G70" s="68">
        <f>'TIE-OUT'!Y70+RECLASS!Y70</f>
        <v>6075072.7400000002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30">
        <f>+Actuals!Q113</f>
        <v>0</v>
      </c>
      <c r="U70" s="131">
        <f>+Actuals!R113</f>
        <v>0</v>
      </c>
      <c r="V70" s="127">
        <f>+Actuals!S153</f>
        <v>0</v>
      </c>
      <c r="W70" s="128">
        <f>+Actuals!T153</f>
        <v>0</v>
      </c>
      <c r="X70" s="130">
        <f>+Actuals!U153</f>
        <v>0</v>
      </c>
      <c r="Y70" s="131">
        <f>+Actuals!V153</f>
        <v>0</v>
      </c>
      <c r="Z70" s="130">
        <f>+Actuals!W153</f>
        <v>0</v>
      </c>
      <c r="AA70" s="131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+Actuals!AE153</f>
        <v>0</v>
      </c>
      <c r="AI70" s="131">
        <f>+Actuals!AF153</f>
        <v>0</v>
      </c>
      <c r="AJ70" s="130">
        <f>+Actuals!AG153</f>
        <v>0</v>
      </c>
      <c r="AK70" s="131">
        <f>+Actuals!AH153</f>
        <v>0</v>
      </c>
      <c r="AL70" s="130">
        <f>+Actuals!AI153</f>
        <v>0</v>
      </c>
      <c r="AM70" s="131">
        <f>+Actuals!AJ153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-5981501.7300000004</v>
      </c>
      <c r="F71" s="81">
        <f>'TIE-OUT'!X71+RECLASS!X71</f>
        <v>0</v>
      </c>
      <c r="G71" s="82">
        <f>'TIE-OUT'!Y71+RECLASS!Y71</f>
        <v>-5981501.7300000004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30">
        <f>+Actuals!Q114</f>
        <v>0</v>
      </c>
      <c r="U71" s="131">
        <f>+Actuals!R114</f>
        <v>0</v>
      </c>
      <c r="V71" s="127">
        <f>+Actuals!S154</f>
        <v>0</v>
      </c>
      <c r="W71" s="128">
        <f>+Actuals!T154</f>
        <v>0</v>
      </c>
      <c r="X71" s="130">
        <f>+Actuals!U154</f>
        <v>0</v>
      </c>
      <c r="Y71" s="131">
        <f>+Actuals!V154</f>
        <v>0</v>
      </c>
      <c r="Z71" s="130">
        <f>+Actuals!W154</f>
        <v>0</v>
      </c>
      <c r="AA71" s="131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+Actuals!AE154</f>
        <v>0</v>
      </c>
      <c r="AI71" s="131">
        <f>+Actuals!AF154</f>
        <v>0</v>
      </c>
      <c r="AJ71" s="130">
        <f>+Actuals!AG154</f>
        <v>0</v>
      </c>
      <c r="AK71" s="131">
        <f>+Actuals!AH154</f>
        <v>0</v>
      </c>
      <c r="AL71" s="130">
        <f>+Actuals!AI154</f>
        <v>0</v>
      </c>
      <c r="AM71" s="131">
        <f>+Actuals!AJ154</f>
        <v>0</v>
      </c>
    </row>
    <row r="72" spans="1:39" x14ac:dyDescent="0.25">
      <c r="A72" s="9"/>
      <c r="B72" s="3"/>
      <c r="C72" s="55" t="s">
        <v>72</v>
      </c>
      <c r="D72" s="61">
        <f t="shared" ref="D72:W72" si="31">SUM(D70:D71)</f>
        <v>0</v>
      </c>
      <c r="E72" s="39">
        <f t="shared" si="31"/>
        <v>93571.009999999776</v>
      </c>
      <c r="F72" s="61">
        <f t="shared" si="31"/>
        <v>0</v>
      </c>
      <c r="G72" s="39">
        <f t="shared" si="31"/>
        <v>93571.009999999776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>SUM(P70:P71)</f>
        <v>0</v>
      </c>
      <c r="Q72" s="39">
        <f>SUM(Q70:Q71)</f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ref="X72:AC72" si="32">SUM(X70:X71)</f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'TIE-OUT'!X73+RECLASS!X73</f>
        <v>0</v>
      </c>
      <c r="G73" s="60">
        <f>'TIE-OUT'!Y73+RECLASS!Y73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30">
        <f>+Actuals!Q115</f>
        <v>0</v>
      </c>
      <c r="U73" s="131">
        <f>+Actuals!R115</f>
        <v>0</v>
      </c>
      <c r="V73" s="127">
        <f>+Actuals!S155</f>
        <v>0</v>
      </c>
      <c r="W73" s="128">
        <f>+Actuals!T155</f>
        <v>0</v>
      </c>
      <c r="X73" s="130">
        <f>+Actuals!U155</f>
        <v>0</v>
      </c>
      <c r="Y73" s="131">
        <f>+Actuals!V155</f>
        <v>0</v>
      </c>
      <c r="Z73" s="130">
        <f>+Actuals!W155</f>
        <v>0</v>
      </c>
      <c r="AA73" s="131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+Actuals!AE155</f>
        <v>0</v>
      </c>
      <c r="AI73" s="131">
        <f>+Actuals!AF155</f>
        <v>0</v>
      </c>
      <c r="AJ73" s="130">
        <f>+Actuals!AG155</f>
        <v>0</v>
      </c>
      <c r="AK73" s="131">
        <f>+Actuals!AH155</f>
        <v>0</v>
      </c>
      <c r="AL73" s="130">
        <f>+Actuals!AI155</f>
        <v>0</v>
      </c>
      <c r="AM73" s="131">
        <f>+Actuals!AJ155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762348</v>
      </c>
      <c r="F74" s="60">
        <f>'TIE-OUT'!X74+RECLASS!X74</f>
        <v>0</v>
      </c>
      <c r="G74" s="60">
        <f>'TIE-OUT'!Y74+RECLASS!Y74</f>
        <v>762348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30">
        <f>+Actuals!Q116</f>
        <v>0</v>
      </c>
      <c r="U74" s="131">
        <f>+Actuals!R116</f>
        <v>0</v>
      </c>
      <c r="V74" s="127">
        <f>+Actuals!S156</f>
        <v>0</v>
      </c>
      <c r="W74" s="128">
        <f>+Actuals!T156</f>
        <v>0</v>
      </c>
      <c r="X74" s="130">
        <f>+Actuals!U156</f>
        <v>0</v>
      </c>
      <c r="Y74" s="131">
        <f>+Actuals!V156</f>
        <v>0</v>
      </c>
      <c r="Z74" s="130">
        <f>+Actuals!W156</f>
        <v>0</v>
      </c>
      <c r="AA74" s="131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+Actuals!AE156</f>
        <v>0</v>
      </c>
      <c r="AI74" s="131">
        <f>+Actuals!AF156</f>
        <v>0</v>
      </c>
      <c r="AJ74" s="130">
        <f>+Actuals!AG156</f>
        <v>0</v>
      </c>
      <c r="AK74" s="131">
        <f>+Actuals!AH156</f>
        <v>0</v>
      </c>
      <c r="AL74" s="130">
        <f>+Actuals!AI156</f>
        <v>0</v>
      </c>
      <c r="AM74" s="131">
        <f>+Actuals!AJ156</f>
        <v>0</v>
      </c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0</v>
      </c>
      <c r="F75" s="60">
        <f>'TIE-OUT'!X75+RECLASS!X75</f>
        <v>0</v>
      </c>
      <c r="G75" s="60">
        <f>'TIE-OUT'!Y75+RECLASS!Y75</f>
        <v>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30">
        <f>+Actuals!Q117</f>
        <v>0</v>
      </c>
      <c r="U75" s="131">
        <f>+Actuals!R117</f>
        <v>0</v>
      </c>
      <c r="V75" s="127">
        <f>+Actuals!S157</f>
        <v>0</v>
      </c>
      <c r="W75" s="128">
        <f>+Actuals!T157</f>
        <v>0</v>
      </c>
      <c r="X75" s="130">
        <f>+Actuals!U157</f>
        <v>0</v>
      </c>
      <c r="Y75" s="131">
        <f>+Actuals!V157</f>
        <v>0</v>
      </c>
      <c r="Z75" s="130">
        <f>+Actuals!W157</f>
        <v>0</v>
      </c>
      <c r="AA75" s="131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+Actuals!AE157</f>
        <v>0</v>
      </c>
      <c r="AI75" s="131">
        <f>+Actuals!AF157</f>
        <v>0</v>
      </c>
      <c r="AJ75" s="130">
        <f>+Actuals!AG157</f>
        <v>0</v>
      </c>
      <c r="AK75" s="131">
        <f>+Actuals!AH157</f>
        <v>0</v>
      </c>
      <c r="AL75" s="130">
        <f>+Actuals!AI157</f>
        <v>0</v>
      </c>
      <c r="AM75" s="131">
        <f>+Actuals!AJ157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0</v>
      </c>
      <c r="F76" s="60">
        <f>'TIE-OUT'!X76+RECLASS!X76</f>
        <v>0</v>
      </c>
      <c r="G76" s="60">
        <f>'TIE-OUT'!Y76+RECLASS!Y76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30">
        <f>+Actuals!Q118</f>
        <v>0</v>
      </c>
      <c r="U76" s="131">
        <f>+Actuals!R118</f>
        <v>0</v>
      </c>
      <c r="V76" s="127">
        <f>+Actuals!S158</f>
        <v>0</v>
      </c>
      <c r="W76" s="128">
        <f>+Actuals!T158</f>
        <v>0</v>
      </c>
      <c r="X76" s="130">
        <f>+Actuals!U158</f>
        <v>0</v>
      </c>
      <c r="Y76" s="131">
        <f>+Actuals!V158</f>
        <v>0</v>
      </c>
      <c r="Z76" s="130">
        <f>+Actuals!W158</f>
        <v>0</v>
      </c>
      <c r="AA76" s="131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+Actuals!AE158</f>
        <v>0</v>
      </c>
      <c r="AI76" s="131">
        <f>+Actuals!AF158</f>
        <v>0</v>
      </c>
      <c r="AJ76" s="130">
        <f>+Actuals!AG158</f>
        <v>0</v>
      </c>
      <c r="AK76" s="131">
        <f>+Actuals!AH158</f>
        <v>0</v>
      </c>
      <c r="AL76" s="130">
        <f>+Actuals!AI158</f>
        <v>0</v>
      </c>
      <c r="AM76" s="131">
        <f>+Actuals!AJ158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9954543</v>
      </c>
      <c r="F77" s="60">
        <f>'TIE-OUT'!X77+RECLASS!X77</f>
        <v>0</v>
      </c>
      <c r="G77" s="60">
        <f>'TIE-OUT'!Y77+RECLASS!Y77</f>
        <v>9954543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30">
        <f>+Actuals!Q119</f>
        <v>0</v>
      </c>
      <c r="U77" s="131">
        <f>+Actuals!R119</f>
        <v>0</v>
      </c>
      <c r="V77" s="127">
        <f>+Actuals!S159</f>
        <v>0</v>
      </c>
      <c r="W77" s="128">
        <f>+Actuals!T159</f>
        <v>0</v>
      </c>
      <c r="X77" s="130">
        <f>+Actuals!U159</f>
        <v>0</v>
      </c>
      <c r="Y77" s="131">
        <f>+Actuals!V159</f>
        <v>0</v>
      </c>
      <c r="Z77" s="130">
        <f>+Actuals!W159</f>
        <v>0</v>
      </c>
      <c r="AA77" s="131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+Actuals!AE159</f>
        <v>0</v>
      </c>
      <c r="AI77" s="131">
        <f>+Actuals!AF159</f>
        <v>0</v>
      </c>
      <c r="AJ77" s="130">
        <f>+Actuals!AG159</f>
        <v>0</v>
      </c>
      <c r="AK77" s="131">
        <f>+Actuals!AH159</f>
        <v>0</v>
      </c>
      <c r="AL77" s="130">
        <f>+Actuals!AI159</f>
        <v>0</v>
      </c>
      <c r="AM77" s="131">
        <f>+Actuals!AJ159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'TIE-OUT'!X78+RECLASS!X78</f>
        <v>0</v>
      </c>
      <c r="G78" s="60">
        <f>'TIE-OUT'!Y78+RECLASS!Y78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30">
        <f>+Actuals!Q120</f>
        <v>0</v>
      </c>
      <c r="U78" s="131">
        <f>+Actuals!R120</f>
        <v>0</v>
      </c>
      <c r="V78" s="127">
        <f>+Actuals!S160</f>
        <v>0</v>
      </c>
      <c r="W78" s="128">
        <f>+Actuals!T160</f>
        <v>0</v>
      </c>
      <c r="X78" s="130">
        <f>+Actuals!U160</f>
        <v>0</v>
      </c>
      <c r="Y78" s="131">
        <f>+Actuals!V160</f>
        <v>0</v>
      </c>
      <c r="Z78" s="130">
        <f>+Actuals!W160</f>
        <v>0</v>
      </c>
      <c r="AA78" s="131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+Actuals!AE160</f>
        <v>0</v>
      </c>
      <c r="AI78" s="131">
        <f>+Actuals!AF160</f>
        <v>0</v>
      </c>
      <c r="AJ78" s="130">
        <f>+Actuals!AG160</f>
        <v>0</v>
      </c>
      <c r="AK78" s="131">
        <f>+Actuals!AH160</f>
        <v>0</v>
      </c>
      <c r="AL78" s="130">
        <f>+Actuals!AI160</f>
        <v>0</v>
      </c>
      <c r="AM78" s="131">
        <f>+Actuals!AJ160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'TIE-OUT'!X79+RECLASS!X79</f>
        <v>0</v>
      </c>
      <c r="G79" s="60">
        <f>'TIE-OUT'!Y79+RECLASS!Y79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30">
        <f>+Actuals!Q121</f>
        <v>0</v>
      </c>
      <c r="U79" s="131">
        <f>+Actuals!R121</f>
        <v>0</v>
      </c>
      <c r="V79" s="127">
        <f>+Actuals!S161</f>
        <v>0</v>
      </c>
      <c r="W79" s="128">
        <f>+Actuals!T161</f>
        <v>0</v>
      </c>
      <c r="X79" s="130">
        <f>+Actuals!U161</f>
        <v>0</v>
      </c>
      <c r="Y79" s="131">
        <f>+Actuals!V161</f>
        <v>0</v>
      </c>
      <c r="Z79" s="130">
        <f>+Actuals!W161</f>
        <v>0</v>
      </c>
      <c r="AA79" s="131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+Actuals!AE161</f>
        <v>0</v>
      </c>
      <c r="AI79" s="131">
        <f>+Actuals!AF161</f>
        <v>0</v>
      </c>
      <c r="AJ79" s="130">
        <f>+Actuals!AG161</f>
        <v>0</v>
      </c>
      <c r="AK79" s="131">
        <f>+Actuals!AH161</f>
        <v>0</v>
      </c>
      <c r="AL79" s="130">
        <f>+Actuals!AI161</f>
        <v>0</v>
      </c>
      <c r="AM79" s="131">
        <f>+Actuals!AJ161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'TIE-OUT'!X80+RECLASS!X80</f>
        <v>0</v>
      </c>
      <c r="G80" s="60">
        <f>'TIE-OUT'!Y80+RECLASS!Y80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30">
        <f>+Actuals!Q122</f>
        <v>0</v>
      </c>
      <c r="U80" s="131">
        <f>+Actuals!R122</f>
        <v>0</v>
      </c>
      <c r="V80" s="127">
        <f>+Actuals!S162</f>
        <v>0</v>
      </c>
      <c r="W80" s="128">
        <f>+Actuals!T162</f>
        <v>0</v>
      </c>
      <c r="X80" s="130">
        <f>+Actuals!U162</f>
        <v>0</v>
      </c>
      <c r="Y80" s="131">
        <f>+Actuals!V162</f>
        <v>0</v>
      </c>
      <c r="Z80" s="130">
        <f>+Actuals!W162</f>
        <v>0</v>
      </c>
      <c r="AA80" s="131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+Actuals!AE162</f>
        <v>0</v>
      </c>
      <c r="AI80" s="131">
        <f>+Actuals!AF162</f>
        <v>0</v>
      </c>
      <c r="AJ80" s="130">
        <f>+Actuals!AG162</f>
        <v>0</v>
      </c>
      <c r="AK80" s="131">
        <f>+Actuals!AH162</f>
        <v>0</v>
      </c>
      <c r="AL80" s="130">
        <f>+Actuals!AI162</f>
        <v>0</v>
      </c>
      <c r="AM80" s="131">
        <f>+Actuals!AJ162</f>
        <v>0</v>
      </c>
    </row>
    <row r="81" spans="1:39" x14ac:dyDescent="0.25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0</v>
      </c>
      <c r="F81" s="60">
        <f>'TIE-OUT'!X81+RECLASS!X81</f>
        <v>0</v>
      </c>
      <c r="G81" s="60">
        <f>'TIE-OUT'!Y81+RECLASS!Y81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30">
        <f>+Actuals!Q123</f>
        <v>0</v>
      </c>
      <c r="U81" s="131">
        <f>+Actuals!R123</f>
        <v>0</v>
      </c>
      <c r="V81" s="127">
        <f>+Actuals!S163</f>
        <v>0</v>
      </c>
      <c r="W81" s="128">
        <f>+Actuals!T163</f>
        <v>0</v>
      </c>
      <c r="X81" s="130">
        <f>+Actuals!U163</f>
        <v>0</v>
      </c>
      <c r="Y81" s="131">
        <f>+Actuals!V163</f>
        <v>0</v>
      </c>
      <c r="Z81" s="130">
        <f>+Actuals!W163</f>
        <v>0</v>
      </c>
      <c r="AA81" s="131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+Actuals!AE163</f>
        <v>0</v>
      </c>
      <c r="AI81" s="131">
        <f>+Actuals!AF163</f>
        <v>0</v>
      </c>
      <c r="AJ81" s="130">
        <f>+Actuals!AG163</f>
        <v>0</v>
      </c>
      <c r="AK81" s="131">
        <f>+Actuals!AH163</f>
        <v>0</v>
      </c>
      <c r="AL81" s="130">
        <f>+Actuals!AI163</f>
        <v>0</v>
      </c>
      <c r="AM81" s="131">
        <f>+Actuals!AJ163</f>
        <v>0</v>
      </c>
    </row>
    <row r="82" spans="1:39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1128110.7900000047</v>
      </c>
      <c r="F82" s="92">
        <f>F16+F24+F29+F36+F43+F45+F47+F49</f>
        <v>0</v>
      </c>
      <c r="G82" s="93">
        <f>SUM(G72:G81)+G16+G24+G29+G36+G43+G45+G47+G49+G51+G56+G61+G66</f>
        <v>418384.00999999978</v>
      </c>
      <c r="H82" s="92">
        <f>H16+H24+H29+H36+H43+H45+H47+H49</f>
        <v>0</v>
      </c>
      <c r="I82" s="93">
        <f>SUM(I72:I81)+I16+I24+I29+I36+I43+I45+I47+I49+I51+I56+I61+I66</f>
        <v>-5684622</v>
      </c>
      <c r="J82" s="92">
        <f>J16+J24+J29+J36+J43+J45+J47+J49</f>
        <v>0</v>
      </c>
      <c r="K82" s="158">
        <f>SUM(K72:K81)+K16+K24+K29+K36+K43+K45+K47+K49+K51+K56+K61+K66</f>
        <v>-10316409</v>
      </c>
      <c r="L82" s="92">
        <f>L16+L24+L29+L36+L43+L45+L47+L49</f>
        <v>0</v>
      </c>
      <c r="M82" s="93">
        <f>SUM(M72:M81)+M16+M24+M29+M36+M43+M45+M47+M49+M51+M56+M61+M66</f>
        <v>256909</v>
      </c>
      <c r="N82" s="92">
        <f>N16+N24+N29+N36+N43+N45+N47+N49</f>
        <v>0</v>
      </c>
      <c r="O82" s="93">
        <f>SUM(O72:O81)+O16+O24+O29+O36+O43+O45+O47+O49+O51+O56+O61+O66</f>
        <v>26191</v>
      </c>
      <c r="P82" s="92">
        <f>P16+P24+P29+P36+P43+P45+P47+P49</f>
        <v>0</v>
      </c>
      <c r="Q82" s="93">
        <f>SUM(Q72:Q81)+Q16+Q24+Q29+Q36+Q43+Q45+Q47+Q49+Q51+Q56+Q61+Q66</f>
        <v>16408268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19389.78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8" thickTop="1" x14ac:dyDescent="0.25">
      <c r="A83" s="4"/>
      <c r="B83" s="3"/>
    </row>
    <row r="84" spans="1:39" x14ac:dyDescent="0.25">
      <c r="A84" s="4"/>
      <c r="B84" s="3"/>
    </row>
    <row r="85" spans="1:39" x14ac:dyDescent="0.25">
      <c r="A85" s="4"/>
      <c r="B85" s="3"/>
    </row>
    <row r="86" spans="1:39" x14ac:dyDescent="0.25">
      <c r="A86" s="4"/>
      <c r="B86" s="3"/>
    </row>
    <row r="87" spans="1:39" x14ac:dyDescent="0.25">
      <c r="A87" s="4"/>
      <c r="B87" s="3"/>
    </row>
    <row r="88" spans="1:39" x14ac:dyDescent="0.25">
      <c r="A88" s="4"/>
      <c r="B88" s="3"/>
    </row>
    <row r="89" spans="1:39" x14ac:dyDescent="0.25">
      <c r="A89" s="4"/>
      <c r="B89" s="3"/>
    </row>
    <row r="90" spans="1:39" x14ac:dyDescent="0.25">
      <c r="A90" s="4"/>
      <c r="B90" s="3"/>
    </row>
    <row r="91" spans="1:39" x14ac:dyDescent="0.25">
      <c r="A91" s="4"/>
      <c r="B91" s="3"/>
    </row>
    <row r="92" spans="1:39" x14ac:dyDescent="0.25">
      <c r="A92" s="4"/>
      <c r="B92" s="3"/>
    </row>
    <row r="93" spans="1:39" x14ac:dyDescent="0.25">
      <c r="A93" s="4"/>
      <c r="B93" s="3"/>
    </row>
    <row r="94" spans="1:39" x14ac:dyDescent="0.25">
      <c r="A94" s="4"/>
      <c r="B94" s="3"/>
    </row>
    <row r="95" spans="1:39" x14ac:dyDescent="0.25">
      <c r="A95" s="4"/>
      <c r="B95" s="3"/>
    </row>
    <row r="96" spans="1:3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M168"/>
  <sheetViews>
    <sheetView zoomScale="75" workbookViewId="0">
      <pane xSplit="3" ySplit="9" topLeftCell="W26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9" width="15.44140625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108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0</v>
      </c>
      <c r="E11" s="38">
        <f t="shared" si="0"/>
        <v>0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7">
        <f>-410000-250000</f>
        <v>-660000</v>
      </c>
      <c r="L11" s="60"/>
      <c r="M11" s="38">
        <v>660000</v>
      </c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-79467</v>
      </c>
      <c r="F12" s="60">
        <f>'TIE-OUT'!T12+RECLASS!T12</f>
        <v>0</v>
      </c>
      <c r="G12" s="38">
        <f>'TIE-OUT'!U12+RECLASS!U12</f>
        <v>-79467</v>
      </c>
      <c r="H12" s="60"/>
      <c r="I12" s="38"/>
      <c r="J12" s="60"/>
      <c r="K12" s="147"/>
      <c r="L12" s="60"/>
      <c r="M12" s="38"/>
      <c r="N12" s="60"/>
      <c r="O12" s="38"/>
      <c r="P12" s="60"/>
      <c r="Q12" s="38">
        <v>0</v>
      </c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</row>
    <row r="13" spans="1:39" x14ac:dyDescent="0.25">
      <c r="A13" s="9">
        <v>3</v>
      </c>
      <c r="B13" s="7"/>
      <c r="C13" s="18" t="s">
        <v>197</v>
      </c>
      <c r="D13" s="60">
        <f t="shared" si="0"/>
        <v>0</v>
      </c>
      <c r="E13" s="38">
        <f t="shared" si="0"/>
        <v>-2679577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7"/>
      <c r="L13" s="60"/>
      <c r="M13" s="38"/>
      <c r="N13" s="60"/>
      <c r="O13" s="38"/>
      <c r="P13" s="60"/>
      <c r="Q13" s="38">
        <v>-2684237</v>
      </c>
      <c r="R13" s="60"/>
      <c r="S13" s="38"/>
      <c r="T13" s="60"/>
      <c r="U13" s="38"/>
      <c r="V13" s="60"/>
      <c r="W13" s="38">
        <v>60416</v>
      </c>
      <c r="X13" s="60"/>
      <c r="Y13" s="38"/>
      <c r="Z13" s="60"/>
      <c r="AA13" s="38">
        <v>-55756</v>
      </c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</row>
    <row r="16" spans="1:39" x14ac:dyDescent="0.25">
      <c r="A16" s="9"/>
      <c r="B16" s="7" t="s">
        <v>33</v>
      </c>
      <c r="C16" s="6"/>
      <c r="D16" s="61">
        <f>SUM(D11:D15)</f>
        <v>0</v>
      </c>
      <c r="E16" s="39">
        <f>SUM(E11:E15)</f>
        <v>-2759044</v>
      </c>
      <c r="F16" s="61">
        <f t="shared" ref="F16:V16" si="1">SUM(F11:F15)</f>
        <v>0</v>
      </c>
      <c r="G16" s="39">
        <f t="shared" si="1"/>
        <v>-79467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-660000</v>
      </c>
      <c r="L16" s="61">
        <f t="shared" si="1"/>
        <v>0</v>
      </c>
      <c r="M16" s="39">
        <f t="shared" si="1"/>
        <v>660000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-2684237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>SUM(U11:U15)</f>
        <v>0</v>
      </c>
      <c r="V16" s="61">
        <f t="shared" si="1"/>
        <v>0</v>
      </c>
      <c r="W16" s="39">
        <f t="shared" ref="W16:AC16" si="2">SUM(W11:W15)</f>
        <v>60416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-55756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</row>
    <row r="21" spans="1:39" x14ac:dyDescent="0.25">
      <c r="A21" s="9">
        <v>8</v>
      </c>
      <c r="B21" s="7"/>
      <c r="C21" s="18" t="s">
        <v>30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</row>
    <row r="23" spans="1:39" x14ac:dyDescent="0.25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</row>
    <row r="24" spans="1:39" x14ac:dyDescent="0.25">
      <c r="A24" s="9"/>
      <c r="B24" s="7" t="s">
        <v>36</v>
      </c>
      <c r="C24" s="6"/>
      <c r="D24" s="61">
        <f>SUM(D19:D23)</f>
        <v>0</v>
      </c>
      <c r="E24" s="39">
        <f>SUM(E19:E23)</f>
        <v>0</v>
      </c>
      <c r="F24" s="61">
        <f t="shared" ref="F24:V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>SUM(U19:U23)</f>
        <v>0</v>
      </c>
      <c r="V24" s="61">
        <f t="shared" si="5"/>
        <v>0</v>
      </c>
      <c r="W24" s="39">
        <f t="shared" ref="W24:AC24" si="6">SUM(W19:W23)</f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</row>
    <row r="29" spans="1:39" x14ac:dyDescent="0.25">
      <c r="A29" s="9"/>
      <c r="B29" s="7" t="s">
        <v>40</v>
      </c>
      <c r="C29" s="18"/>
      <c r="D29" s="61">
        <f>SUM(D27:D28)</f>
        <v>0</v>
      </c>
      <c r="E29" s="39">
        <f>SUM(E27:E28)</f>
        <v>0</v>
      </c>
      <c r="F29" s="61">
        <f t="shared" ref="F29:V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 t="shared" ref="W29:AC29" si="9">SUM(W27:W28)</f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>SUM(AJ27:AJ28)</f>
        <v>0</v>
      </c>
      <c r="AK29" s="39">
        <f>SUM(AK27:AK28)</f>
        <v>0</v>
      </c>
      <c r="AL29" s="61">
        <f>SUM(AL27:AL28)</f>
        <v>0</v>
      </c>
      <c r="AM29" s="39">
        <f>SUM(AM27:AM28)</f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1">SUM(F32,H32,J32,L32,N32,P32,R32,T32,V32,X32,Z32,AB32,AD32,AF32,AH32,AJ32,AL32)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</row>
    <row r="33" spans="1:39" x14ac:dyDescent="0.25">
      <c r="A33" s="9">
        <v>14</v>
      </c>
      <c r="B33" s="7"/>
      <c r="C33" s="18" t="s">
        <v>43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</row>
    <row r="34" spans="1:39" x14ac:dyDescent="0.25">
      <c r="A34" s="9">
        <v>15</v>
      </c>
      <c r="B34" s="7"/>
      <c r="C34" s="18" t="s">
        <v>44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</row>
    <row r="35" spans="1:39" x14ac:dyDescent="0.25">
      <c r="A35" s="9">
        <v>16</v>
      </c>
      <c r="B35" s="7"/>
      <c r="C35" s="18" t="s">
        <v>45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</row>
    <row r="36" spans="1:39" x14ac:dyDescent="0.25">
      <c r="A36" s="9"/>
      <c r="B36" s="7" t="s">
        <v>46</v>
      </c>
      <c r="C36" s="6"/>
      <c r="D36" s="61">
        <f>SUM(D32:D35)</f>
        <v>0</v>
      </c>
      <c r="E36" s="39">
        <f>SUM(E32:E35)</f>
        <v>0</v>
      </c>
      <c r="F36" s="61">
        <f t="shared" ref="F36:V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>SUM(U32:U35)</f>
        <v>0</v>
      </c>
      <c r="V36" s="61">
        <f t="shared" si="12"/>
        <v>0</v>
      </c>
      <c r="W36" s="39">
        <f t="shared" ref="W36:AC36" si="13">SUM(W32:W35)</f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</row>
    <row r="41" spans="1:39" x14ac:dyDescent="0.25">
      <c r="A41" s="9">
        <v>19</v>
      </c>
      <c r="B41" s="7"/>
      <c r="C41" s="18" t="s">
        <v>50</v>
      </c>
      <c r="D41" s="60">
        <f t="shared" si="15"/>
        <v>0</v>
      </c>
      <c r="E41" s="38">
        <f t="shared" si="15"/>
        <v>341873</v>
      </c>
      <c r="F41" s="81">
        <f>'TIE-OUT'!T41+RECLASS!T41</f>
        <v>0</v>
      </c>
      <c r="G41" s="82">
        <f>'TIE-OUT'!U41+RECLASS!U41</f>
        <v>6483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>
        <v>335390</v>
      </c>
      <c r="AD41" s="60"/>
      <c r="AE41" s="38"/>
      <c r="AF41" s="60"/>
      <c r="AG41" s="38"/>
      <c r="AH41" s="60"/>
      <c r="AI41" s="38"/>
      <c r="AJ41" s="60"/>
      <c r="AK41" s="38"/>
      <c r="AL41" s="60"/>
      <c r="AM41" s="38"/>
    </row>
    <row r="42" spans="1:39" x14ac:dyDescent="0.25">
      <c r="A42" s="9"/>
      <c r="B42" s="7"/>
      <c r="C42" s="53" t="s">
        <v>51</v>
      </c>
      <c r="D42" s="61">
        <f>SUM(D40:D41)</f>
        <v>0</v>
      </c>
      <c r="E42" s="39">
        <f>SUM(E40:E41)</f>
        <v>341873</v>
      </c>
      <c r="F42" s="61">
        <f t="shared" ref="F42:V42" si="16">SUM(F40:F41)</f>
        <v>0</v>
      </c>
      <c r="G42" s="39">
        <f t="shared" si="16"/>
        <v>6483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 t="shared" ref="W42:AC42" si="17">SUM(W40:W41)</f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335390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>D42+D39</f>
        <v>0</v>
      </c>
      <c r="E43" s="39">
        <f>E42+E39</f>
        <v>341873</v>
      </c>
      <c r="F43" s="61">
        <f t="shared" ref="F43:V43" si="19">F42+F39</f>
        <v>0</v>
      </c>
      <c r="G43" s="39">
        <f t="shared" si="19"/>
        <v>6483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>U42+U39</f>
        <v>0</v>
      </c>
      <c r="V43" s="61">
        <f t="shared" si="19"/>
        <v>0</v>
      </c>
      <c r="W43" s="39">
        <f t="shared" ref="W43:AC43" si="20">W42+W39</f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335390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7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</row>
    <row r="56" spans="1:39" x14ac:dyDescent="0.25">
      <c r="A56" s="9"/>
      <c r="B56" s="7" t="s">
        <v>60</v>
      </c>
      <c r="C56" s="6"/>
      <c r="D56" s="61">
        <f>SUM(D54:D55)</f>
        <v>0</v>
      </c>
      <c r="E56" s="39">
        <f>SUM(E54:E55)</f>
        <v>0</v>
      </c>
      <c r="F56" s="61">
        <f t="shared" ref="F56:V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>SUM(U54:U55)</f>
        <v>0</v>
      </c>
      <c r="V56" s="61">
        <f t="shared" si="22"/>
        <v>0</v>
      </c>
      <c r="W56" s="39">
        <f t="shared" ref="W56:AC56" si="23">SUM(W54:W55)</f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>SUM(AJ54:AJ55)</f>
        <v>0</v>
      </c>
      <c r="AK56" s="39">
        <f>SUM(AK54:AK55)</f>
        <v>0</v>
      </c>
      <c r="AL56" s="61">
        <f>SUM(AL54:AL55)</f>
        <v>0</v>
      </c>
      <c r="AM56" s="39">
        <f>SUM(AM54:AM55)</f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123262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7"/>
      <c r="L60" s="60"/>
      <c r="M60" s="38">
        <v>123262</v>
      </c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</row>
    <row r="61" spans="1:39" x14ac:dyDescent="0.25">
      <c r="A61" s="9"/>
      <c r="B61" s="62" t="s">
        <v>64</v>
      </c>
      <c r="C61" s="6"/>
      <c r="D61" s="61">
        <f>SUM(D59:D60)</f>
        <v>0</v>
      </c>
      <c r="E61" s="39">
        <f>SUM(E59:E60)</f>
        <v>123262</v>
      </c>
      <c r="F61" s="61">
        <f t="shared" ref="F61:V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123262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>SUM(U59:U60)</f>
        <v>0</v>
      </c>
      <c r="V61" s="61">
        <f t="shared" si="25"/>
        <v>0</v>
      </c>
      <c r="W61" s="39">
        <f t="shared" ref="W61:AC61" si="26">SUM(W59:W60)</f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>SUM(AJ59:AJ60)</f>
        <v>0</v>
      </c>
      <c r="AK61" s="39">
        <f>SUM(AK59:AK60)</f>
        <v>0</v>
      </c>
      <c r="AL61" s="61">
        <f>SUM(AL59:AL60)</f>
        <v>0</v>
      </c>
      <c r="AM61" s="39">
        <f>SUM(AM59:AM60)</f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5">
      <c r="A66" s="9"/>
      <c r="B66" s="7" t="s">
        <v>67</v>
      </c>
      <c r="C66" s="6"/>
      <c r="D66" s="61">
        <f>SUM(D64:D65)</f>
        <v>0</v>
      </c>
      <c r="E66" s="39">
        <f>SUM(E64:E65)</f>
        <v>0</v>
      </c>
      <c r="F66" s="61">
        <f t="shared" ref="F66:V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>SUM(U64:U65)</f>
        <v>0</v>
      </c>
      <c r="V66" s="61">
        <f t="shared" si="28"/>
        <v>0</v>
      </c>
      <c r="W66" s="39">
        <f t="shared" ref="W66:AC66" si="29">SUM(W64:W65)</f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>SUM(AJ64:AJ65)</f>
        <v>0</v>
      </c>
      <c r="AK66" s="39">
        <f>SUM(AK64:AK65)</f>
        <v>0</v>
      </c>
      <c r="AL66" s="61">
        <f>SUM(AL64:AL65)</f>
        <v>0</v>
      </c>
      <c r="AM66" s="39">
        <f>SUM(AM64:AM65)</f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4103270</v>
      </c>
      <c r="F70" s="64">
        <f>'TIE-OUT'!T70+RECLASS!T70</f>
        <v>0</v>
      </c>
      <c r="G70" s="68">
        <f>'TIE-OUT'!U70+RECLASS!U70</f>
        <v>3001247</v>
      </c>
      <c r="H70" s="60"/>
      <c r="I70" s="38">
        <v>0</v>
      </c>
      <c r="J70" s="60"/>
      <c r="K70" s="147">
        <v>0</v>
      </c>
      <c r="L70" s="60"/>
      <c r="M70" s="38"/>
      <c r="N70" s="60"/>
      <c r="O70" s="38"/>
      <c r="P70" s="60"/>
      <c r="Q70" s="38">
        <f>51186+2684237</f>
        <v>2735423</v>
      </c>
      <c r="R70" s="60"/>
      <c r="S70" s="38"/>
      <c r="T70" s="60"/>
      <c r="U70" s="38"/>
      <c r="V70" s="60"/>
      <c r="W70" s="38"/>
      <c r="X70" s="60"/>
      <c r="Y70" s="38"/>
      <c r="Z70" s="60"/>
      <c r="AA70" s="147">
        <v>-1633400</v>
      </c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</row>
    <row r="72" spans="1:39" x14ac:dyDescent="0.25">
      <c r="A72" s="9"/>
      <c r="B72" s="3"/>
      <c r="C72" s="55" t="s">
        <v>72</v>
      </c>
      <c r="D72" s="61">
        <f>SUM(D70:D71)</f>
        <v>0</v>
      </c>
      <c r="E72" s="39">
        <f>SUM(E70:E71)</f>
        <v>4103270</v>
      </c>
      <c r="F72" s="61">
        <f t="shared" ref="F72:V72" si="31">SUM(F70:F71)</f>
        <v>0</v>
      </c>
      <c r="G72" s="39">
        <f t="shared" si="31"/>
        <v>3001247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2735423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>SUM(U70:U71)</f>
        <v>0</v>
      </c>
      <c r="V72" s="61">
        <f t="shared" si="31"/>
        <v>0</v>
      </c>
      <c r="W72" s="39">
        <f t="shared" ref="W72:AC72" si="32">SUM(W70:W71)</f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-1633400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</row>
    <row r="74" spans="1:39" x14ac:dyDescent="0.25">
      <c r="A74" s="9">
        <v>33</v>
      </c>
      <c r="B74" s="3"/>
      <c r="C74" s="10" t="s">
        <v>74</v>
      </c>
      <c r="D74" s="60">
        <f t="shared" si="34"/>
        <v>0</v>
      </c>
      <c r="E74" s="38">
        <f t="shared" si="35"/>
        <v>-2741516</v>
      </c>
      <c r="F74" s="60">
        <f>'TIE-OUT'!T74+RECLASS!T74</f>
        <v>0</v>
      </c>
      <c r="G74" s="60">
        <f>'TIE-OUT'!U74+RECLASS!U74</f>
        <v>-2870166</v>
      </c>
      <c r="H74" s="60"/>
      <c r="I74" s="38"/>
      <c r="J74" s="60"/>
      <c r="K74" s="160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160">
        <v>128650</v>
      </c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</row>
    <row r="75" spans="1:39" x14ac:dyDescent="0.25">
      <c r="A75" s="9">
        <v>34</v>
      </c>
      <c r="B75" s="3"/>
      <c r="C75" s="10" t="s">
        <v>75</v>
      </c>
      <c r="D75" s="60">
        <f t="shared" si="34"/>
        <v>0</v>
      </c>
      <c r="E75" s="38">
        <f t="shared" si="35"/>
        <v>1633400</v>
      </c>
      <c r="F75" s="60">
        <f>'TIE-OUT'!T75+RECLASS!T75</f>
        <v>0</v>
      </c>
      <c r="G75" s="60">
        <f>'TIE-OUT'!U75+RECLASS!U75</f>
        <v>1633400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</row>
    <row r="76" spans="1:39" x14ac:dyDescent="0.25">
      <c r="A76" s="9">
        <v>35</v>
      </c>
      <c r="B76" s="3"/>
      <c r="C76" s="10" t="s">
        <v>76</v>
      </c>
      <c r="D76" s="60">
        <f t="shared" si="34"/>
        <v>0</v>
      </c>
      <c r="E76" s="38">
        <f t="shared" si="35"/>
        <v>-1075</v>
      </c>
      <c r="F76" s="60">
        <f>'TIE-OUT'!T76+RECLASS!T76</f>
        <v>0</v>
      </c>
      <c r="G76" s="60">
        <f>'TIE-OUT'!U76+RECLASS!U76</f>
        <v>-1075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</row>
    <row r="77" spans="1:39" x14ac:dyDescent="0.25">
      <c r="A77" s="9">
        <v>36</v>
      </c>
      <c r="B77" s="3"/>
      <c r="C77" s="10" t="s">
        <v>77</v>
      </c>
      <c r="D77" s="60">
        <f t="shared" si="34"/>
        <v>0</v>
      </c>
      <c r="E77" s="38">
        <f t="shared" si="35"/>
        <v>0</v>
      </c>
      <c r="F77" s="60">
        <f>'TIE-OUT'!T77+RECLASS!T77</f>
        <v>0</v>
      </c>
      <c r="G77" s="60">
        <f>'TIE-OUT'!U77+RECLASS!U77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>
        <v>0</v>
      </c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</row>
    <row r="78" spans="1:39" x14ac:dyDescent="0.25">
      <c r="A78" s="9">
        <v>37</v>
      </c>
      <c r="B78" s="3"/>
      <c r="C78" s="10" t="s">
        <v>78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</row>
    <row r="79" spans="1:39" x14ac:dyDescent="0.25">
      <c r="A79" s="9">
        <v>38</v>
      </c>
      <c r="B79" s="3"/>
      <c r="C79" s="10" t="s">
        <v>79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</row>
    <row r="80" spans="1:39" x14ac:dyDescent="0.25">
      <c r="A80" s="9">
        <v>39</v>
      </c>
      <c r="B80" s="3"/>
      <c r="C80" s="10" t="s">
        <v>80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</row>
    <row r="81" spans="1:39" x14ac:dyDescent="0.25">
      <c r="A81" s="9">
        <v>40</v>
      </c>
      <c r="B81" s="3"/>
      <c r="C81" s="10" t="s">
        <v>81</v>
      </c>
      <c r="D81" s="60">
        <f t="shared" si="34"/>
        <v>0</v>
      </c>
      <c r="E81" s="38">
        <f t="shared" si="35"/>
        <v>-550379</v>
      </c>
      <c r="F81" s="60">
        <f>'TIE-OUT'!T81+RECLASS!T81</f>
        <v>0</v>
      </c>
      <c r="G81" s="60">
        <f>'TIE-OUT'!U81+RECLASS!U81</f>
        <v>-829139</v>
      </c>
      <c r="H81" s="60"/>
      <c r="I81" s="160">
        <v>-151</v>
      </c>
      <c r="J81" s="60"/>
      <c r="K81" s="160">
        <v>151</v>
      </c>
      <c r="L81" s="60"/>
      <c r="M81" s="38"/>
      <c r="N81" s="60"/>
      <c r="O81" s="38"/>
      <c r="P81" s="60"/>
      <c r="Q81" s="38"/>
      <c r="R81" s="60"/>
      <c r="S81" s="38">
        <v>278760</v>
      </c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</row>
    <row r="82" spans="1:39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149791</v>
      </c>
      <c r="F82" s="92">
        <f>F16+F24+F29+F36+F43+F45+F47+F49</f>
        <v>0</v>
      </c>
      <c r="G82" s="93">
        <f>SUM(G72:G81)+G16+G24+G29+G36+G43+G45+G47+G49+G51+G56+G61+G66</f>
        <v>861283</v>
      </c>
      <c r="H82" s="92">
        <f>H16+H24+H29+H36+H43+H45+H47+H49</f>
        <v>0</v>
      </c>
      <c r="I82" s="164">
        <f>SUM(I72:I81)+I16+I24+I29+I36+I43+I45+I47+I49+I51+I56+I61+I66</f>
        <v>-151</v>
      </c>
      <c r="J82" s="92">
        <f>J16+J24+J29+J36+J43+J45+J47+J49</f>
        <v>0</v>
      </c>
      <c r="K82" s="164">
        <f>SUM(K72:K81)+K16+K24+K29+K36+K43+K45+K47+K49+K51+K56+K61+K66</f>
        <v>-659849</v>
      </c>
      <c r="L82" s="92">
        <f>L16+L24+L29+L36+L43+L45+L47+L49</f>
        <v>0</v>
      </c>
      <c r="M82" s="93">
        <f>SUM(M72:M81)+M16+M24+M29+M36+M43+M45+M47+M49+M51+M56+M61+M66</f>
        <v>783262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51186</v>
      </c>
      <c r="R82" s="92">
        <f>R16+R24+R29+R36+R43+R45+R47+R49</f>
        <v>0</v>
      </c>
      <c r="S82" s="93">
        <f>SUM(S72:S81)+S16+S24+S29+S36+S43+S45+S47+S49+S51+S56+S61+S66</f>
        <v>278760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189066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-1689156</v>
      </c>
      <c r="AB82" s="92">
        <f>AB16+AB24+AB29+AB36+AB43+AB45+AB47+AB49</f>
        <v>0</v>
      </c>
      <c r="AC82" s="93">
        <f>SUM(AC72:AC81)+AC16+AC24+AC29+AC36+AC43+AC45+AC47+AC49+AC51+AC56+AC61+AC66</f>
        <v>335390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8" thickTop="1" x14ac:dyDescent="0.25">
      <c r="A83" s="4"/>
      <c r="B83" s="3"/>
    </row>
    <row r="84" spans="1:39" x14ac:dyDescent="0.25">
      <c r="A84" s="4"/>
      <c r="B84" s="3"/>
      <c r="E84" s="31">
        <f>+E72+E12-G12</f>
        <v>4103270</v>
      </c>
    </row>
    <row r="85" spans="1:39" x14ac:dyDescent="0.25">
      <c r="A85" s="4"/>
      <c r="B85" s="3"/>
    </row>
    <row r="86" spans="1:39" x14ac:dyDescent="0.25">
      <c r="A86" s="4"/>
      <c r="B86" s="3"/>
    </row>
    <row r="87" spans="1:39" x14ac:dyDescent="0.25">
      <c r="A87" s="4"/>
      <c r="B87" s="3"/>
    </row>
    <row r="88" spans="1:39" x14ac:dyDescent="0.25">
      <c r="A88" s="4"/>
      <c r="B88" s="3"/>
    </row>
    <row r="89" spans="1:39" x14ac:dyDescent="0.25">
      <c r="A89" s="4"/>
      <c r="B89" s="3"/>
    </row>
    <row r="90" spans="1:39" x14ac:dyDescent="0.25">
      <c r="A90" s="4"/>
      <c r="B90" s="3"/>
    </row>
    <row r="91" spans="1:39" x14ac:dyDescent="0.25">
      <c r="A91" s="4"/>
      <c r="B91" s="3"/>
    </row>
    <row r="92" spans="1:39" x14ac:dyDescent="0.25">
      <c r="A92" s="4"/>
      <c r="B92" s="3"/>
    </row>
    <row r="93" spans="1:39" x14ac:dyDescent="0.25">
      <c r="A93" s="4"/>
      <c r="B93" s="3"/>
    </row>
    <row r="94" spans="1:39" x14ac:dyDescent="0.25">
      <c r="A94" s="4"/>
      <c r="B94" s="3"/>
    </row>
    <row r="95" spans="1:39" x14ac:dyDescent="0.25">
      <c r="A95" s="4"/>
      <c r="B95" s="3"/>
    </row>
    <row r="96" spans="1:3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U52" activePane="bottomRight" state="frozen"/>
      <selection activeCell="AI641" sqref="AI641"/>
      <selection pane="topRight" activeCell="AI641" sqref="AI641"/>
      <selection pane="bottomLeft" activeCell="AI641" sqref="AI641"/>
      <selection pane="bottomRight" activeCell="AI641" sqref="AI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9" width="15.44140625" customWidth="1"/>
    <col min="56" max="64" width="0" hidden="1" customWidth="1"/>
  </cols>
  <sheetData>
    <row r="1" spans="1:39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5" t="s">
        <v>168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5">
      <c r="A4" s="5" t="s">
        <v>168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4"/>
      <c r="B7" s="19"/>
      <c r="C7" s="19"/>
    </row>
    <row r="8" spans="1:39" x14ac:dyDescent="0.25">
      <c r="A8" s="8"/>
      <c r="B8" s="16"/>
      <c r="C8" s="17"/>
      <c r="D8" s="83" t="s">
        <v>85</v>
      </c>
      <c r="E8" s="25"/>
      <c r="F8" s="26" t="s">
        <v>103</v>
      </c>
      <c r="G8" s="27"/>
      <c r="H8" s="26" t="str">
        <f>CE_GL!H8</f>
        <v>June</v>
      </c>
      <c r="I8" s="27"/>
      <c r="J8" s="26" t="str">
        <f>CE_GL!J8</f>
        <v>July</v>
      </c>
      <c r="K8" s="144"/>
      <c r="L8" s="26" t="str">
        <f>CE_GL!L8</f>
        <v>August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198</v>
      </c>
      <c r="W8" s="27"/>
      <c r="X8" s="26" t="s">
        <v>199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187</v>
      </c>
      <c r="AG8" s="27"/>
      <c r="AH8" s="26" t="s">
        <v>190</v>
      </c>
      <c r="AI8" s="27"/>
      <c r="AJ8" s="26" t="s">
        <v>192</v>
      </c>
      <c r="AK8" s="27"/>
      <c r="AL8" s="26" t="s">
        <v>193</v>
      </c>
      <c r="AM8" s="27"/>
    </row>
    <row r="9" spans="1:39" x14ac:dyDescent="0.25">
      <c r="A9" s="52"/>
      <c r="B9" s="7"/>
      <c r="C9" s="6"/>
      <c r="D9" s="28" t="s">
        <v>25</v>
      </c>
      <c r="E9" s="29" t="s">
        <v>26</v>
      </c>
      <c r="F9" s="30" t="s">
        <v>25</v>
      </c>
      <c r="G9" s="29" t="s">
        <v>26</v>
      </c>
      <c r="H9" s="30" t="s">
        <v>25</v>
      </c>
      <c r="I9" s="29" t="s">
        <v>26</v>
      </c>
      <c r="J9" s="30" t="s">
        <v>25</v>
      </c>
      <c r="K9" s="145" t="s">
        <v>26</v>
      </c>
      <c r="L9" s="30" t="s">
        <v>25</v>
      </c>
      <c r="M9" s="29" t="s">
        <v>26</v>
      </c>
      <c r="N9" s="30" t="s">
        <v>25</v>
      </c>
      <c r="O9" s="29" t="s">
        <v>26</v>
      </c>
      <c r="P9" s="30" t="s">
        <v>25</v>
      </c>
      <c r="Q9" s="29" t="s">
        <v>26</v>
      </c>
      <c r="R9" s="30" t="s">
        <v>25</v>
      </c>
      <c r="S9" s="29" t="s">
        <v>26</v>
      </c>
      <c r="T9" s="30" t="s">
        <v>25</v>
      </c>
      <c r="U9" s="29" t="s">
        <v>26</v>
      </c>
      <c r="V9" s="30" t="s">
        <v>25</v>
      </c>
      <c r="W9" s="29" t="s">
        <v>26</v>
      </c>
      <c r="X9" s="30" t="s">
        <v>25</v>
      </c>
      <c r="Y9" s="29" t="s">
        <v>26</v>
      </c>
      <c r="Z9" s="30" t="s">
        <v>25</v>
      </c>
      <c r="AA9" s="29" t="s">
        <v>26</v>
      </c>
      <c r="AB9" s="30" t="s">
        <v>25</v>
      </c>
      <c r="AC9" s="29" t="s">
        <v>26</v>
      </c>
      <c r="AD9" s="30" t="s">
        <v>25</v>
      </c>
      <c r="AE9" s="29" t="s">
        <v>26</v>
      </c>
      <c r="AF9" s="30" t="s">
        <v>25</v>
      </c>
      <c r="AG9" s="29" t="s">
        <v>26</v>
      </c>
      <c r="AH9" s="30" t="s">
        <v>25</v>
      </c>
      <c r="AI9" s="29" t="s">
        <v>26</v>
      </c>
      <c r="AJ9" s="30" t="s">
        <v>25</v>
      </c>
      <c r="AK9" s="29" t="s">
        <v>26</v>
      </c>
      <c r="AL9" s="30" t="s">
        <v>25</v>
      </c>
      <c r="AM9" s="29" t="s">
        <v>26</v>
      </c>
    </row>
    <row r="10" spans="1:39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5">
      <c r="A11" s="9">
        <v>1</v>
      </c>
      <c r="B11" s="7"/>
      <c r="C11" s="18" t="s">
        <v>28</v>
      </c>
      <c r="D11" s="60">
        <f t="shared" ref="D11:E15" si="0">SUM(F11,H11,J11,L11,N11,P11,R11,T11,V11,X11,Z11,AB11,AD11,AF11,AH11,AJ11,AL11)</f>
        <v>9403756</v>
      </c>
      <c r="E11" s="38">
        <f t="shared" si="0"/>
        <v>19810707</v>
      </c>
      <c r="F11" s="60">
        <f>'TIE-OUT'!V11+RECLASS!V11</f>
        <v>0</v>
      </c>
      <c r="G11" s="38">
        <f>'TIE-OUT'!W11+RECLASS!W11</f>
        <v>0</v>
      </c>
      <c r="H11" s="60">
        <f>9403756</f>
        <v>9403756</v>
      </c>
      <c r="I11" s="38">
        <f>19843285</f>
        <v>19843285</v>
      </c>
      <c r="J11" s="60">
        <v>0</v>
      </c>
      <c r="K11" s="147">
        <v>0</v>
      </c>
      <c r="L11" s="60">
        <f>-2635696+2635696</f>
        <v>0</v>
      </c>
      <c r="M11" s="38">
        <f>-6086111+6074833</f>
        <v>-11278</v>
      </c>
      <c r="N11" s="60"/>
      <c r="O11" s="38"/>
      <c r="P11" s="60">
        <v>0</v>
      </c>
      <c r="Q11" s="38">
        <v>-21300</v>
      </c>
      <c r="R11" s="60"/>
      <c r="S11" s="38"/>
      <c r="T11" s="60"/>
      <c r="U11" s="38"/>
      <c r="V11" s="127">
        <f>+Actuals!S284</f>
        <v>0</v>
      </c>
      <c r="W11" s="12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>
        <f>+Actuals!AE284</f>
        <v>0</v>
      </c>
      <c r="AI11" s="38">
        <f>+Actuals!AF284</f>
        <v>0</v>
      </c>
      <c r="AJ11" s="60">
        <f>+Actuals!AG284</f>
        <v>0</v>
      </c>
      <c r="AK11" s="38">
        <f>+Actuals!AH284</f>
        <v>0</v>
      </c>
      <c r="AL11" s="60">
        <f>+Actuals!AI284</f>
        <v>0</v>
      </c>
      <c r="AM11" s="38">
        <f>+Actuals!AJ284</f>
        <v>0</v>
      </c>
    </row>
    <row r="12" spans="1:39" x14ac:dyDescent="0.25">
      <c r="A12" s="9">
        <v>2</v>
      </c>
      <c r="B12" s="7"/>
      <c r="C12" s="18" t="s">
        <v>29</v>
      </c>
      <c r="D12" s="60">
        <f t="shared" si="0"/>
        <v>0</v>
      </c>
      <c r="E12" s="38">
        <f t="shared" si="0"/>
        <v>-19375.46</v>
      </c>
      <c r="F12" s="60">
        <f>'TIE-OUT'!V12+RECLASS!V12</f>
        <v>0</v>
      </c>
      <c r="G12" s="38">
        <f>'TIE-OUT'!W12+RECLASS!W12</f>
        <v>-19375.46</v>
      </c>
      <c r="H12" s="60"/>
      <c r="I12" s="38"/>
      <c r="J12" s="60"/>
      <c r="K12" s="160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127">
        <f>+Actuals!S285</f>
        <v>0</v>
      </c>
      <c r="W12" s="12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>
        <f>+Actuals!AE285</f>
        <v>0</v>
      </c>
      <c r="AI12" s="38">
        <f>+Actuals!AF285</f>
        <v>0</v>
      </c>
      <c r="AJ12" s="60">
        <f>+Actuals!AG285</f>
        <v>0</v>
      </c>
      <c r="AK12" s="38">
        <f>+Actuals!AH285</f>
        <v>0</v>
      </c>
      <c r="AL12" s="60">
        <f>+Actuals!AI285</f>
        <v>0</v>
      </c>
      <c r="AM12" s="38">
        <f>+Actuals!AJ285</f>
        <v>0</v>
      </c>
    </row>
    <row r="13" spans="1:39" x14ac:dyDescent="0.25">
      <c r="A13" s="9">
        <v>3</v>
      </c>
      <c r="B13" s="7"/>
      <c r="C13" s="18" t="s">
        <v>30</v>
      </c>
      <c r="D13" s="60">
        <f t="shared" si="0"/>
        <v>2941839</v>
      </c>
      <c r="E13" s="38">
        <f t="shared" si="0"/>
        <v>6789801</v>
      </c>
      <c r="F13" s="60">
        <f>'TIE-OUT'!V13+RECLASS!V13</f>
        <v>0</v>
      </c>
      <c r="G13" s="38">
        <f>'TIE-OUT'!W13+RECLASS!W13</f>
        <v>0</v>
      </c>
      <c r="H13" s="60">
        <f>2941839</f>
        <v>2941839</v>
      </c>
      <c r="I13" s="38">
        <f>6789801</f>
        <v>6789801</v>
      </c>
      <c r="J13" s="60">
        <v>0</v>
      </c>
      <c r="K13" s="147">
        <v>0</v>
      </c>
      <c r="L13" s="60">
        <v>-2635696</v>
      </c>
      <c r="M13" s="38">
        <v>-6074833</v>
      </c>
      <c r="N13" s="60"/>
      <c r="O13" s="38"/>
      <c r="P13" s="60"/>
      <c r="Q13" s="38"/>
      <c r="R13" s="60">
        <v>403106</v>
      </c>
      <c r="S13" s="38">
        <v>938574</v>
      </c>
      <c r="T13" s="60">
        <v>2232590</v>
      </c>
      <c r="U13" s="38">
        <v>5136259</v>
      </c>
      <c r="V13" s="127">
        <f>+Actuals!S286</f>
        <v>-2232590</v>
      </c>
      <c r="W13" s="128">
        <f>+Actuals!T286</f>
        <v>-5136259</v>
      </c>
      <c r="X13" s="60">
        <f>+Actuals!U286</f>
        <v>0</v>
      </c>
      <c r="Y13" s="38">
        <f>+Actuals!V286</f>
        <v>0</v>
      </c>
      <c r="Z13" s="60">
        <f>+Actuals!W286</f>
        <v>2232590</v>
      </c>
      <c r="AA13" s="38">
        <f>+Actuals!X286</f>
        <v>5136259</v>
      </c>
      <c r="AB13" s="60">
        <f>+Actuals!Y286</f>
        <v>0</v>
      </c>
      <c r="AC13" s="38">
        <f>+Actuals!Z286</f>
        <v>0</v>
      </c>
      <c r="AD13" s="60">
        <f>+Actuals!AA286</f>
        <v>0</v>
      </c>
      <c r="AE13" s="38">
        <f>+Actuals!AB286</f>
        <v>0</v>
      </c>
      <c r="AF13" s="60">
        <f>+Actuals!AC286</f>
        <v>0</v>
      </c>
      <c r="AG13" s="38">
        <f>+Actuals!AD286</f>
        <v>0</v>
      </c>
      <c r="AH13" s="60">
        <f>+Actuals!AE286</f>
        <v>0</v>
      </c>
      <c r="AI13" s="38">
        <f>+Actuals!AF286</f>
        <v>0</v>
      </c>
      <c r="AJ13" s="60">
        <f>+Actuals!AG286</f>
        <v>0</v>
      </c>
      <c r="AK13" s="38">
        <f>+Actuals!AH286</f>
        <v>0</v>
      </c>
      <c r="AL13" s="60">
        <f>+Actuals!AI286</f>
        <v>0</v>
      </c>
      <c r="AM13" s="38">
        <f>+Actuals!AJ286</f>
        <v>0</v>
      </c>
    </row>
    <row r="14" spans="1:39" x14ac:dyDescent="0.25">
      <c r="A14" s="9">
        <v>4</v>
      </c>
      <c r="B14" s="7"/>
      <c r="C14" s="18" t="s">
        <v>31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127">
        <f>+Actuals!S287</f>
        <v>0</v>
      </c>
      <c r="W14" s="12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>
        <f>+Actuals!AE287</f>
        <v>0</v>
      </c>
      <c r="AI14" s="38">
        <f>+Actuals!AF287</f>
        <v>0</v>
      </c>
      <c r="AJ14" s="60">
        <f>+Actuals!AG287</f>
        <v>0</v>
      </c>
      <c r="AK14" s="38">
        <f>+Actuals!AH287</f>
        <v>0</v>
      </c>
      <c r="AL14" s="60">
        <f>+Actuals!AI287</f>
        <v>0</v>
      </c>
      <c r="AM14" s="38">
        <f>+Actuals!AJ287</f>
        <v>0</v>
      </c>
    </row>
    <row r="15" spans="1:39" x14ac:dyDescent="0.25">
      <c r="A15" s="9">
        <v>5</v>
      </c>
      <c r="B15" s="7"/>
      <c r="C15" s="18" t="s">
        <v>32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127">
        <f>+Actuals!S288</f>
        <v>0</v>
      </c>
      <c r="W15" s="12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>
        <f>+Actuals!AE288</f>
        <v>0</v>
      </c>
      <c r="AI15" s="38">
        <f>+Actuals!AF288</f>
        <v>0</v>
      </c>
      <c r="AJ15" s="60">
        <f>+Actuals!AG288</f>
        <v>0</v>
      </c>
      <c r="AK15" s="38">
        <f>+Actuals!AH288</f>
        <v>0</v>
      </c>
      <c r="AL15" s="60">
        <f>+Actuals!AI288</f>
        <v>0</v>
      </c>
      <c r="AM15" s="38">
        <f>+Actuals!AJ288</f>
        <v>0</v>
      </c>
    </row>
    <row r="16" spans="1:39" x14ac:dyDescent="0.25">
      <c r="A16" s="9"/>
      <c r="B16" s="7" t="s">
        <v>33</v>
      </c>
      <c r="C16" s="6"/>
      <c r="D16" s="61">
        <f>SUM(D11:D15)</f>
        <v>12345595</v>
      </c>
      <c r="E16" s="39">
        <f>SUM(E11:E15)</f>
        <v>26581132.539999999</v>
      </c>
      <c r="F16" s="61">
        <f t="shared" ref="F16:T16" si="1">SUM(F11:F15)</f>
        <v>0</v>
      </c>
      <c r="G16" s="39">
        <f t="shared" si="1"/>
        <v>-19375.46</v>
      </c>
      <c r="H16" s="61">
        <f t="shared" si="1"/>
        <v>12345595</v>
      </c>
      <c r="I16" s="39">
        <f t="shared" si="1"/>
        <v>26633086</v>
      </c>
      <c r="J16" s="61">
        <f t="shared" si="1"/>
        <v>0</v>
      </c>
      <c r="K16" s="148">
        <f t="shared" si="1"/>
        <v>0</v>
      </c>
      <c r="L16" s="61">
        <f t="shared" si="1"/>
        <v>-2635696</v>
      </c>
      <c r="M16" s="39">
        <f t="shared" si="1"/>
        <v>-6086111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-21300</v>
      </c>
      <c r="R16" s="61">
        <f t="shared" si="1"/>
        <v>403106</v>
      </c>
      <c r="S16" s="39">
        <f t="shared" si="1"/>
        <v>938574</v>
      </c>
      <c r="T16" s="61">
        <f t="shared" si="1"/>
        <v>2232590</v>
      </c>
      <c r="U16" s="39">
        <f t="shared" ref="U16:AC16" si="2">SUM(U11:U15)</f>
        <v>5136259</v>
      </c>
      <c r="V16" s="61">
        <f t="shared" si="2"/>
        <v>-2232590</v>
      </c>
      <c r="W16" s="39">
        <f t="shared" si="2"/>
        <v>-5136259</v>
      </c>
      <c r="X16" s="61">
        <f t="shared" si="2"/>
        <v>0</v>
      </c>
      <c r="Y16" s="39">
        <f t="shared" si="2"/>
        <v>0</v>
      </c>
      <c r="Z16" s="61">
        <f t="shared" si="2"/>
        <v>2232590</v>
      </c>
      <c r="AA16" s="39">
        <f t="shared" si="2"/>
        <v>5136259</v>
      </c>
      <c r="AB16" s="61">
        <f t="shared" si="2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>SUM(AJ11:AJ15)</f>
        <v>0</v>
      </c>
      <c r="AK16" s="39">
        <f>SUM(AK11:AK15)</f>
        <v>0</v>
      </c>
      <c r="AL16" s="61">
        <f>SUM(AL11:AL15)</f>
        <v>0</v>
      </c>
      <c r="AM16" s="39">
        <f>SUM(AM11:AM15)</f>
        <v>0</v>
      </c>
    </row>
    <row r="17" spans="1:3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5">
      <c r="A19" s="9">
        <v>6</v>
      </c>
      <c r="B19" s="7"/>
      <c r="C19" s="18" t="s">
        <v>28</v>
      </c>
      <c r="D19" s="60">
        <f t="shared" ref="D19:E23" si="4">SUM(F19,H19,J19,L19,N19,P19,R19,T19,V19,X19,Z19,AB19,AD19,AF19,AH19,AJ19,AL19)</f>
        <v>-10944670</v>
      </c>
      <c r="E19" s="38">
        <f t="shared" si="4"/>
        <v>-25050006</v>
      </c>
      <c r="F19" s="64">
        <f>'TIE-OUT'!V19+RECLASS!V19</f>
        <v>0</v>
      </c>
      <c r="G19" s="68">
        <f>'TIE-OUT'!W19+RECLASS!W19</f>
        <v>0</v>
      </c>
      <c r="H19" s="60">
        <f>-7736701+243043+26013-5000-1686091-269056</f>
        <v>-9427792</v>
      </c>
      <c r="I19" s="38">
        <f>-17989182+252813+43062-11662-3798523-295875</f>
        <v>-21799367</v>
      </c>
      <c r="J19" s="60">
        <f>32223+1539</f>
        <v>33762</v>
      </c>
      <c r="K19" s="147">
        <f>75546-30445</f>
        <v>45101</v>
      </c>
      <c r="L19" s="60">
        <f>-500640-1050000</f>
        <v>-1550640</v>
      </c>
      <c r="M19" s="38">
        <f>-875760-2419980</f>
        <v>-3295740</v>
      </c>
      <c r="N19" s="60"/>
      <c r="O19" s="38"/>
      <c r="P19" s="60"/>
      <c r="Q19" s="38"/>
      <c r="R19" s="60"/>
      <c r="S19" s="38"/>
      <c r="T19" s="60"/>
      <c r="U19" s="38"/>
      <c r="V19" s="127">
        <f>+Actuals!S289</f>
        <v>0</v>
      </c>
      <c r="W19" s="128">
        <f>+Actuals!T289</f>
        <v>0</v>
      </c>
      <c r="X19" s="60">
        <f>+Actuals!U289</f>
        <v>0</v>
      </c>
      <c r="Y19" s="38">
        <f>+Actuals!V289</f>
        <v>0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>
        <f>+Actuals!AE289</f>
        <v>0</v>
      </c>
      <c r="AI19" s="38">
        <f>+Actuals!AF289</f>
        <v>0</v>
      </c>
      <c r="AJ19" s="60">
        <f>+Actuals!AG289</f>
        <v>0</v>
      </c>
      <c r="AK19" s="38">
        <f>+Actuals!AH289</f>
        <v>0</v>
      </c>
      <c r="AL19" s="60">
        <f>+Actuals!AI289</f>
        <v>0</v>
      </c>
      <c r="AM19" s="38">
        <f>+Actuals!AJ289</f>
        <v>0</v>
      </c>
    </row>
    <row r="20" spans="1:39" x14ac:dyDescent="0.25">
      <c r="A20" s="9">
        <v>7</v>
      </c>
      <c r="B20" s="7"/>
      <c r="C20" s="18" t="s">
        <v>29</v>
      </c>
      <c r="D20" s="60">
        <f t="shared" si="4"/>
        <v>0</v>
      </c>
      <c r="E20" s="38">
        <f t="shared" si="4"/>
        <v>20976.74</v>
      </c>
      <c r="F20" s="60">
        <f>'TIE-OUT'!V20+RECLASS!V20</f>
        <v>0</v>
      </c>
      <c r="G20" s="38">
        <f>'TIE-OUT'!W20+RECLASS!W20</f>
        <v>20976.74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127">
        <f>+Actuals!S290</f>
        <v>0</v>
      </c>
      <c r="W20" s="128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>
        <f>+Actuals!AE290</f>
        <v>0</v>
      </c>
      <c r="AI20" s="38">
        <f>+Actuals!AF290</f>
        <v>0</v>
      </c>
      <c r="AJ20" s="60">
        <f>+Actuals!AG290</f>
        <v>0</v>
      </c>
      <c r="AK20" s="38">
        <f>+Actuals!AH290</f>
        <v>0</v>
      </c>
      <c r="AL20" s="60">
        <f>+Actuals!AI290</f>
        <v>0</v>
      </c>
      <c r="AM20" s="38">
        <f>+Actuals!AJ290</f>
        <v>0</v>
      </c>
    </row>
    <row r="21" spans="1:39" x14ac:dyDescent="0.25">
      <c r="A21" s="9">
        <v>8</v>
      </c>
      <c r="B21" s="7"/>
      <c r="C21" s="18" t="s">
        <v>30</v>
      </c>
      <c r="D21" s="60">
        <f t="shared" si="4"/>
        <v>-1162000</v>
      </c>
      <c r="E21" s="38">
        <f t="shared" si="4"/>
        <v>-2684960</v>
      </c>
      <c r="F21" s="60">
        <f>'TIE-OUT'!V21+RECLASS!V21</f>
        <v>0</v>
      </c>
      <c r="G21" s="38">
        <f>'TIE-OUT'!W21+RECLASS!W21</f>
        <v>0</v>
      </c>
      <c r="H21" s="60">
        <v>-1162000</v>
      </c>
      <c r="I21" s="38">
        <v>-2684960</v>
      </c>
      <c r="J21" s="60"/>
      <c r="K21" s="147"/>
      <c r="L21" s="60">
        <v>1050000</v>
      </c>
      <c r="M21" s="38">
        <v>2419980</v>
      </c>
      <c r="N21" s="60"/>
      <c r="O21" s="38"/>
      <c r="P21" s="60"/>
      <c r="Q21" s="38"/>
      <c r="R21" s="60">
        <v>-403106</v>
      </c>
      <c r="S21" s="38">
        <v>-938574</v>
      </c>
      <c r="T21" s="60">
        <v>-646894</v>
      </c>
      <c r="U21" s="38">
        <v>-1481406</v>
      </c>
      <c r="V21" s="127">
        <f>+Actuals!S291</f>
        <v>646894</v>
      </c>
      <c r="W21" s="128">
        <f>+Actuals!T291</f>
        <v>1481406</v>
      </c>
      <c r="X21" s="60">
        <f>+Actuals!U291</f>
        <v>0</v>
      </c>
      <c r="Y21" s="38">
        <f>+Actuals!V291</f>
        <v>0</v>
      </c>
      <c r="Z21" s="60">
        <f>+Actuals!W291</f>
        <v>-646894</v>
      </c>
      <c r="AA21" s="38">
        <f>+Actuals!X291</f>
        <v>-1481406</v>
      </c>
      <c r="AB21" s="60">
        <f>+Actuals!Y291</f>
        <v>0</v>
      </c>
      <c r="AC21" s="38">
        <f>+Actuals!Z291</f>
        <v>0</v>
      </c>
      <c r="AD21" s="60">
        <f>+Actuals!AA291</f>
        <v>0</v>
      </c>
      <c r="AE21" s="38">
        <f>+Actuals!AB291</f>
        <v>0</v>
      </c>
      <c r="AF21" s="60">
        <f>+Actuals!AC291</f>
        <v>0</v>
      </c>
      <c r="AG21" s="38">
        <f>+Actuals!AD291</f>
        <v>0</v>
      </c>
      <c r="AH21" s="60">
        <f>+Actuals!AE291</f>
        <v>0</v>
      </c>
      <c r="AI21" s="38">
        <f>+Actuals!AF291</f>
        <v>0</v>
      </c>
      <c r="AJ21" s="60">
        <f>+Actuals!AG291</f>
        <v>0</v>
      </c>
      <c r="AK21" s="38">
        <f>+Actuals!AH291</f>
        <v>0</v>
      </c>
      <c r="AL21" s="60">
        <f>+Actuals!AI291</f>
        <v>0</v>
      </c>
      <c r="AM21" s="38">
        <f>+Actuals!AJ291</f>
        <v>0</v>
      </c>
    </row>
    <row r="22" spans="1:39" x14ac:dyDescent="0.25">
      <c r="A22" s="9">
        <v>9</v>
      </c>
      <c r="B22" s="7"/>
      <c r="C22" s="18" t="s">
        <v>31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127">
        <f>+Actuals!S292</f>
        <v>0</v>
      </c>
      <c r="W22" s="12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>
        <f>+Actuals!AE292</f>
        <v>0</v>
      </c>
      <c r="AI22" s="38">
        <f>+Actuals!AF292</f>
        <v>0</v>
      </c>
      <c r="AJ22" s="60">
        <f>+Actuals!AG292</f>
        <v>0</v>
      </c>
      <c r="AK22" s="38">
        <f>+Actuals!AH292</f>
        <v>0</v>
      </c>
      <c r="AL22" s="60">
        <f>+Actuals!AI292</f>
        <v>0</v>
      </c>
      <c r="AM22" s="38">
        <f>+Actuals!AJ292</f>
        <v>0</v>
      </c>
    </row>
    <row r="23" spans="1:39" x14ac:dyDescent="0.25">
      <c r="A23" s="9">
        <v>10</v>
      </c>
      <c r="B23" s="7"/>
      <c r="C23" s="18" t="s">
        <v>35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127">
        <f>+Actuals!S293</f>
        <v>0</v>
      </c>
      <c r="W23" s="12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>
        <f>+Actuals!AE293</f>
        <v>0</v>
      </c>
      <c r="AI23" s="38">
        <f>+Actuals!AF293</f>
        <v>0</v>
      </c>
      <c r="AJ23" s="60">
        <f>+Actuals!AG293</f>
        <v>0</v>
      </c>
      <c r="AK23" s="38">
        <f>+Actuals!AH293</f>
        <v>0</v>
      </c>
      <c r="AL23" s="60">
        <f>+Actuals!AI293</f>
        <v>0</v>
      </c>
      <c r="AM23" s="38">
        <f>+Actuals!AJ293</f>
        <v>0</v>
      </c>
    </row>
    <row r="24" spans="1:39" x14ac:dyDescent="0.25">
      <c r="A24" s="9"/>
      <c r="B24" s="7" t="s">
        <v>36</v>
      </c>
      <c r="C24" s="6"/>
      <c r="D24" s="61">
        <f>SUM(D19:D23)</f>
        <v>-12106670</v>
      </c>
      <c r="E24" s="39">
        <f>SUM(E19:E23)</f>
        <v>-27713989.260000002</v>
      </c>
      <c r="F24" s="61">
        <f t="shared" ref="F24:T24" si="5">SUM(F19:F23)</f>
        <v>0</v>
      </c>
      <c r="G24" s="39">
        <f t="shared" si="5"/>
        <v>20976.74</v>
      </c>
      <c r="H24" s="61">
        <f t="shared" si="5"/>
        <v>-10589792</v>
      </c>
      <c r="I24" s="39">
        <f t="shared" si="5"/>
        <v>-24484327</v>
      </c>
      <c r="J24" s="61">
        <f t="shared" si="5"/>
        <v>33762</v>
      </c>
      <c r="K24" s="148">
        <f t="shared" si="5"/>
        <v>45101</v>
      </c>
      <c r="L24" s="61">
        <f t="shared" si="5"/>
        <v>-500640</v>
      </c>
      <c r="M24" s="39">
        <f t="shared" si="5"/>
        <v>-875760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-403106</v>
      </c>
      <c r="S24" s="39">
        <f t="shared" si="5"/>
        <v>-938574</v>
      </c>
      <c r="T24" s="61">
        <f t="shared" si="5"/>
        <v>-646894</v>
      </c>
      <c r="U24" s="39">
        <f t="shared" ref="U24:AC24" si="6">SUM(U19:U23)</f>
        <v>-1481406</v>
      </c>
      <c r="V24" s="61">
        <f t="shared" si="6"/>
        <v>646894</v>
      </c>
      <c r="W24" s="39">
        <f t="shared" si="6"/>
        <v>1481406</v>
      </c>
      <c r="X24" s="61">
        <f t="shared" si="6"/>
        <v>0</v>
      </c>
      <c r="Y24" s="39">
        <f t="shared" si="6"/>
        <v>0</v>
      </c>
      <c r="Z24" s="61">
        <f t="shared" si="6"/>
        <v>-646894</v>
      </c>
      <c r="AA24" s="39">
        <f t="shared" si="6"/>
        <v>-1481406</v>
      </c>
      <c r="AB24" s="61">
        <f t="shared" si="6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>SUM(AJ19:AJ23)</f>
        <v>0</v>
      </c>
      <c r="AK24" s="39">
        <f>SUM(AK19:AK23)</f>
        <v>0</v>
      </c>
      <c r="AL24" s="61">
        <f>SUM(AL19:AL23)</f>
        <v>0</v>
      </c>
      <c r="AM24" s="39">
        <f>SUM(AM19:AM23)</f>
        <v>0</v>
      </c>
    </row>
    <row r="25" spans="1:3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5">
      <c r="A27" s="9">
        <v>11</v>
      </c>
      <c r="B27" s="7"/>
      <c r="C27" s="18" t="s">
        <v>38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127">
        <f>+Actuals!S294</f>
        <v>0</v>
      </c>
      <c r="W27" s="12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>
        <f>+Actuals!AE294</f>
        <v>0</v>
      </c>
      <c r="AI27" s="38">
        <f>+Actuals!AF294</f>
        <v>0</v>
      </c>
      <c r="AJ27" s="60">
        <f>+Actuals!AG294</f>
        <v>0</v>
      </c>
      <c r="AK27" s="38">
        <f>+Actuals!AH294</f>
        <v>0</v>
      </c>
      <c r="AL27" s="60">
        <f>+Actuals!AI294</f>
        <v>0</v>
      </c>
      <c r="AM27" s="38">
        <f>+Actuals!AJ294</f>
        <v>0</v>
      </c>
    </row>
    <row r="28" spans="1:39" x14ac:dyDescent="0.25">
      <c r="A28" s="9">
        <v>12</v>
      </c>
      <c r="B28" s="7"/>
      <c r="C28" s="18" t="s">
        <v>39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127">
        <f>+Actuals!S295</f>
        <v>0</v>
      </c>
      <c r="W28" s="12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>
        <f>+Actuals!AE295</f>
        <v>0</v>
      </c>
      <c r="AI28" s="38">
        <f>+Actuals!AF295</f>
        <v>0</v>
      </c>
      <c r="AJ28" s="60">
        <f>+Actuals!AG295</f>
        <v>0</v>
      </c>
      <c r="AK28" s="38">
        <f>+Actuals!AH295</f>
        <v>0</v>
      </c>
      <c r="AL28" s="60">
        <f>+Actuals!AI295</f>
        <v>0</v>
      </c>
      <c r="AM28" s="38">
        <f>+Actuals!AJ295</f>
        <v>0</v>
      </c>
    </row>
    <row r="29" spans="1:39" x14ac:dyDescent="0.25">
      <c r="A29" s="9"/>
      <c r="B29" s="7" t="s">
        <v>40</v>
      </c>
      <c r="C29" s="18"/>
      <c r="D29" s="61">
        <f>SUM(D27:D28)</f>
        <v>0</v>
      </c>
      <c r="E29" s="39">
        <f>SUM(E27:E28)</f>
        <v>0</v>
      </c>
      <c r="F29" s="61">
        <f t="shared" ref="F29:T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A29" si="9">SUM(U27:U28)</f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ref="AH29:AM29" si="11">SUM(AH27:AH28)</f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si="11"/>
        <v>0</v>
      </c>
      <c r="AM29" s="39">
        <f t="shared" si="11"/>
        <v>0</v>
      </c>
    </row>
    <row r="30" spans="1:3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5">
      <c r="A32" s="9">
        <v>13</v>
      </c>
      <c r="B32" s="7"/>
      <c r="C32" s="18" t="s">
        <v>42</v>
      </c>
      <c r="D32" s="60">
        <f t="shared" ref="D32:E35" si="12">SUM(F32,H32,J32,L32,N32,P32,R32,T32,V32,X32,Z32,AB32,AD32,AF32,AH32,AJ32,AL32)</f>
        <v>0</v>
      </c>
      <c r="E32" s="38">
        <f t="shared" si="12"/>
        <v>0</v>
      </c>
      <c r="F32" s="64">
        <f>'TIE-OUT'!V32+RECLASS!V32</f>
        <v>0</v>
      </c>
      <c r="G32" s="68">
        <f>'TIE-OUT'!W32+RECLASS!W32</f>
        <v>0</v>
      </c>
      <c r="H32" s="60">
        <v>-1755803</v>
      </c>
      <c r="I32" s="38">
        <v>-4003231</v>
      </c>
      <c r="J32" s="60">
        <v>1755803</v>
      </c>
      <c r="K32" s="147">
        <v>4003231</v>
      </c>
      <c r="L32" s="60">
        <v>0</v>
      </c>
      <c r="M32" s="38">
        <v>0</v>
      </c>
      <c r="N32" s="60"/>
      <c r="O32" s="38"/>
      <c r="P32" s="60"/>
      <c r="Q32" s="38"/>
      <c r="R32" s="60"/>
      <c r="S32" s="38"/>
      <c r="T32" s="60"/>
      <c r="U32" s="38"/>
      <c r="V32" s="127">
        <f>+Actuals!S296</f>
        <v>0</v>
      </c>
      <c r="W32" s="12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>
        <f>+Actuals!AE296</f>
        <v>0</v>
      </c>
      <c r="AI32" s="38">
        <f>+Actuals!AF296</f>
        <v>0</v>
      </c>
      <c r="AJ32" s="60">
        <f>+Actuals!AG296</f>
        <v>0</v>
      </c>
      <c r="AK32" s="38">
        <f>+Actuals!AH296</f>
        <v>0</v>
      </c>
      <c r="AL32" s="60">
        <f>+Actuals!AI296</f>
        <v>0</v>
      </c>
      <c r="AM32" s="38">
        <f>+Actuals!AJ296</f>
        <v>0</v>
      </c>
    </row>
    <row r="33" spans="1:39" x14ac:dyDescent="0.25">
      <c r="A33" s="9">
        <v>14</v>
      </c>
      <c r="B33" s="7"/>
      <c r="C33" s="18" t="s">
        <v>43</v>
      </c>
      <c r="D33" s="60">
        <f t="shared" si="12"/>
        <v>0</v>
      </c>
      <c r="E33" s="38">
        <f t="shared" si="12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127">
        <f>+Actuals!S297</f>
        <v>0</v>
      </c>
      <c r="W33" s="12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>
        <f>+Actuals!AE297</f>
        <v>0</v>
      </c>
      <c r="AI33" s="38">
        <f>+Actuals!AF297</f>
        <v>0</v>
      </c>
      <c r="AJ33" s="60">
        <f>+Actuals!AG297</f>
        <v>0</v>
      </c>
      <c r="AK33" s="38">
        <f>+Actuals!AH297</f>
        <v>0</v>
      </c>
      <c r="AL33" s="60">
        <f>+Actuals!AI297</f>
        <v>0</v>
      </c>
      <c r="AM33" s="38">
        <f>+Actuals!AJ297</f>
        <v>0</v>
      </c>
    </row>
    <row r="34" spans="1:39" x14ac:dyDescent="0.25">
      <c r="A34" s="9">
        <v>15</v>
      </c>
      <c r="B34" s="7"/>
      <c r="C34" s="18" t="s">
        <v>44</v>
      </c>
      <c r="D34" s="60">
        <f t="shared" si="12"/>
        <v>0</v>
      </c>
      <c r="E34" s="38">
        <f t="shared" si="12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127">
        <f>+Actuals!S298</f>
        <v>0</v>
      </c>
      <c r="W34" s="12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>
        <f>+Actuals!AE298</f>
        <v>0</v>
      </c>
      <c r="AI34" s="38">
        <f>+Actuals!AF298</f>
        <v>0</v>
      </c>
      <c r="AJ34" s="60">
        <f>+Actuals!AG298</f>
        <v>0</v>
      </c>
      <c r="AK34" s="38">
        <f>+Actuals!AH298</f>
        <v>0</v>
      </c>
      <c r="AL34" s="60">
        <f>+Actuals!AI298</f>
        <v>0</v>
      </c>
      <c r="AM34" s="38">
        <f>+Actuals!AJ298</f>
        <v>0</v>
      </c>
    </row>
    <row r="35" spans="1:39" x14ac:dyDescent="0.25">
      <c r="A35" s="9">
        <v>16</v>
      </c>
      <c r="B35" s="7"/>
      <c r="C35" s="18" t="s">
        <v>45</v>
      </c>
      <c r="D35" s="60">
        <f t="shared" si="12"/>
        <v>562918</v>
      </c>
      <c r="E35" s="38">
        <f t="shared" si="12"/>
        <v>72417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>
        <v>562918</v>
      </c>
      <c r="M35" s="38">
        <v>72417</v>
      </c>
      <c r="N35" s="60"/>
      <c r="O35" s="38"/>
      <c r="P35" s="60"/>
      <c r="Q35" s="38"/>
      <c r="R35" s="60"/>
      <c r="S35" s="38"/>
      <c r="T35" s="60"/>
      <c r="U35" s="38"/>
      <c r="V35" s="127">
        <f>+Actuals!S299</f>
        <v>0</v>
      </c>
      <c r="W35" s="12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>
        <f>+Actuals!AE299</f>
        <v>0</v>
      </c>
      <c r="AI35" s="38">
        <f>+Actuals!AF299</f>
        <v>0</v>
      </c>
      <c r="AJ35" s="60">
        <f>+Actuals!AG299</f>
        <v>0</v>
      </c>
      <c r="AK35" s="38">
        <f>+Actuals!AH299</f>
        <v>0</v>
      </c>
      <c r="AL35" s="60">
        <f>+Actuals!AI299</f>
        <v>0</v>
      </c>
      <c r="AM35" s="38">
        <f>+Actuals!AJ299</f>
        <v>0</v>
      </c>
    </row>
    <row r="36" spans="1:39" x14ac:dyDescent="0.25">
      <c r="A36" s="9"/>
      <c r="B36" s="7" t="s">
        <v>46</v>
      </c>
      <c r="C36" s="6"/>
      <c r="D36" s="61">
        <f>SUM(D32:D35)</f>
        <v>562918</v>
      </c>
      <c r="E36" s="39">
        <f>SUM(E32:E35)</f>
        <v>72417</v>
      </c>
      <c r="F36" s="61">
        <f t="shared" ref="F36:T36" si="13">SUM(F32:F35)</f>
        <v>0</v>
      </c>
      <c r="G36" s="39">
        <f t="shared" si="13"/>
        <v>0</v>
      </c>
      <c r="H36" s="61">
        <f t="shared" si="13"/>
        <v>-1755803</v>
      </c>
      <c r="I36" s="39">
        <f t="shared" si="13"/>
        <v>-4003231</v>
      </c>
      <c r="J36" s="61">
        <f t="shared" si="13"/>
        <v>1755803</v>
      </c>
      <c r="K36" s="148">
        <f t="shared" si="13"/>
        <v>4003231</v>
      </c>
      <c r="L36" s="61">
        <f t="shared" si="13"/>
        <v>562918</v>
      </c>
      <c r="M36" s="39">
        <f t="shared" si="13"/>
        <v>72417</v>
      </c>
      <c r="N36" s="61">
        <f t="shared" si="13"/>
        <v>0</v>
      </c>
      <c r="O36" s="39">
        <f t="shared" si="13"/>
        <v>0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 t="shared" ref="U36:AC36" si="14">SUM(U32:U35)</f>
        <v>0</v>
      </c>
      <c r="V36" s="61">
        <f t="shared" si="14"/>
        <v>0</v>
      </c>
      <c r="W36" s="39">
        <f t="shared" si="14"/>
        <v>0</v>
      </c>
      <c r="X36" s="61">
        <f t="shared" si="14"/>
        <v>0</v>
      </c>
      <c r="Y36" s="39">
        <f t="shared" si="14"/>
        <v>0</v>
      </c>
      <c r="Z36" s="61">
        <f t="shared" si="14"/>
        <v>0</v>
      </c>
      <c r="AA36" s="39">
        <f t="shared" si="14"/>
        <v>0</v>
      </c>
      <c r="AB36" s="61">
        <f t="shared" si="14"/>
        <v>0</v>
      </c>
      <c r="AC36" s="39">
        <f t="shared" si="14"/>
        <v>0</v>
      </c>
      <c r="AD36" s="61">
        <f t="shared" ref="AD36:AI36" si="15">SUM(AD32:AD35)</f>
        <v>0</v>
      </c>
      <c r="AE36" s="39">
        <f t="shared" si="15"/>
        <v>0</v>
      </c>
      <c r="AF36" s="61">
        <f t="shared" si="15"/>
        <v>0</v>
      </c>
      <c r="AG36" s="39">
        <f t="shared" si="15"/>
        <v>0</v>
      </c>
      <c r="AH36" s="61">
        <f t="shared" si="15"/>
        <v>0</v>
      </c>
      <c r="AI36" s="39">
        <f t="shared" si="15"/>
        <v>0</v>
      </c>
      <c r="AJ36" s="61">
        <f>SUM(AJ32:AJ35)</f>
        <v>0</v>
      </c>
      <c r="AK36" s="39">
        <f>SUM(AK32:AK35)</f>
        <v>0</v>
      </c>
      <c r="AL36" s="61">
        <f>SUM(AL32:AL35)</f>
        <v>0</v>
      </c>
      <c r="AM36" s="39">
        <f>SUM(AM32:AM35)</f>
        <v>0</v>
      </c>
    </row>
    <row r="37" spans="1:3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5">
      <c r="A39" s="9">
        <v>17</v>
      </c>
      <c r="B39" s="7"/>
      <c r="C39" s="18" t="s">
        <v>48</v>
      </c>
      <c r="D39" s="60">
        <f t="shared" ref="D39:E41" si="16">SUM(F39,H39,J39,L39,N39,P39,R39,T39,V39,X39,Z39,AB39,AD39,AF39,AH39,AJ39,AL39)</f>
        <v>0</v>
      </c>
      <c r="E39" s="38">
        <f t="shared" si="16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127">
        <f>+Actuals!S300</f>
        <v>0</v>
      </c>
      <c r="W39" s="12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>
        <f>+Actuals!AE300</f>
        <v>0</v>
      </c>
      <c r="AI39" s="38">
        <f>+Actuals!AF300</f>
        <v>0</v>
      </c>
      <c r="AJ39" s="60">
        <f>+Actuals!AG300</f>
        <v>0</v>
      </c>
      <c r="AK39" s="38">
        <f>+Actuals!AH300</f>
        <v>0</v>
      </c>
      <c r="AL39" s="60">
        <f>+Actuals!AI300</f>
        <v>0</v>
      </c>
      <c r="AM39" s="38">
        <f>+Actuals!AJ300</f>
        <v>0</v>
      </c>
    </row>
    <row r="40" spans="1:39" ht="22.5" customHeight="1" x14ac:dyDescent="0.25">
      <c r="A40" s="9">
        <v>18</v>
      </c>
      <c r="B40" s="7"/>
      <c r="C40" s="18" t="s">
        <v>49</v>
      </c>
      <c r="D40" s="60">
        <f t="shared" si="16"/>
        <v>0</v>
      </c>
      <c r="E40" s="38">
        <f t="shared" si="16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127">
        <f>+Actuals!S301</f>
        <v>0</v>
      </c>
      <c r="W40" s="12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>
        <f>+Actuals!AE301</f>
        <v>0</v>
      </c>
      <c r="AI40" s="38">
        <f>+Actuals!AF301</f>
        <v>0</v>
      </c>
      <c r="AJ40" s="60">
        <f>+Actuals!AG301</f>
        <v>0</v>
      </c>
      <c r="AK40" s="38">
        <f>+Actuals!AH301</f>
        <v>0</v>
      </c>
      <c r="AL40" s="60">
        <f>+Actuals!AI301</f>
        <v>0</v>
      </c>
      <c r="AM40" s="38">
        <f>+Actuals!AJ301</f>
        <v>0</v>
      </c>
    </row>
    <row r="41" spans="1:39" x14ac:dyDescent="0.25">
      <c r="A41" s="9">
        <v>19</v>
      </c>
      <c r="B41" s="7"/>
      <c r="C41" s="18" t="s">
        <v>50</v>
      </c>
      <c r="D41" s="60">
        <f t="shared" si="16"/>
        <v>0</v>
      </c>
      <c r="E41" s="38">
        <f t="shared" si="16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127">
        <f>+Actuals!S302</f>
        <v>0</v>
      </c>
      <c r="W41" s="12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>
        <f>+Actuals!AE302</f>
        <v>0</v>
      </c>
      <c r="AI41" s="38">
        <f>+Actuals!AF302</f>
        <v>0</v>
      </c>
      <c r="AJ41" s="60">
        <f>+Actuals!AG302</f>
        <v>0</v>
      </c>
      <c r="AK41" s="38">
        <f>+Actuals!AH302</f>
        <v>0</v>
      </c>
      <c r="AL41" s="60">
        <f>+Actuals!AI302</f>
        <v>0</v>
      </c>
      <c r="AM41" s="38">
        <f>+Actuals!AJ302</f>
        <v>0</v>
      </c>
    </row>
    <row r="42" spans="1:39" x14ac:dyDescent="0.25">
      <c r="A42" s="9"/>
      <c r="B42" s="7"/>
      <c r="C42" s="53" t="s">
        <v>51</v>
      </c>
      <c r="D42" s="61">
        <f>SUM(D40:D41)</f>
        <v>0</v>
      </c>
      <c r="E42" s="39">
        <f>SUM(E40:E41)</f>
        <v>0</v>
      </c>
      <c r="F42" s="61">
        <f t="shared" ref="F42:T42" si="17">SUM(F40:F41)</f>
        <v>0</v>
      </c>
      <c r="G42" s="39">
        <f t="shared" si="17"/>
        <v>0</v>
      </c>
      <c r="H42" s="61">
        <f t="shared" si="17"/>
        <v>0</v>
      </c>
      <c r="I42" s="39">
        <f t="shared" si="17"/>
        <v>0</v>
      </c>
      <c r="J42" s="61">
        <f t="shared" si="17"/>
        <v>0</v>
      </c>
      <c r="K42" s="148">
        <f t="shared" si="17"/>
        <v>0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ref="U42:AC42" si="18">SUM(U40:U41)</f>
        <v>0</v>
      </c>
      <c r="V42" s="61">
        <f t="shared" si="18"/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ref="AD42:AI42" si="19">SUM(AD40:AD41)</f>
        <v>0</v>
      </c>
      <c r="AE42" s="39">
        <f t="shared" si="19"/>
        <v>0</v>
      </c>
      <c r="AF42" s="61">
        <f t="shared" si="19"/>
        <v>0</v>
      </c>
      <c r="AG42" s="39">
        <f t="shared" si="19"/>
        <v>0</v>
      </c>
      <c r="AH42" s="61">
        <f t="shared" si="19"/>
        <v>0</v>
      </c>
      <c r="AI42" s="39">
        <f t="shared" si="19"/>
        <v>0</v>
      </c>
      <c r="AJ42" s="61">
        <f>SUM(AJ40:AJ41)</f>
        <v>0</v>
      </c>
      <c r="AK42" s="39">
        <f>SUM(AK40:AK41)</f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5">
      <c r="A43" s="9"/>
      <c r="B43" s="7" t="s">
        <v>52</v>
      </c>
      <c r="C43" s="6"/>
      <c r="D43" s="61">
        <f>D42+D39</f>
        <v>0</v>
      </c>
      <c r="E43" s="39">
        <f>E42+E39</f>
        <v>0</v>
      </c>
      <c r="F43" s="61">
        <f t="shared" ref="F43:T43" si="20">F42+F39</f>
        <v>0</v>
      </c>
      <c r="G43" s="39">
        <f t="shared" si="20"/>
        <v>0</v>
      </c>
      <c r="H43" s="61">
        <f t="shared" si="20"/>
        <v>0</v>
      </c>
      <c r="I43" s="39">
        <f t="shared" si="20"/>
        <v>0</v>
      </c>
      <c r="J43" s="61">
        <f t="shared" si="20"/>
        <v>0</v>
      </c>
      <c r="K43" s="148">
        <f t="shared" si="20"/>
        <v>0</v>
      </c>
      <c r="L43" s="61">
        <f t="shared" si="20"/>
        <v>0</v>
      </c>
      <c r="M43" s="39">
        <f t="shared" si="20"/>
        <v>0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ref="U43:AC43" si="21">U42+U39</f>
        <v>0</v>
      </c>
      <c r="V43" s="61">
        <f t="shared" si="21"/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si="21"/>
        <v>0</v>
      </c>
      <c r="AC43" s="39">
        <f t="shared" si="21"/>
        <v>0</v>
      </c>
      <c r="AD43" s="61">
        <f t="shared" ref="AD43:AI43" si="22">AD42+AD39</f>
        <v>0</v>
      </c>
      <c r="AE43" s="39">
        <f t="shared" si="22"/>
        <v>0</v>
      </c>
      <c r="AF43" s="61">
        <f t="shared" si="22"/>
        <v>0</v>
      </c>
      <c r="AG43" s="39">
        <f t="shared" si="22"/>
        <v>0</v>
      </c>
      <c r="AH43" s="61">
        <f t="shared" si="22"/>
        <v>0</v>
      </c>
      <c r="AI43" s="39">
        <f t="shared" si="22"/>
        <v>0</v>
      </c>
      <c r="AJ43" s="61">
        <f>AJ42+AJ39</f>
        <v>0</v>
      </c>
      <c r="AK43" s="39">
        <f>AK42+AK39</f>
        <v>0</v>
      </c>
      <c r="AL43" s="61">
        <f>AL42+AL39</f>
        <v>0</v>
      </c>
      <c r="AM43" s="39">
        <f>AM42+AM39</f>
        <v>0</v>
      </c>
    </row>
    <row r="44" spans="1:3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5">
      <c r="A45" s="9">
        <v>20</v>
      </c>
      <c r="B45" s="11" t="s">
        <v>53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127">
        <f>+Actuals!S303</f>
        <v>0</v>
      </c>
      <c r="W45" s="12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>
        <f>+Actuals!AE303</f>
        <v>0</v>
      </c>
      <c r="AI45" s="38">
        <f>+Actuals!AF303</f>
        <v>0</v>
      </c>
      <c r="AJ45" s="60">
        <f>+Actuals!AG303</f>
        <v>0</v>
      </c>
      <c r="AK45" s="38">
        <f>+Actuals!AH303</f>
        <v>0</v>
      </c>
      <c r="AL45" s="60">
        <f>+Actuals!AI303</f>
        <v>0</v>
      </c>
      <c r="AM45" s="38">
        <f>+Actuals!AJ303</f>
        <v>0</v>
      </c>
    </row>
    <row r="46" spans="1:3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5">
      <c r="A47" s="9">
        <v>21</v>
      </c>
      <c r="B47" s="11" t="s">
        <v>54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127">
        <f>+Actuals!S304</f>
        <v>0</v>
      </c>
      <c r="W47" s="12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>
        <f>+Actuals!AE304</f>
        <v>0</v>
      </c>
      <c r="AI47" s="38">
        <f>+Actuals!AF304</f>
        <v>0</v>
      </c>
      <c r="AJ47" s="60">
        <f>+Actuals!AG304</f>
        <v>0</v>
      </c>
      <c r="AK47" s="38">
        <f>+Actuals!AH304</f>
        <v>0</v>
      </c>
      <c r="AL47" s="60">
        <f>+Actuals!AI304</f>
        <v>0</v>
      </c>
      <c r="AM47" s="38">
        <f>+Actuals!AJ304</f>
        <v>0</v>
      </c>
    </row>
    <row r="48" spans="1:3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5">
      <c r="A49" s="9">
        <v>22</v>
      </c>
      <c r="B49" s="11" t="s">
        <v>55</v>
      </c>
      <c r="C49" s="6"/>
      <c r="D49" s="60">
        <f>SUM(F49,H49,J49,L49,N49,P49,R49,T49,V49,X49,Z49,AB49,AD49,AF49,AH49,AJ49,AL49)</f>
        <v>-801843</v>
      </c>
      <c r="E49" s="38">
        <f>SUM(G49,I49,K49,M49,O49,Q49,S49,U49,W49,Y49,AA49,AC49,AE49,AG49,AI49,AK49,AM49)</f>
        <v>-1828202</v>
      </c>
      <c r="F49" s="60">
        <f>'TIE-OUT'!V49+RECLASS!V49</f>
        <v>0</v>
      </c>
      <c r="G49" s="38">
        <f>'TIE-OUT'!W49+RECLASS!W49</f>
        <v>0</v>
      </c>
      <c r="H49" s="60"/>
      <c r="I49" s="38">
        <v>0</v>
      </c>
      <c r="J49" s="60">
        <v>-1789565</v>
      </c>
      <c r="K49" s="147">
        <v>-4080208</v>
      </c>
      <c r="L49" s="60">
        <v>2573418</v>
      </c>
      <c r="M49" s="38">
        <v>5867393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-1585696</v>
      </c>
      <c r="U49" s="38">
        <v>-3615387</v>
      </c>
      <c r="V49" s="127">
        <f>+Actuals!S305</f>
        <v>1585696</v>
      </c>
      <c r="W49" s="128">
        <f>+Actuals!T305</f>
        <v>3615386.88</v>
      </c>
      <c r="X49" s="60">
        <f>+Actuals!U305</f>
        <v>0</v>
      </c>
      <c r="Y49" s="38">
        <f>+Actuals!V305</f>
        <v>0</v>
      </c>
      <c r="Z49" s="60">
        <f>+Actuals!W305</f>
        <v>-1585696</v>
      </c>
      <c r="AA49" s="38">
        <f>+Actuals!X305</f>
        <v>-3615386.88</v>
      </c>
      <c r="AB49" s="60">
        <f>+Actuals!Y305</f>
        <v>0</v>
      </c>
      <c r="AC49" s="38">
        <f>+Actuals!Z305</f>
        <v>0</v>
      </c>
      <c r="AD49" s="60">
        <f>+Actuals!AA305</f>
        <v>0</v>
      </c>
      <c r="AE49" s="38">
        <f>+Actuals!AB305</f>
        <v>0</v>
      </c>
      <c r="AF49" s="60">
        <f>+Actuals!AC305</f>
        <v>0</v>
      </c>
      <c r="AG49" s="38">
        <f>+Actuals!AD305</f>
        <v>0</v>
      </c>
      <c r="AH49" s="60">
        <f>+Actuals!AE305</f>
        <v>0</v>
      </c>
      <c r="AI49" s="38">
        <f>+Actuals!AF305</f>
        <v>0</v>
      </c>
      <c r="AJ49" s="60">
        <f>+Actuals!AG305</f>
        <v>0</v>
      </c>
      <c r="AK49" s="38">
        <f>+Actuals!AH305</f>
        <v>0</v>
      </c>
      <c r="AL49" s="60">
        <f>+Actuals!AI305</f>
        <v>0</v>
      </c>
      <c r="AM49" s="38">
        <f>+Actuals!AJ305</f>
        <v>0</v>
      </c>
    </row>
    <row r="50" spans="1:3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5">
      <c r="A51" s="9">
        <v>23</v>
      </c>
      <c r="B51" s="11" t="s">
        <v>56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127">
        <f>+Actuals!S306</f>
        <v>0</v>
      </c>
      <c r="W51" s="12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f>+Actuals!AE306</f>
        <v>0</v>
      </c>
      <c r="AI51" s="38">
        <f>+Actuals!AF306</f>
        <v>0</v>
      </c>
      <c r="AJ51" s="60">
        <f>+Actuals!AG306</f>
        <v>0</v>
      </c>
      <c r="AK51" s="38">
        <f>+Actuals!AH306</f>
        <v>0</v>
      </c>
      <c r="AL51" s="60">
        <f>+Actuals!AI306</f>
        <v>0</v>
      </c>
      <c r="AM51" s="38">
        <f>+Actuals!AJ306</f>
        <v>0</v>
      </c>
    </row>
    <row r="52" spans="1:39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5">
      <c r="A54" s="9">
        <v>24</v>
      </c>
      <c r="B54" s="7"/>
      <c r="C54" s="18" t="s">
        <v>58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127">
        <f>+Actuals!S307</f>
        <v>0</v>
      </c>
      <c r="W54" s="12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>
        <f>+Actuals!AE307</f>
        <v>0</v>
      </c>
      <c r="AI54" s="38">
        <f>+Actuals!AF307</f>
        <v>0</v>
      </c>
      <c r="AJ54" s="60">
        <f>+Actuals!AG307</f>
        <v>0</v>
      </c>
      <c r="AK54" s="38">
        <f>+Actuals!AH307</f>
        <v>0</v>
      </c>
      <c r="AL54" s="60">
        <f>+Actuals!AI307</f>
        <v>0</v>
      </c>
      <c r="AM54" s="38">
        <f>+Actuals!AJ307</f>
        <v>0</v>
      </c>
    </row>
    <row r="55" spans="1:39" x14ac:dyDescent="0.25">
      <c r="A55" s="9">
        <v>25</v>
      </c>
      <c r="B55" s="7"/>
      <c r="C55" s="18" t="s">
        <v>59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-14655</v>
      </c>
      <c r="F55" s="81">
        <f>'TIE-OUT'!V55+RECLASS!V55</f>
        <v>0</v>
      </c>
      <c r="G55" s="82">
        <f>'TIE-OUT'!W55+RECLASS!W55</f>
        <v>-14655</v>
      </c>
      <c r="H55" s="60"/>
      <c r="I55" s="38">
        <v>0</v>
      </c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127">
        <f>+Actuals!S308</f>
        <v>0</v>
      </c>
      <c r="W55" s="12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>
        <f>+Actuals!AE308</f>
        <v>0</v>
      </c>
      <c r="AI55" s="38">
        <f>+Actuals!AF308</f>
        <v>0</v>
      </c>
      <c r="AJ55" s="60">
        <f>+Actuals!AG308</f>
        <v>0</v>
      </c>
      <c r="AK55" s="38">
        <f>+Actuals!AH308</f>
        <v>0</v>
      </c>
      <c r="AL55" s="60">
        <f>+Actuals!AI308</f>
        <v>0</v>
      </c>
      <c r="AM55" s="38">
        <f>+Actuals!AJ308</f>
        <v>0</v>
      </c>
    </row>
    <row r="56" spans="1:39" x14ac:dyDescent="0.25">
      <c r="A56" s="9"/>
      <c r="B56" s="7" t="s">
        <v>60</v>
      </c>
      <c r="C56" s="6"/>
      <c r="D56" s="61">
        <f>SUM(D54:D55)</f>
        <v>0</v>
      </c>
      <c r="E56" s="39">
        <f>SUM(E54:E55)</f>
        <v>-14655</v>
      </c>
      <c r="F56" s="61">
        <f t="shared" ref="F56:T56" si="23">SUM(F54:F55)</f>
        <v>0</v>
      </c>
      <c r="G56" s="39">
        <f t="shared" si="23"/>
        <v>-14655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ref="U56:AA56" si="24">SUM(U54:U55)</f>
        <v>0</v>
      </c>
      <c r="V56" s="61">
        <f t="shared" si="24"/>
        <v>0</v>
      </c>
      <c r="W56" s="39">
        <f t="shared" si="24"/>
        <v>0</v>
      </c>
      <c r="X56" s="61">
        <f t="shared" si="24"/>
        <v>0</v>
      </c>
      <c r="Y56" s="39">
        <f t="shared" si="24"/>
        <v>0</v>
      </c>
      <c r="Z56" s="61">
        <f t="shared" si="24"/>
        <v>0</v>
      </c>
      <c r="AA56" s="39">
        <f t="shared" si="24"/>
        <v>0</v>
      </c>
      <c r="AB56" s="61">
        <f t="shared" ref="AB56:AG56" si="25">SUM(AB54:AB55)</f>
        <v>0</v>
      </c>
      <c r="AC56" s="39">
        <f t="shared" si="25"/>
        <v>0</v>
      </c>
      <c r="AD56" s="61">
        <f t="shared" si="25"/>
        <v>0</v>
      </c>
      <c r="AE56" s="39">
        <f t="shared" si="25"/>
        <v>0</v>
      </c>
      <c r="AF56" s="61">
        <f t="shared" si="25"/>
        <v>0</v>
      </c>
      <c r="AG56" s="39">
        <f t="shared" si="25"/>
        <v>0</v>
      </c>
      <c r="AH56" s="61">
        <f t="shared" ref="AH56:AM56" si="26">SUM(AH54:AH55)</f>
        <v>0</v>
      </c>
      <c r="AI56" s="39">
        <f t="shared" si="26"/>
        <v>0</v>
      </c>
      <c r="AJ56" s="61">
        <f t="shared" si="26"/>
        <v>0</v>
      </c>
      <c r="AK56" s="39">
        <f t="shared" si="26"/>
        <v>0</v>
      </c>
      <c r="AL56" s="61">
        <f t="shared" si="26"/>
        <v>0</v>
      </c>
      <c r="AM56" s="39">
        <f t="shared" si="26"/>
        <v>0</v>
      </c>
    </row>
    <row r="57" spans="1:3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5">
      <c r="A59" s="9">
        <v>26</v>
      </c>
      <c r="B59" s="11"/>
      <c r="C59" s="18" t="s">
        <v>62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127">
        <f>+Actuals!S309</f>
        <v>0</v>
      </c>
      <c r="W59" s="12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>
        <f>+Actuals!AE309</f>
        <v>0</v>
      </c>
      <c r="AI59" s="38">
        <f>+Actuals!AF309</f>
        <v>0</v>
      </c>
      <c r="AJ59" s="60">
        <f>+Actuals!AG309</f>
        <v>0</v>
      </c>
      <c r="AK59" s="38">
        <f>+Actuals!AH309</f>
        <v>0</v>
      </c>
      <c r="AL59" s="60">
        <f>+Actuals!AI309</f>
        <v>0</v>
      </c>
      <c r="AM59" s="38">
        <f>+Actuals!AJ309</f>
        <v>0</v>
      </c>
    </row>
    <row r="60" spans="1:39" x14ac:dyDescent="0.25">
      <c r="A60" s="9">
        <v>27</v>
      </c>
      <c r="B60" s="11"/>
      <c r="C60" s="18" t="s">
        <v>63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127">
        <f>+Actuals!S310</f>
        <v>0</v>
      </c>
      <c r="W60" s="12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>
        <f>+Actuals!AE310</f>
        <v>0</v>
      </c>
      <c r="AI60" s="38">
        <f>+Actuals!AF310</f>
        <v>0</v>
      </c>
      <c r="AJ60" s="60">
        <f>+Actuals!AG310</f>
        <v>0</v>
      </c>
      <c r="AK60" s="38">
        <f>+Actuals!AH310</f>
        <v>0</v>
      </c>
      <c r="AL60" s="60">
        <f>+Actuals!AI310</f>
        <v>0</v>
      </c>
      <c r="AM60" s="38">
        <f>+Actuals!AJ310</f>
        <v>0</v>
      </c>
    </row>
    <row r="61" spans="1:39" x14ac:dyDescent="0.25">
      <c r="A61" s="9"/>
      <c r="B61" s="62" t="s">
        <v>64</v>
      </c>
      <c r="C61" s="6"/>
      <c r="D61" s="61">
        <f>SUM(D59:D60)</f>
        <v>0</v>
      </c>
      <c r="E61" s="39">
        <f>SUM(E59:E60)</f>
        <v>0</v>
      </c>
      <c r="F61" s="61">
        <f t="shared" ref="F61:T61" si="27">SUM(F59:F60)</f>
        <v>0</v>
      </c>
      <c r="G61" s="39">
        <f t="shared" si="27"/>
        <v>0</v>
      </c>
      <c r="H61" s="61">
        <f t="shared" si="27"/>
        <v>0</v>
      </c>
      <c r="I61" s="39">
        <f t="shared" si="27"/>
        <v>0</v>
      </c>
      <c r="J61" s="61">
        <f t="shared" si="27"/>
        <v>0</v>
      </c>
      <c r="K61" s="148">
        <f t="shared" si="27"/>
        <v>0</v>
      </c>
      <c r="L61" s="61">
        <f t="shared" si="27"/>
        <v>0</v>
      </c>
      <c r="M61" s="39">
        <f t="shared" si="27"/>
        <v>0</v>
      </c>
      <c r="N61" s="61">
        <f t="shared" si="27"/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7"/>
        <v>0</v>
      </c>
      <c r="U61" s="39">
        <f t="shared" ref="U61:AA61" si="28">SUM(U59:U60)</f>
        <v>0</v>
      </c>
      <c r="V61" s="61">
        <f t="shared" si="28"/>
        <v>0</v>
      </c>
      <c r="W61" s="39">
        <f t="shared" si="28"/>
        <v>0</v>
      </c>
      <c r="X61" s="61">
        <f t="shared" si="28"/>
        <v>0</v>
      </c>
      <c r="Y61" s="39">
        <f t="shared" si="28"/>
        <v>0</v>
      </c>
      <c r="Z61" s="61">
        <f t="shared" si="28"/>
        <v>0</v>
      </c>
      <c r="AA61" s="39">
        <f t="shared" si="28"/>
        <v>0</v>
      </c>
      <c r="AB61" s="61">
        <f t="shared" ref="AB61:AG61" si="29">SUM(AB59:AB60)</f>
        <v>0</v>
      </c>
      <c r="AC61" s="39">
        <f t="shared" si="29"/>
        <v>0</v>
      </c>
      <c r="AD61" s="61">
        <f t="shared" si="29"/>
        <v>0</v>
      </c>
      <c r="AE61" s="39">
        <f t="shared" si="29"/>
        <v>0</v>
      </c>
      <c r="AF61" s="61">
        <f t="shared" si="29"/>
        <v>0</v>
      </c>
      <c r="AG61" s="39">
        <f t="shared" si="29"/>
        <v>0</v>
      </c>
      <c r="AH61" s="61">
        <f t="shared" ref="AH61:AM61" si="30">SUM(AH59:AH60)</f>
        <v>0</v>
      </c>
      <c r="AI61" s="39">
        <f t="shared" si="30"/>
        <v>0</v>
      </c>
      <c r="AJ61" s="61">
        <f t="shared" si="30"/>
        <v>0</v>
      </c>
      <c r="AK61" s="39">
        <f t="shared" si="30"/>
        <v>0</v>
      </c>
      <c r="AL61" s="61">
        <f t="shared" si="30"/>
        <v>0</v>
      </c>
      <c r="AM61" s="39">
        <f t="shared" si="30"/>
        <v>0</v>
      </c>
    </row>
    <row r="62" spans="1:3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5">
      <c r="A64" s="9">
        <v>28</v>
      </c>
      <c r="B64" s="7"/>
      <c r="C64" s="18" t="s">
        <v>65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127">
        <f>+Actuals!S311</f>
        <v>0</v>
      </c>
      <c r="W64" s="12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>
        <f>+Actuals!AE311</f>
        <v>0</v>
      </c>
      <c r="AI64" s="38">
        <f>+Actuals!AF311</f>
        <v>0</v>
      </c>
      <c r="AJ64" s="60">
        <f>+Actuals!AG311</f>
        <v>0</v>
      </c>
      <c r="AK64" s="38">
        <f>+Actuals!AH311</f>
        <v>0</v>
      </c>
      <c r="AL64" s="60">
        <f>+Actuals!AI311</f>
        <v>0</v>
      </c>
      <c r="AM64" s="38">
        <f>+Actuals!AJ311</f>
        <v>0</v>
      </c>
    </row>
    <row r="65" spans="1:39" x14ac:dyDescent="0.25">
      <c r="A65" s="9">
        <v>29</v>
      </c>
      <c r="B65" s="11"/>
      <c r="C65" s="18" t="s">
        <v>66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127">
        <f>+Actuals!S312</f>
        <v>0</v>
      </c>
      <c r="W65" s="12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>
        <f>+Actuals!AE312</f>
        <v>0</v>
      </c>
      <c r="AI65" s="38">
        <f>+Actuals!AF312</f>
        <v>0</v>
      </c>
      <c r="AJ65" s="60">
        <f>+Actuals!AG312</f>
        <v>0</v>
      </c>
      <c r="AK65" s="38">
        <f>+Actuals!AH312</f>
        <v>0</v>
      </c>
      <c r="AL65" s="60">
        <f>+Actuals!AI312</f>
        <v>0</v>
      </c>
      <c r="AM65" s="38">
        <f>+Actuals!AJ312</f>
        <v>0</v>
      </c>
    </row>
    <row r="66" spans="1:39" x14ac:dyDescent="0.25">
      <c r="A66" s="9"/>
      <c r="B66" s="7" t="s">
        <v>67</v>
      </c>
      <c r="C66" s="6"/>
      <c r="D66" s="61">
        <f>SUM(D64:D65)</f>
        <v>0</v>
      </c>
      <c r="E66" s="39">
        <f>SUM(E64:E65)</f>
        <v>0</v>
      </c>
      <c r="F66" s="61">
        <f t="shared" ref="F66:T66" si="31">SUM(F64:F65)</f>
        <v>0</v>
      </c>
      <c r="G66" s="39">
        <f t="shared" si="31"/>
        <v>0</v>
      </c>
      <c r="H66" s="61">
        <f t="shared" si="31"/>
        <v>0</v>
      </c>
      <c r="I66" s="39">
        <f t="shared" si="31"/>
        <v>0</v>
      </c>
      <c r="J66" s="61">
        <f t="shared" si="31"/>
        <v>0</v>
      </c>
      <c r="K66" s="148">
        <f t="shared" si="31"/>
        <v>0</v>
      </c>
      <c r="L66" s="61">
        <f t="shared" si="31"/>
        <v>0</v>
      </c>
      <c r="M66" s="39">
        <f t="shared" si="31"/>
        <v>0</v>
      </c>
      <c r="N66" s="61">
        <f t="shared" si="31"/>
        <v>0</v>
      </c>
      <c r="O66" s="39">
        <f t="shared" si="31"/>
        <v>0</v>
      </c>
      <c r="P66" s="61">
        <f t="shared" si="31"/>
        <v>0</v>
      </c>
      <c r="Q66" s="39">
        <f t="shared" si="31"/>
        <v>0</v>
      </c>
      <c r="R66" s="61">
        <f t="shared" si="31"/>
        <v>0</v>
      </c>
      <c r="S66" s="39">
        <f t="shared" si="31"/>
        <v>0</v>
      </c>
      <c r="T66" s="61">
        <f t="shared" si="31"/>
        <v>0</v>
      </c>
      <c r="U66" s="39">
        <f t="shared" ref="U66:AA66" si="32">SUM(U64:U65)</f>
        <v>0</v>
      </c>
      <c r="V66" s="61">
        <f t="shared" si="32"/>
        <v>0</v>
      </c>
      <c r="W66" s="39">
        <f t="shared" si="32"/>
        <v>0</v>
      </c>
      <c r="X66" s="61">
        <f t="shared" si="32"/>
        <v>0</v>
      </c>
      <c r="Y66" s="39">
        <f t="shared" si="32"/>
        <v>0</v>
      </c>
      <c r="Z66" s="61">
        <f t="shared" si="32"/>
        <v>0</v>
      </c>
      <c r="AA66" s="39">
        <f t="shared" si="32"/>
        <v>0</v>
      </c>
      <c r="AB66" s="61">
        <f t="shared" ref="AB66:AG66" si="33">SUM(AB64:AB65)</f>
        <v>0</v>
      </c>
      <c r="AC66" s="39">
        <f t="shared" si="33"/>
        <v>0</v>
      </c>
      <c r="AD66" s="61">
        <f t="shared" si="33"/>
        <v>0</v>
      </c>
      <c r="AE66" s="39">
        <f t="shared" si="33"/>
        <v>0</v>
      </c>
      <c r="AF66" s="61">
        <f t="shared" si="33"/>
        <v>0</v>
      </c>
      <c r="AG66" s="39">
        <f t="shared" si="33"/>
        <v>0</v>
      </c>
      <c r="AH66" s="61">
        <f t="shared" ref="AH66:AM66" si="34">SUM(AH64:AH65)</f>
        <v>0</v>
      </c>
      <c r="AI66" s="39">
        <f t="shared" si="34"/>
        <v>0</v>
      </c>
      <c r="AJ66" s="61">
        <f t="shared" si="34"/>
        <v>0</v>
      </c>
      <c r="AK66" s="39">
        <f t="shared" si="34"/>
        <v>0</v>
      </c>
      <c r="AL66" s="61">
        <f t="shared" si="34"/>
        <v>0</v>
      </c>
      <c r="AM66" s="39">
        <f t="shared" si="34"/>
        <v>0</v>
      </c>
    </row>
    <row r="67" spans="1:3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5">
      <c r="A70" s="9">
        <v>30</v>
      </c>
      <c r="B70" s="3"/>
      <c r="C70" s="10" t="s">
        <v>70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-832910</v>
      </c>
      <c r="F70" s="64">
        <f>'TIE-OUT'!V70+RECLASS!V70</f>
        <v>0</v>
      </c>
      <c r="G70" s="68">
        <f>'TIE-OUT'!W70+RECLASS!W70</f>
        <v>-832910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127">
        <f>+Actuals!S313</f>
        <v>0</v>
      </c>
      <c r="W70" s="12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38">
        <f>+Actuals!Z313</f>
        <v>0</v>
      </c>
      <c r="AD70" s="60">
        <f>+Actuals!AA313</f>
        <v>0</v>
      </c>
      <c r="AE70" s="38">
        <f>+Actuals!AB313</f>
        <v>0</v>
      </c>
      <c r="AF70" s="60">
        <f>+Actuals!AC313</f>
        <v>0</v>
      </c>
      <c r="AG70" s="38">
        <f>+Actuals!AD313</f>
        <v>0</v>
      </c>
      <c r="AH70" s="60">
        <f>+Actuals!AE313</f>
        <v>0</v>
      </c>
      <c r="AI70" s="38">
        <f>+Actuals!AF313</f>
        <v>0</v>
      </c>
      <c r="AJ70" s="60">
        <f>+Actuals!AG313</f>
        <v>0</v>
      </c>
      <c r="AK70" s="38">
        <f>+Actuals!AH313</f>
        <v>0</v>
      </c>
      <c r="AL70" s="60">
        <f>+Actuals!AI313</f>
        <v>0</v>
      </c>
      <c r="AM70" s="38">
        <f>+Actuals!AJ313</f>
        <v>0</v>
      </c>
    </row>
    <row r="71" spans="1:39" x14ac:dyDescent="0.25">
      <c r="A71" s="9">
        <v>31</v>
      </c>
      <c r="B71" s="3"/>
      <c r="C71" s="10" t="s">
        <v>71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808257</v>
      </c>
      <c r="F71" s="81">
        <f>'TIE-OUT'!V71+RECLASS!V71</f>
        <v>0</v>
      </c>
      <c r="G71" s="82">
        <f>'TIE-OUT'!W71+RECLASS!W71</f>
        <v>808257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127">
        <f>+Actuals!S314</f>
        <v>0</v>
      </c>
      <c r="W71" s="12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>
        <f>+Actuals!AE314</f>
        <v>0</v>
      </c>
      <c r="AI71" s="38">
        <f>+Actuals!AF314</f>
        <v>0</v>
      </c>
      <c r="AJ71" s="60">
        <f>+Actuals!AG314</f>
        <v>0</v>
      </c>
      <c r="AK71" s="38">
        <f>+Actuals!AH314</f>
        <v>0</v>
      </c>
      <c r="AL71" s="60">
        <f>+Actuals!AI314</f>
        <v>0</v>
      </c>
      <c r="AM71" s="38">
        <f>+Actuals!AJ314</f>
        <v>0</v>
      </c>
    </row>
    <row r="72" spans="1:39" x14ac:dyDescent="0.25">
      <c r="A72" s="9"/>
      <c r="B72" s="3"/>
      <c r="C72" s="55" t="s">
        <v>72</v>
      </c>
      <c r="D72" s="61">
        <f>SUM(D70:D71)</f>
        <v>0</v>
      </c>
      <c r="E72" s="39">
        <f>SUM(E70:E71)</f>
        <v>-24653</v>
      </c>
      <c r="F72" s="61">
        <f t="shared" ref="F72:T72" si="35">SUM(F70:F71)</f>
        <v>0</v>
      </c>
      <c r="G72" s="39">
        <f t="shared" si="35"/>
        <v>-24653</v>
      </c>
      <c r="H72" s="61">
        <f t="shared" si="35"/>
        <v>0</v>
      </c>
      <c r="I72" s="39">
        <f t="shared" si="35"/>
        <v>0</v>
      </c>
      <c r="J72" s="61">
        <f t="shared" si="35"/>
        <v>0</v>
      </c>
      <c r="K72" s="148">
        <f t="shared" si="35"/>
        <v>0</v>
      </c>
      <c r="L72" s="61">
        <f t="shared" si="35"/>
        <v>0</v>
      </c>
      <c r="M72" s="39">
        <f t="shared" si="35"/>
        <v>0</v>
      </c>
      <c r="N72" s="61">
        <f t="shared" si="35"/>
        <v>0</v>
      </c>
      <c r="O72" s="39">
        <f t="shared" si="35"/>
        <v>0</v>
      </c>
      <c r="P72" s="61">
        <f t="shared" si="35"/>
        <v>0</v>
      </c>
      <c r="Q72" s="39">
        <f t="shared" si="35"/>
        <v>0</v>
      </c>
      <c r="R72" s="61">
        <f t="shared" si="35"/>
        <v>0</v>
      </c>
      <c r="S72" s="39">
        <f t="shared" si="35"/>
        <v>0</v>
      </c>
      <c r="T72" s="61">
        <f t="shared" si="35"/>
        <v>0</v>
      </c>
      <c r="U72" s="39">
        <f t="shared" ref="U72:AC72" si="36">SUM(U70:U71)</f>
        <v>0</v>
      </c>
      <c r="V72" s="61">
        <f t="shared" si="36"/>
        <v>0</v>
      </c>
      <c r="W72" s="39">
        <f t="shared" si="36"/>
        <v>0</v>
      </c>
      <c r="X72" s="61">
        <f t="shared" si="36"/>
        <v>0</v>
      </c>
      <c r="Y72" s="39">
        <f t="shared" si="36"/>
        <v>0</v>
      </c>
      <c r="Z72" s="61">
        <f t="shared" si="36"/>
        <v>0</v>
      </c>
      <c r="AA72" s="39">
        <f t="shared" si="36"/>
        <v>0</v>
      </c>
      <c r="AB72" s="61">
        <f t="shared" si="36"/>
        <v>0</v>
      </c>
      <c r="AC72" s="39">
        <f t="shared" si="36"/>
        <v>0</v>
      </c>
      <c r="AD72" s="61">
        <f t="shared" ref="AD72:AI72" si="37">SUM(AD70:AD71)</f>
        <v>0</v>
      </c>
      <c r="AE72" s="39">
        <f t="shared" si="37"/>
        <v>0</v>
      </c>
      <c r="AF72" s="61">
        <f t="shared" si="37"/>
        <v>0</v>
      </c>
      <c r="AG72" s="39">
        <f t="shared" si="37"/>
        <v>0</v>
      </c>
      <c r="AH72" s="61">
        <f t="shared" si="37"/>
        <v>0</v>
      </c>
      <c r="AI72" s="39">
        <f t="shared" si="37"/>
        <v>0</v>
      </c>
      <c r="AJ72" s="61">
        <f>SUM(AJ70:AJ71)</f>
        <v>0</v>
      </c>
      <c r="AK72" s="39">
        <f>SUM(AK70:AK71)</f>
        <v>0</v>
      </c>
      <c r="AL72" s="61">
        <f>SUM(AL70:AL71)</f>
        <v>0</v>
      </c>
      <c r="AM72" s="39">
        <f>SUM(AM70:AM71)</f>
        <v>0</v>
      </c>
    </row>
    <row r="73" spans="1:39" x14ac:dyDescent="0.25">
      <c r="A73" s="9">
        <v>32</v>
      </c>
      <c r="B73" s="3"/>
      <c r="C73" s="10" t="s">
        <v>73</v>
      </c>
      <c r="D73" s="60">
        <f t="shared" ref="D73:D81" si="38">SUM(F73,H73,J73,L73,N73,P73,R73,T73,V73,X73,Z73,AB73,AD73,AF73,AH73,AJ73,AL73)</f>
        <v>0</v>
      </c>
      <c r="E73" s="38">
        <f t="shared" ref="E73:E81" si="39">SUM(G73,I73,K73,M73,O73,Q73,S73,U73,W73,Y73,AA73,AC73,AE73,AG73,AI73,AK73,AM73)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127">
        <f>+Actuals!S315</f>
        <v>0</v>
      </c>
      <c r="W73" s="12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>
        <f>+Actuals!AE315</f>
        <v>0</v>
      </c>
      <c r="AI73" s="38">
        <f>+Actuals!AF315</f>
        <v>0</v>
      </c>
      <c r="AJ73" s="60">
        <f>+Actuals!AG315</f>
        <v>0</v>
      </c>
      <c r="AK73" s="38">
        <f>+Actuals!AH315</f>
        <v>0</v>
      </c>
      <c r="AL73" s="60">
        <f>+Actuals!AI315</f>
        <v>0</v>
      </c>
      <c r="AM73" s="38">
        <f>+Actuals!AJ315</f>
        <v>0</v>
      </c>
    </row>
    <row r="74" spans="1:39" x14ac:dyDescent="0.25">
      <c r="A74" s="9">
        <v>33</v>
      </c>
      <c r="B74" s="3"/>
      <c r="C74" s="10" t="s">
        <v>74</v>
      </c>
      <c r="D74" s="60">
        <f t="shared" si="38"/>
        <v>0</v>
      </c>
      <c r="E74" s="38">
        <f t="shared" si="39"/>
        <v>-988907</v>
      </c>
      <c r="F74" s="60">
        <f>'TIE-OUT'!V74+RECLASS!V74</f>
        <v>0</v>
      </c>
      <c r="G74" s="60">
        <f>'TIE-OUT'!W74+RECLASS!W74</f>
        <v>311093</v>
      </c>
      <c r="H74" s="60"/>
      <c r="I74" s="38">
        <v>0</v>
      </c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127">
        <f>+Actuals!S316</f>
        <v>0</v>
      </c>
      <c r="W74" s="128">
        <f>+Actuals!T316</f>
        <v>0</v>
      </c>
      <c r="X74" s="60">
        <f>+Actuals!U316</f>
        <v>0</v>
      </c>
      <c r="Y74" s="38">
        <f>+Actuals!V316</f>
        <v>0</v>
      </c>
      <c r="Z74" s="60">
        <f>+Actuals!W316</f>
        <v>0</v>
      </c>
      <c r="AA74" s="160">
        <v>-1300000</v>
      </c>
      <c r="AB74" s="60">
        <f>+Actuals!Y316</f>
        <v>0</v>
      </c>
      <c r="AC74" s="38"/>
      <c r="AD74" s="60">
        <f>+Actuals!AA316</f>
        <v>0</v>
      </c>
      <c r="AE74" s="38"/>
      <c r="AF74" s="60">
        <f>+Actuals!AC316</f>
        <v>0</v>
      </c>
      <c r="AG74" s="38"/>
      <c r="AH74" s="60">
        <f>+Actuals!AE316</f>
        <v>0</v>
      </c>
      <c r="AI74" s="38"/>
      <c r="AJ74" s="60">
        <f>+Actuals!AG316</f>
        <v>0</v>
      </c>
      <c r="AK74" s="38"/>
      <c r="AL74" s="60">
        <f>+Actuals!AI316</f>
        <v>0</v>
      </c>
      <c r="AM74" s="38"/>
    </row>
    <row r="75" spans="1:39" x14ac:dyDescent="0.25">
      <c r="A75" s="9">
        <v>34</v>
      </c>
      <c r="B75" s="3"/>
      <c r="C75" s="10" t="s">
        <v>75</v>
      </c>
      <c r="D75" s="60">
        <f t="shared" si="38"/>
        <v>0</v>
      </c>
      <c r="E75" s="38">
        <f t="shared" si="39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127">
        <f>+Actuals!S317</f>
        <v>0</v>
      </c>
      <c r="W75" s="12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>
        <f>+Actuals!AE317</f>
        <v>0</v>
      </c>
      <c r="AI75" s="38">
        <f>+Actuals!AF317</f>
        <v>0</v>
      </c>
      <c r="AJ75" s="60">
        <f>+Actuals!AG317</f>
        <v>0</v>
      </c>
      <c r="AK75" s="38">
        <f>+Actuals!AH317</f>
        <v>0</v>
      </c>
      <c r="AL75" s="60">
        <f>+Actuals!AI317</f>
        <v>0</v>
      </c>
      <c r="AM75" s="38">
        <f>+Actuals!AJ317</f>
        <v>0</v>
      </c>
    </row>
    <row r="76" spans="1:39" x14ac:dyDescent="0.25">
      <c r="A76" s="9">
        <v>35</v>
      </c>
      <c r="B76" s="3"/>
      <c r="C76" s="10" t="s">
        <v>76</v>
      </c>
      <c r="D76" s="60">
        <f t="shared" si="38"/>
        <v>0</v>
      </c>
      <c r="E76" s="38">
        <f t="shared" si="39"/>
        <v>-284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>
        <v>-284</v>
      </c>
      <c r="P76" s="60"/>
      <c r="Q76" s="38"/>
      <c r="R76" s="60"/>
      <c r="S76" s="38"/>
      <c r="T76" s="60"/>
      <c r="U76" s="38"/>
      <c r="V76" s="127">
        <f>+Actuals!S318</f>
        <v>0</v>
      </c>
      <c r="W76" s="12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>
        <f>+Actuals!AE318</f>
        <v>0</v>
      </c>
      <c r="AI76" s="38">
        <f>+Actuals!AF318</f>
        <v>0</v>
      </c>
      <c r="AJ76" s="60">
        <f>+Actuals!AG318</f>
        <v>0</v>
      </c>
      <c r="AK76" s="38">
        <f>+Actuals!AH318</f>
        <v>0</v>
      </c>
      <c r="AL76" s="60">
        <f>+Actuals!AI318</f>
        <v>0</v>
      </c>
      <c r="AM76" s="38">
        <f>+Actuals!AJ318</f>
        <v>0</v>
      </c>
    </row>
    <row r="77" spans="1:39" x14ac:dyDescent="0.25">
      <c r="A77" s="9">
        <v>36</v>
      </c>
      <c r="B77" s="3"/>
      <c r="C77" s="10" t="s">
        <v>77</v>
      </c>
      <c r="D77" s="60">
        <f t="shared" si="38"/>
        <v>0</v>
      </c>
      <c r="E77" s="38">
        <f t="shared" si="39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127">
        <f>+Actuals!S319</f>
        <v>0</v>
      </c>
      <c r="W77" s="12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>
        <f>+Actuals!AE319</f>
        <v>0</v>
      </c>
      <c r="AI77" s="38">
        <f>+Actuals!AF319</f>
        <v>0</v>
      </c>
      <c r="AJ77" s="60">
        <f>+Actuals!AG319</f>
        <v>0</v>
      </c>
      <c r="AK77" s="38">
        <f>+Actuals!AH319</f>
        <v>0</v>
      </c>
      <c r="AL77" s="60">
        <f>+Actuals!AI319</f>
        <v>0</v>
      </c>
      <c r="AM77" s="38">
        <f>+Actuals!AJ319</f>
        <v>0</v>
      </c>
    </row>
    <row r="78" spans="1:39" x14ac:dyDescent="0.25">
      <c r="A78" s="9">
        <v>37</v>
      </c>
      <c r="B78" s="3"/>
      <c r="C78" s="10" t="s">
        <v>78</v>
      </c>
      <c r="D78" s="60">
        <f t="shared" si="38"/>
        <v>0</v>
      </c>
      <c r="E78" s="38">
        <f t="shared" si="39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127">
        <f>+Actuals!S320</f>
        <v>0</v>
      </c>
      <c r="W78" s="12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>
        <f>+Actuals!AE320</f>
        <v>0</v>
      </c>
      <c r="AI78" s="38">
        <f>+Actuals!AF320</f>
        <v>0</v>
      </c>
      <c r="AJ78" s="60">
        <f>+Actuals!AG320</f>
        <v>0</v>
      </c>
      <c r="AK78" s="38">
        <f>+Actuals!AH320</f>
        <v>0</v>
      </c>
      <c r="AL78" s="60">
        <f>+Actuals!AI320</f>
        <v>0</v>
      </c>
      <c r="AM78" s="38">
        <f>+Actuals!AJ320</f>
        <v>0</v>
      </c>
    </row>
    <row r="79" spans="1:39" x14ac:dyDescent="0.25">
      <c r="A79" s="9">
        <v>38</v>
      </c>
      <c r="B79" s="3"/>
      <c r="C79" s="10" t="s">
        <v>79</v>
      </c>
      <c r="D79" s="60">
        <f t="shared" si="38"/>
        <v>0</v>
      </c>
      <c r="E79" s="38">
        <f t="shared" si="39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127">
        <f>+Actuals!S321</f>
        <v>0</v>
      </c>
      <c r="W79" s="12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>
        <f>+Actuals!AE321</f>
        <v>0</v>
      </c>
      <c r="AI79" s="38">
        <f>+Actuals!AF321</f>
        <v>0</v>
      </c>
      <c r="AJ79" s="60">
        <f>+Actuals!AG321</f>
        <v>0</v>
      </c>
      <c r="AK79" s="38">
        <f>+Actuals!AH321</f>
        <v>0</v>
      </c>
      <c r="AL79" s="60">
        <f>+Actuals!AI321</f>
        <v>0</v>
      </c>
      <c r="AM79" s="38">
        <f>+Actuals!AJ321</f>
        <v>0</v>
      </c>
    </row>
    <row r="80" spans="1:39" x14ac:dyDescent="0.25">
      <c r="A80" s="9">
        <v>39</v>
      </c>
      <c r="B80" s="3"/>
      <c r="C80" s="10" t="s">
        <v>80</v>
      </c>
      <c r="D80" s="60">
        <f t="shared" si="38"/>
        <v>0</v>
      </c>
      <c r="E80" s="38">
        <f t="shared" si="39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127">
        <f>+Actuals!S322</f>
        <v>0</v>
      </c>
      <c r="W80" s="12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>
        <f>+Actuals!AE322</f>
        <v>0</v>
      </c>
      <c r="AI80" s="38">
        <f>+Actuals!AF322</f>
        <v>0</v>
      </c>
      <c r="AJ80" s="60">
        <f>+Actuals!AG322</f>
        <v>0</v>
      </c>
      <c r="AK80" s="38">
        <f>+Actuals!AH322</f>
        <v>0</v>
      </c>
      <c r="AL80" s="60">
        <f>+Actuals!AI322</f>
        <v>0</v>
      </c>
      <c r="AM80" s="38">
        <f>+Actuals!AJ322</f>
        <v>0</v>
      </c>
    </row>
    <row r="81" spans="1:71" x14ac:dyDescent="0.25">
      <c r="A81" s="9">
        <v>40</v>
      </c>
      <c r="B81" s="3"/>
      <c r="C81" s="10" t="s">
        <v>81</v>
      </c>
      <c r="D81" s="60">
        <f t="shared" si="38"/>
        <v>0</v>
      </c>
      <c r="E81" s="38">
        <f t="shared" si="39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127">
        <f>+Actuals!S323</f>
        <v>0</v>
      </c>
      <c r="W81" s="12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>
        <f>+Actuals!AE323</f>
        <v>0</v>
      </c>
      <c r="AI81" s="38">
        <f>+Actuals!AF323</f>
        <v>0</v>
      </c>
      <c r="AJ81" s="60">
        <f>+Actuals!AG323</f>
        <v>0</v>
      </c>
      <c r="AK81" s="38">
        <f>+Actuals!AH323</f>
        <v>0</v>
      </c>
      <c r="AL81" s="60">
        <f>+Actuals!AI323</f>
        <v>0</v>
      </c>
      <c r="AM81" s="38">
        <f>+Actuals!AJ323</f>
        <v>0</v>
      </c>
    </row>
    <row r="82" spans="1:71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-3917140.7200000025</v>
      </c>
      <c r="F82" s="92">
        <f>F16+F24+F29+F36+F43+F45+F47+F49</f>
        <v>0</v>
      </c>
      <c r="G82" s="93">
        <f>SUM(G72:G81)+G16+G24+G29+G36+G43+G45+G47+G49+G51+G56+G61+G66</f>
        <v>273386.27999999997</v>
      </c>
      <c r="H82" s="92">
        <f>H16+H24+H29+H36+H43+H45+H47+H49</f>
        <v>0</v>
      </c>
      <c r="I82" s="93">
        <f>SUM(I72:I81)+I16+I24+I29+I36+I43+I45+I47+I49+I51+I56+I61+I66</f>
        <v>-1854472</v>
      </c>
      <c r="J82" s="92">
        <f>J16+J24+J29+J36+J43+J45+J47+J49</f>
        <v>0</v>
      </c>
      <c r="K82" s="164">
        <f>SUM(K72:K81)+K16+K24+K29+K36+K43+K45+K47+K49+K51+K56+K61+K66</f>
        <v>-31876</v>
      </c>
      <c r="L82" s="92">
        <f>L16+L24+L29+L36+L43+L45+L47+L49</f>
        <v>0</v>
      </c>
      <c r="M82" s="93">
        <f>SUM(M72:M81)+M16+M24+M29+M36+M43+M45+M47+M49+M51+M56+M61+M66</f>
        <v>-1022061</v>
      </c>
      <c r="N82" s="92">
        <f>N16+N24+N29+N36+N43+N45+N47+N49</f>
        <v>0</v>
      </c>
      <c r="O82" s="93">
        <f>SUM(O72:O81)+O16+O24+O29+O36+O43+O45+O47+O49+O51+O56+O61+O66</f>
        <v>-284</v>
      </c>
      <c r="P82" s="92">
        <f>P16+P24+P29+P36+P43+P45+P47+P49</f>
        <v>0</v>
      </c>
      <c r="Q82" s="93">
        <f>SUM(Q72:Q81)+Q16+Q24+Q29+Q36+Q43+Q45+Q47+Q49+Q51+Q56+Q61+Q66</f>
        <v>-21300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39466</v>
      </c>
      <c r="V82" s="92">
        <f>V16+V24+V29+V36+V43+V45+V47+V49</f>
        <v>0</v>
      </c>
      <c r="W82" s="93">
        <f>SUM(W72:W81)+W16+W24+W29+W36+W43+W45+W47+W49+W51+W56+W61+W66</f>
        <v>-39466.120000000112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-1260533.8799999999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</row>
    <row r="85" spans="1:71" x14ac:dyDescent="0.25">
      <c r="A85" s="4" t="s">
        <v>172</v>
      </c>
      <c r="B85" s="3"/>
      <c r="F85" s="31"/>
      <c r="G85" s="31"/>
      <c r="H85" s="31"/>
      <c r="I85" s="31"/>
      <c r="K85"/>
      <c r="L85" s="45"/>
    </row>
    <row r="86" spans="1:71" s="3" customFormat="1" x14ac:dyDescent="0.25">
      <c r="A86" s="172"/>
      <c r="C86" s="10" t="s">
        <v>176</v>
      </c>
      <c r="D86" s="173">
        <f t="shared" ref="D86:E88" si="40">SUM(F86,H86,J86,L86,N86,P86,R86,T86,V86,X86,Z86,AB86,AD86)</f>
        <v>0</v>
      </c>
      <c r="E86" s="173">
        <f t="shared" si="40"/>
        <v>41420.639999999999</v>
      </c>
      <c r="F86" s="173">
        <f>'TIE-OUT'!V86+RECLASS!V86</f>
        <v>0</v>
      </c>
      <c r="G86" s="173">
        <f>'TIE-OUT'!W86+RECLASS!W86</f>
        <v>-67914.36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  <c r="N86" s="173">
        <v>0</v>
      </c>
      <c r="O86" s="173">
        <v>109335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</row>
    <row r="87" spans="1:71" s="3" customFormat="1" x14ac:dyDescent="0.25">
      <c r="A87" s="172"/>
      <c r="C87" s="10" t="s">
        <v>74</v>
      </c>
      <c r="D87" s="174">
        <f t="shared" si="40"/>
        <v>0</v>
      </c>
      <c r="E87" s="174">
        <f t="shared" si="40"/>
        <v>0</v>
      </c>
      <c r="F87" s="174">
        <f>'TIE-OUT'!V87+RECLASS!V87</f>
        <v>0</v>
      </c>
      <c r="G87" s="174">
        <f>'TIE-OUT'!W87+RECLASS!W87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</row>
    <row r="88" spans="1:71" s="3" customFormat="1" x14ac:dyDescent="0.25">
      <c r="A88" s="172"/>
      <c r="C88" s="10" t="s">
        <v>75</v>
      </c>
      <c r="D88" s="175">
        <f t="shared" si="40"/>
        <v>0</v>
      </c>
      <c r="E88" s="175">
        <f t="shared" si="40"/>
        <v>-14945</v>
      </c>
      <c r="F88" s="175">
        <f>'TIE-OUT'!V88+RECLASS!V88</f>
        <v>0</v>
      </c>
      <c r="G88" s="175">
        <f>'TIE-OUT'!W88+RECLASS!W88</f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-14945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</row>
    <row r="89" spans="1:71" s="44" customFormat="1" ht="20.25" customHeight="1" x14ac:dyDescent="0.25">
      <c r="A89" s="179"/>
      <c r="B89" s="180"/>
      <c r="C89" s="185" t="s">
        <v>179</v>
      </c>
      <c r="D89" s="183">
        <f>SUM(D86:D88)</f>
        <v>0</v>
      </c>
      <c r="E89" s="183">
        <f t="shared" ref="E89:M89" si="41">SUM(E86:E88)</f>
        <v>26475.64</v>
      </c>
      <c r="F89" s="183">
        <f t="shared" si="41"/>
        <v>0</v>
      </c>
      <c r="G89" s="183">
        <f t="shared" si="41"/>
        <v>-67914.36</v>
      </c>
      <c r="H89" s="183">
        <f t="shared" si="41"/>
        <v>0</v>
      </c>
      <c r="I89" s="183">
        <f t="shared" si="41"/>
        <v>0</v>
      </c>
      <c r="J89" s="183">
        <f t="shared" si="41"/>
        <v>0</v>
      </c>
      <c r="K89" s="183">
        <f t="shared" si="41"/>
        <v>0</v>
      </c>
      <c r="L89" s="183">
        <f t="shared" si="41"/>
        <v>0</v>
      </c>
      <c r="M89" s="183">
        <f t="shared" si="41"/>
        <v>0</v>
      </c>
      <c r="N89" s="183">
        <f t="shared" ref="N89:AE89" si="42">SUM(N86:N88)</f>
        <v>0</v>
      </c>
      <c r="O89" s="183">
        <f t="shared" si="42"/>
        <v>94390</v>
      </c>
      <c r="P89" s="183">
        <f t="shared" si="42"/>
        <v>0</v>
      </c>
      <c r="Q89" s="183">
        <f t="shared" si="42"/>
        <v>0</v>
      </c>
      <c r="R89" s="183">
        <f t="shared" si="42"/>
        <v>0</v>
      </c>
      <c r="S89" s="183">
        <f t="shared" si="42"/>
        <v>0</v>
      </c>
      <c r="T89" s="183">
        <f t="shared" si="42"/>
        <v>0</v>
      </c>
      <c r="U89" s="183">
        <f t="shared" si="42"/>
        <v>0</v>
      </c>
      <c r="V89" s="183">
        <f t="shared" si="42"/>
        <v>0</v>
      </c>
      <c r="W89" s="183">
        <f t="shared" si="42"/>
        <v>0</v>
      </c>
      <c r="X89" s="183">
        <f t="shared" si="42"/>
        <v>0</v>
      </c>
      <c r="Y89" s="183">
        <f t="shared" si="42"/>
        <v>0</v>
      </c>
      <c r="Z89" s="183">
        <f t="shared" si="42"/>
        <v>0</v>
      </c>
      <c r="AA89" s="183">
        <f t="shared" si="42"/>
        <v>0</v>
      </c>
      <c r="AB89" s="183">
        <f t="shared" si="42"/>
        <v>0</v>
      </c>
      <c r="AC89" s="183">
        <f t="shared" si="42"/>
        <v>0</v>
      </c>
      <c r="AD89" s="183">
        <f t="shared" si="42"/>
        <v>0</v>
      </c>
      <c r="AE89" s="183">
        <f t="shared" si="42"/>
        <v>0</v>
      </c>
      <c r="AF89" s="183">
        <f t="shared" ref="AF89:AK89" si="43">SUM(AF86:AF88)</f>
        <v>0</v>
      </c>
      <c r="AG89" s="183">
        <f t="shared" si="43"/>
        <v>0</v>
      </c>
      <c r="AH89" s="183">
        <f t="shared" si="43"/>
        <v>0</v>
      </c>
      <c r="AI89" s="183">
        <f t="shared" si="43"/>
        <v>0</v>
      </c>
      <c r="AJ89" s="183">
        <f t="shared" si="43"/>
        <v>0</v>
      </c>
      <c r="AK89" s="183">
        <f t="shared" si="43"/>
        <v>0</v>
      </c>
      <c r="AL89" s="183">
        <f>SUM(AL86:AL88)</f>
        <v>0</v>
      </c>
      <c r="AM89" s="183">
        <f>SUM(AM86:AM88)</f>
        <v>0</v>
      </c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5">
      <c r="A91" s="179"/>
      <c r="B91" s="180"/>
      <c r="C91" s="185" t="s">
        <v>182</v>
      </c>
      <c r="D91" s="183">
        <f>+D82+D89</f>
        <v>0</v>
      </c>
      <c r="E91" s="183">
        <f t="shared" ref="E91:M91" si="44">+E82+E89</f>
        <v>-3890665.0800000024</v>
      </c>
      <c r="F91" s="183">
        <f t="shared" si="44"/>
        <v>0</v>
      </c>
      <c r="G91" s="183">
        <f t="shared" si="44"/>
        <v>205471.91999999998</v>
      </c>
      <c r="H91" s="183">
        <f t="shared" si="44"/>
        <v>0</v>
      </c>
      <c r="I91" s="183">
        <f t="shared" si="44"/>
        <v>-1854472</v>
      </c>
      <c r="J91" s="183">
        <f t="shared" si="44"/>
        <v>0</v>
      </c>
      <c r="K91" s="183">
        <f t="shared" si="44"/>
        <v>-31876</v>
      </c>
      <c r="L91" s="183">
        <f t="shared" si="44"/>
        <v>0</v>
      </c>
      <c r="M91" s="183">
        <f t="shared" si="44"/>
        <v>-1022061</v>
      </c>
      <c r="N91" s="183">
        <f t="shared" ref="N91:AE91" si="45">+N82+N89</f>
        <v>0</v>
      </c>
      <c r="O91" s="183">
        <f t="shared" si="45"/>
        <v>94106</v>
      </c>
      <c r="P91" s="183">
        <f t="shared" si="45"/>
        <v>0</v>
      </c>
      <c r="Q91" s="183">
        <f t="shared" si="45"/>
        <v>-21300</v>
      </c>
      <c r="R91" s="183">
        <f t="shared" si="45"/>
        <v>0</v>
      </c>
      <c r="S91" s="183">
        <f t="shared" si="45"/>
        <v>0</v>
      </c>
      <c r="T91" s="183">
        <f t="shared" si="45"/>
        <v>0</v>
      </c>
      <c r="U91" s="183">
        <f t="shared" si="45"/>
        <v>39466</v>
      </c>
      <c r="V91" s="183">
        <f t="shared" si="45"/>
        <v>0</v>
      </c>
      <c r="W91" s="183">
        <f t="shared" si="45"/>
        <v>-39466.120000000112</v>
      </c>
      <c r="X91" s="183">
        <f t="shared" si="45"/>
        <v>0</v>
      </c>
      <c r="Y91" s="183">
        <f t="shared" si="45"/>
        <v>0</v>
      </c>
      <c r="Z91" s="183">
        <f t="shared" si="45"/>
        <v>0</v>
      </c>
      <c r="AA91" s="183">
        <f t="shared" si="45"/>
        <v>-1260533.8799999999</v>
      </c>
      <c r="AB91" s="183">
        <f t="shared" si="45"/>
        <v>0</v>
      </c>
      <c r="AC91" s="183">
        <f t="shared" si="45"/>
        <v>0</v>
      </c>
      <c r="AD91" s="183">
        <f t="shared" si="45"/>
        <v>0</v>
      </c>
      <c r="AE91" s="183">
        <f t="shared" si="45"/>
        <v>0</v>
      </c>
      <c r="AF91" s="183">
        <f t="shared" ref="AF91:AK91" si="46">+AF82+AF89</f>
        <v>0</v>
      </c>
      <c r="AG91" s="183">
        <f t="shared" si="46"/>
        <v>0</v>
      </c>
      <c r="AH91" s="183">
        <f t="shared" si="46"/>
        <v>0</v>
      </c>
      <c r="AI91" s="183">
        <f t="shared" si="46"/>
        <v>0</v>
      </c>
      <c r="AJ91" s="183">
        <f t="shared" si="46"/>
        <v>0</v>
      </c>
      <c r="AK91" s="183">
        <f t="shared" si="46"/>
        <v>0</v>
      </c>
      <c r="AL91" s="183">
        <f>+AL82+AL89</f>
        <v>0</v>
      </c>
      <c r="AM91" s="183">
        <f>+AM82+AM89</f>
        <v>0</v>
      </c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N105" sqref="N105"/>
      <selection pane="topRight" activeCell="N105" sqref="N105"/>
      <selection pane="bottomLeft" activeCell="N105" sqref="N105"/>
      <selection pane="bottomRight" activeCell="E44" sqref="E4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23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STG_VAR!D11+ONT_VAR!D11+'CE-VAR'!D11+'EAST-EGM-VAR'!D11+'BGC-EGM-VAR'!D11+'EAST-LRC-VAR'!D11+'TX-EGM-VAR'!D11+'TX-HPL-VAR '!D11+'WE-VAR'!D11+BUG_VAR!D11</f>
        <v>225507435</v>
      </c>
      <c r="E11" s="65">
        <f>STG_VAR!E11+ONT_VAR!E11+'CE-VAR'!E11+'EAST-EGM-VAR'!E11+'BGC-EGM-VAR'!E11+'EAST-LRC-VAR'!E11+'TX-EGM-VAR'!E11+'TX-HPL-VAR '!E11+'WE-VAR'!E11+BUG_VAR!E11</f>
        <v>501161242</v>
      </c>
      <c r="F11" s="65">
        <f>STG_VAR!F11+ONT_VAR!F11+'CE-VAR'!F11+'EAST-EGM-VAR'!F11+'BGC-EGM-VAR'!F11+'EAST-LRC-VAR'!F11+'TX-EGM-VAR'!F11+'TX-HPL-VAR '!F11+'WE-VAR'!F11+BUG_VAR!F11</f>
        <v>224059574</v>
      </c>
      <c r="G11" s="65">
        <f>STG_VAR!G11+ONT_VAR!G11+'CE-VAR'!G11+'EAST-EGM-VAR'!G11+'BGC-EGM-VAR'!G11+'EAST-LRC-VAR'!G11+'TX-EGM-VAR'!G11+'TX-HPL-VAR '!G11+'WE-VAR'!G11+BUG_VAR!G11</f>
        <v>503880835.93000001</v>
      </c>
      <c r="H11" s="60">
        <f>F11-D11</f>
        <v>-1447861</v>
      </c>
      <c r="I11" s="38">
        <f>G11-E11</f>
        <v>2719593.9300000072</v>
      </c>
    </row>
    <row r="12" spans="1:22" x14ac:dyDescent="0.25">
      <c r="A12" s="9">
        <v>2</v>
      </c>
      <c r="B12" s="7"/>
      <c r="C12" s="18" t="s">
        <v>29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-8356868.4499999974</v>
      </c>
      <c r="H12" s="60">
        <f>F12-D12</f>
        <v>0</v>
      </c>
      <c r="I12" s="38">
        <f>G12-E12</f>
        <v>-8356868.4499999974</v>
      </c>
    </row>
    <row r="13" spans="1:22" x14ac:dyDescent="0.25">
      <c r="A13" s="9">
        <v>3</v>
      </c>
      <c r="B13" s="7"/>
      <c r="C13" s="18" t="s">
        <v>30</v>
      </c>
      <c r="D13" s="65">
        <f>STG_VAR!D13+ONT_VAR!D13+'CE-VAR'!D13+'EAST-EGM-VAR'!D13+'BGC-EGM-VAR'!D13+'EAST-LRC-VAR'!D13+'TX-EGM-VAR'!D13+'TX-HPL-VAR '!D13+'WE-VAR'!D13+BUG_VAR!D13</f>
        <v>106203159</v>
      </c>
      <c r="E13" s="65">
        <f>STG_VAR!E13+ONT_VAR!E13+'CE-VAR'!E13+'EAST-EGM-VAR'!E13+'BGC-EGM-VAR'!E13+'EAST-LRC-VAR'!E13+'TX-EGM-VAR'!E13+'TX-HPL-VAR '!E13+'WE-VAR'!E13+BUG_VAR!E13</f>
        <v>242899420</v>
      </c>
      <c r="F13" s="65">
        <f>STG_VAR!F13+ONT_VAR!F13+'CE-VAR'!F13+'EAST-EGM-VAR'!F13+'BGC-EGM-VAR'!F13+'EAST-LRC-VAR'!F13+'TX-EGM-VAR'!F13+'TX-HPL-VAR '!F13+'WE-VAR'!F13+BUG_VAR!F13</f>
        <v>129427228</v>
      </c>
      <c r="G13" s="65">
        <f>STG_VAR!G13+ONT_VAR!G13+'CE-VAR'!G13+'EAST-EGM-VAR'!G13+'BGC-EGM-VAR'!G13+'EAST-LRC-VAR'!G13+'TX-EGM-VAR'!G13+'TX-HPL-VAR '!G13+'WE-VAR'!G13+BUG_VAR!G13</f>
        <v>293025863</v>
      </c>
      <c r="H13" s="60">
        <f t="shared" ref="H13:I15" si="0">F13-D13</f>
        <v>23224069</v>
      </c>
      <c r="I13" s="38">
        <f t="shared" si="0"/>
        <v>50126443</v>
      </c>
    </row>
    <row r="14" spans="1:22" x14ac:dyDescent="0.25">
      <c r="A14" s="9">
        <v>4</v>
      </c>
      <c r="B14" s="7"/>
      <c r="C14" s="18" t="s">
        <v>31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0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294315</v>
      </c>
      <c r="H15" s="60">
        <f t="shared" si="0"/>
        <v>0</v>
      </c>
      <c r="I15" s="38">
        <f t="shared" si="0"/>
        <v>294315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331710594</v>
      </c>
      <c r="E16" s="39">
        <f t="shared" si="1"/>
        <v>744060662</v>
      </c>
      <c r="F16" s="61">
        <f t="shared" si="1"/>
        <v>353486802</v>
      </c>
      <c r="G16" s="39">
        <f t="shared" si="1"/>
        <v>788844145.48000002</v>
      </c>
      <c r="H16" s="61">
        <f t="shared" si="1"/>
        <v>21776208</v>
      </c>
      <c r="I16" s="39">
        <f t="shared" si="1"/>
        <v>44783483.480000012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STG_VAR!D19+ONT_VAR!D19+'CE-VAR'!D19+'EAST-EGM-VAR'!D19+'BGC-EGM-VAR'!D19+'EAST-LRC-VAR'!D19+'TX-EGM-VAR'!D19+'TX-HPL-VAR '!D19+'WE-VAR'!D19+BUG_VAR!D19</f>
        <v>-215579013</v>
      </c>
      <c r="E19" s="65">
        <f>STG_VAR!E19+ONT_VAR!E19+'CE-VAR'!E19+'EAST-EGM-VAR'!E19+'BGC-EGM-VAR'!E19+'EAST-LRC-VAR'!E19+'TX-EGM-VAR'!E19+'TX-HPL-VAR '!E19+'WE-VAR'!E19+BUG_VAR!E19</f>
        <v>-472992049</v>
      </c>
      <c r="F19" s="65">
        <f>STG_VAR!F19+ONT_VAR!F19+'CE-VAR'!F19+'EAST-EGM-VAR'!F19+'BGC-EGM-VAR'!F19+'EAST-LRC-VAR'!F19+'TX-EGM-VAR'!F19+'TX-HPL-VAR '!F19+'WE-VAR'!F19+BUG_VAR!F19</f>
        <v>-210217259</v>
      </c>
      <c r="G19" s="65">
        <f>STG_VAR!G19+ONT_VAR!G19+'CE-VAR'!G19+'EAST-EGM-VAR'!G19+'BGC-EGM-VAR'!G19+'EAST-LRC-VAR'!G19+'TX-EGM-VAR'!G19+'TX-HPL-VAR '!G19+'WE-VAR'!G19+BUG_VAR!G19</f>
        <v>-460283755.90999997</v>
      </c>
      <c r="H19" s="60">
        <f>F19-D19</f>
        <v>5361754</v>
      </c>
      <c r="I19" s="38">
        <f>G19-E19</f>
        <v>12708293.090000033</v>
      </c>
    </row>
    <row r="20" spans="1:9" x14ac:dyDescent="0.25">
      <c r="A20" s="9">
        <v>7</v>
      </c>
      <c r="B20" s="7"/>
      <c r="C20" s="18" t="s">
        <v>29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4387999.1099999994</v>
      </c>
      <c r="H20" s="60">
        <f>F20-D20</f>
        <v>0</v>
      </c>
      <c r="I20" s="38">
        <f>G20-E20</f>
        <v>4387999.1099999994</v>
      </c>
    </row>
    <row r="21" spans="1:9" x14ac:dyDescent="0.25">
      <c r="A21" s="9">
        <v>8</v>
      </c>
      <c r="B21" s="7"/>
      <c r="C21" s="18" t="s">
        <v>30</v>
      </c>
      <c r="D21" s="65">
        <f>STG_VAR!D21+ONT_VAR!D21+'CE-VAR'!D21+'EAST-EGM-VAR'!D21+'BGC-EGM-VAR'!D21+'EAST-LRC-VAR'!D21+'TX-EGM-VAR'!D21+'TX-HPL-VAR '!D21+'WE-VAR'!D21+BUG_VAR!D21</f>
        <v>-125543092</v>
      </c>
      <c r="E21" s="65">
        <f>STG_VAR!E21+ONT_VAR!E21+'CE-VAR'!E21+'EAST-EGM-VAR'!E21+'BGC-EGM-VAR'!E21+'EAST-LRC-VAR'!E21+'TX-EGM-VAR'!E21+'TX-HPL-VAR '!E21+'WE-VAR'!E21+BUG_VAR!E21</f>
        <v>-285844040</v>
      </c>
      <c r="F21" s="65">
        <f>STG_VAR!F21+ONT_VAR!F21+'CE-VAR'!F21+'EAST-EGM-VAR'!F21+'BGC-EGM-VAR'!F21+'EAST-LRC-VAR'!F21+'TX-EGM-VAR'!F21+'TX-HPL-VAR '!F21+'WE-VAR'!F21+BUG_VAR!F21</f>
        <v>-129427228</v>
      </c>
      <c r="G21" s="65">
        <f>STG_VAR!G21+ONT_VAR!G21+'CE-VAR'!G21+'EAST-EGM-VAR'!G21+'BGC-EGM-VAR'!G21+'EAST-LRC-VAR'!G21+'TX-EGM-VAR'!G21+'TX-HPL-VAR '!G21+'WE-VAR'!G21+BUG_VAR!G21</f>
        <v>-295705440</v>
      </c>
      <c r="H21" s="60">
        <f t="shared" ref="H21:I23" si="2">F21-D21</f>
        <v>-3884136</v>
      </c>
      <c r="I21" s="38">
        <f t="shared" si="2"/>
        <v>-9861400</v>
      </c>
    </row>
    <row r="22" spans="1:9" x14ac:dyDescent="0.25">
      <c r="A22" s="9">
        <v>9</v>
      </c>
      <c r="B22" s="7"/>
      <c r="C22" s="18" t="s">
        <v>31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STG_VAR!D23+ONT_VAR!D23+'CE-VAR'!D23+'EAST-EGM-VAR'!D23+'BGC-EGM-VAR'!D23+'EAST-LRC-VAR'!D23+'TX-EGM-VAR'!D23+'TX-HPL-VAR '!D23+'WE-VAR'!D23+BUG_VAR!D23</f>
        <v>1241332</v>
      </c>
      <c r="E23" s="65">
        <f>STG_VAR!E23+ONT_VAR!E23+'CE-VAR'!E23+'EAST-EGM-VAR'!E23+'BGC-EGM-VAR'!E23+'EAST-LRC-VAR'!E23+'TX-EGM-VAR'!E23+'TX-HPL-VAR '!E23+'WE-VAR'!E23+BUG_VAR!E23</f>
        <v>2745799</v>
      </c>
      <c r="F23" s="65">
        <f>STG_VAR!F23+ONT_VAR!F23+'CE-VAR'!F23+'EAST-EGM-VAR'!F23+'BGC-EGM-VAR'!F23+'EAST-LRC-VAR'!F23+'TX-EGM-VAR'!F23+'TX-HPL-VAR '!F23+'WE-VAR'!F23+BUG_VAR!F23</f>
        <v>724135</v>
      </c>
      <c r="G23" s="65">
        <f>STG_VAR!G23+ONT_VAR!G23+'CE-VAR'!G23+'EAST-EGM-VAR'!G23+'BGC-EGM-VAR'!G23+'EAST-LRC-VAR'!G23+'TX-EGM-VAR'!G23+'TX-HPL-VAR '!G23+'WE-VAR'!G23+BUG_VAR!G23</f>
        <v>1310443.4857999999</v>
      </c>
      <c r="H23" s="60">
        <f t="shared" si="2"/>
        <v>-517197</v>
      </c>
      <c r="I23" s="38">
        <f t="shared" si="2"/>
        <v>-1435355.5142000001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-339880773</v>
      </c>
      <c r="E24" s="39">
        <f t="shared" si="3"/>
        <v>-756090290</v>
      </c>
      <c r="F24" s="61">
        <f t="shared" si="3"/>
        <v>-338920352</v>
      </c>
      <c r="G24" s="39">
        <f t="shared" si="3"/>
        <v>-750290753.31419992</v>
      </c>
      <c r="H24" s="61">
        <f t="shared" si="3"/>
        <v>960421</v>
      </c>
      <c r="I24" s="39">
        <f t="shared" si="3"/>
        <v>5799536.6858000327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STG_VAR!D27+ONT_VAR!D27+'CE-VAR'!D27+'EAST-EGM-VAR'!D27+'BGC-EGM-VAR'!D27+'EAST-LRC-VAR'!D27+'TX-EGM-VAR'!D27+'TX-HPL-VAR '!D27+'WE-VAR'!D27+BUG_VAR!D27</f>
        <v>28733492</v>
      </c>
      <c r="E27" s="65">
        <f>STG_VAR!E27+ONT_VAR!E27+'CE-VAR'!E27+'EAST-EGM-VAR'!E27+'BGC-EGM-VAR'!E27+'EAST-LRC-VAR'!E27+'TX-EGM-VAR'!E27+'TX-HPL-VAR '!E27+'WE-VAR'!E27+BUG_VAR!E27</f>
        <v>65401152</v>
      </c>
      <c r="F27" s="65">
        <f>STG_VAR!F27+ONT_VAR!F27+'CE-VAR'!F27+'EAST-EGM-VAR'!F27+'BGC-EGM-VAR'!F27+'EAST-LRC-VAR'!F27+'TX-EGM-VAR'!F27+'TX-HPL-VAR '!F27+'WE-VAR'!F27+BUG_VAR!F27</f>
        <v>2084503</v>
      </c>
      <c r="G27" s="65">
        <f>STG_VAR!G27+ONT_VAR!G27+'CE-VAR'!G27+'EAST-EGM-VAR'!G27+'BGC-EGM-VAR'!G27+'EAST-LRC-VAR'!G27+'TX-EGM-VAR'!G27+'TX-HPL-VAR '!G27+'WE-VAR'!G27+BUG_VAR!G27</f>
        <v>4775101.9895000001</v>
      </c>
      <c r="H27" s="60">
        <f>F27-D27</f>
        <v>-26648989</v>
      </c>
      <c r="I27" s="38">
        <f>G27-E27</f>
        <v>-60626050.010499999</v>
      </c>
    </row>
    <row r="28" spans="1:9" x14ac:dyDescent="0.25">
      <c r="A28" s="9">
        <v>12</v>
      </c>
      <c r="B28" s="7"/>
      <c r="C28" s="18" t="s">
        <v>39</v>
      </c>
      <c r="D28" s="65">
        <f>STG_VAR!D28+ONT_VAR!D28+'CE-VAR'!D28+'EAST-EGM-VAR'!D28+'BGC-EGM-VAR'!D28+'EAST-LRC-VAR'!D28+'TX-EGM-VAR'!D28+'TX-HPL-VAR '!D28+'WE-VAR'!D28+BUG_VAR!D28</f>
        <v>-28733492</v>
      </c>
      <c r="E28" s="65">
        <f>STG_VAR!E28+ONT_VAR!E28+'CE-VAR'!E28+'EAST-EGM-VAR'!E28+'BGC-EGM-VAR'!E28+'EAST-LRC-VAR'!E28+'TX-EGM-VAR'!E28+'TX-HPL-VAR '!E28+'WE-VAR'!E28+BUG_VAR!E28</f>
        <v>-65401152</v>
      </c>
      <c r="F28" s="65">
        <f>STG_VAR!F28+ONT_VAR!F28+'CE-VAR'!F28+'EAST-EGM-VAR'!F28+'BGC-EGM-VAR'!F28+'EAST-LRC-VAR'!F28+'TX-EGM-VAR'!F28+'TX-HPL-VAR '!F28+'WE-VAR'!F28+BUG_VAR!F28</f>
        <v>-25452353</v>
      </c>
      <c r="G28" s="65">
        <f>STG_VAR!G28+ONT_VAR!G28+'CE-VAR'!G28+'EAST-EGM-VAR'!G28+'BGC-EGM-VAR'!G28+'EAST-LRC-VAR'!G28+'TX-EGM-VAR'!G28+'TX-HPL-VAR '!G28+'WE-VAR'!G28+BUG_VAR!G28</f>
        <v>-57501270.980000004</v>
      </c>
      <c r="H28" s="60">
        <f>F28-D28</f>
        <v>3281139</v>
      </c>
      <c r="I28" s="38">
        <f>G28-E28</f>
        <v>7899881.0199999958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-23367850</v>
      </c>
      <c r="G29" s="70">
        <f t="shared" si="4"/>
        <v>-52726168.990500003</v>
      </c>
      <c r="H29" s="69">
        <f t="shared" si="4"/>
        <v>-23367850</v>
      </c>
      <c r="I29" s="70">
        <f t="shared" si="4"/>
        <v>-52726168.990500003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STG_VAR!D32+ONT_VAR!D32+'CE-VAR'!D32+'EAST-EGM-VAR'!D32+'BGC-EGM-VAR'!D32+'EAST-LRC-VAR'!D32+'TX-EGM-VAR'!D32+'TX-HPL-VAR '!D32+'WE-VAR'!D32+BUG_VAR!D32</f>
        <v>4243994</v>
      </c>
      <c r="E32" s="65">
        <f>STG_VAR!E32+ONT_VAR!E32+'CE-VAR'!E32+'EAST-EGM-VAR'!E32+'BGC-EGM-VAR'!E32+'EAST-LRC-VAR'!E32+'TX-EGM-VAR'!E32+'TX-HPL-VAR '!E32+'WE-VAR'!E32+BUG_VAR!E32</f>
        <v>9939170</v>
      </c>
      <c r="F32" s="65">
        <f>STG_VAR!F32+ONT_VAR!F32+'CE-VAR'!F32+'EAST-EGM-VAR'!F32+'BGC-EGM-VAR'!F32+'EAST-LRC-VAR'!F32+'TX-EGM-VAR'!F32+'TX-HPL-VAR '!F32+'WE-VAR'!F32+BUG_VAR!F32</f>
        <v>-403649</v>
      </c>
      <c r="G32" s="65">
        <f>STG_VAR!G32+ONT_VAR!G32+'CE-VAR'!G32+'EAST-EGM-VAR'!G32+'BGC-EGM-VAR'!G32+'EAST-LRC-VAR'!G32+'TX-EGM-VAR'!G32+'TX-HPL-VAR '!G32+'WE-VAR'!G32+BUG_VAR!G32</f>
        <v>-1591000.2682000003</v>
      </c>
      <c r="H32" s="60">
        <f>F32-D32</f>
        <v>-4647643</v>
      </c>
      <c r="I32" s="38">
        <f>G32-E32</f>
        <v>-11530170.268200001</v>
      </c>
    </row>
    <row r="33" spans="1:9" x14ac:dyDescent="0.25">
      <c r="A33" s="9">
        <v>14</v>
      </c>
      <c r="B33" s="7"/>
      <c r="C33" s="18" t="s">
        <v>43</v>
      </c>
      <c r="D33" s="65">
        <f>STG_VAR!D33+ONT_VAR!D33+'CE-VAR'!D33+'EAST-EGM-VAR'!D33+'BGC-EGM-VAR'!D33+'EAST-LRC-VAR'!D33+'TX-EGM-VAR'!D33+'TX-HPL-VAR '!D33+'WE-VAR'!D33+BUG_VAR!D33</f>
        <v>-4185810</v>
      </c>
      <c r="E33" s="65">
        <f>STG_VAR!E33+ONT_VAR!E33+'CE-VAR'!E33+'EAST-EGM-VAR'!E33+'BGC-EGM-VAR'!E33+'EAST-LRC-VAR'!E33+'TX-EGM-VAR'!E33+'TX-HPL-VAR '!E33+'WE-VAR'!E33+BUG_VAR!E33</f>
        <v>-9748444.6598810684</v>
      </c>
      <c r="F33" s="65">
        <f>STG_VAR!F33+ONT_VAR!F33+'CE-VAR'!F33+'EAST-EGM-VAR'!F33+'BGC-EGM-VAR'!F33+'EAST-LRC-VAR'!F33+'TX-EGM-VAR'!F33+'TX-HPL-VAR '!F33+'WE-VAR'!F33+BUG_VAR!F33</f>
        <v>-52744</v>
      </c>
      <c r="G33" s="65">
        <f>STG_VAR!G33+ONT_VAR!G33+'CE-VAR'!G33+'EAST-EGM-VAR'!G33+'BGC-EGM-VAR'!G33+'EAST-LRC-VAR'!G33+'TX-EGM-VAR'!G33+'TX-HPL-VAR '!G33+'WE-VAR'!G33+BUG_VAR!G33</f>
        <v>-117141.67</v>
      </c>
      <c r="H33" s="60">
        <f t="shared" ref="H33:I35" si="5">F33-D33</f>
        <v>4133066</v>
      </c>
      <c r="I33" s="38">
        <f t="shared" si="5"/>
        <v>9631302.9898810685</v>
      </c>
    </row>
    <row r="34" spans="1:9" x14ac:dyDescent="0.25">
      <c r="A34" s="9">
        <v>15</v>
      </c>
      <c r="B34" s="7"/>
      <c r="C34" s="18" t="s">
        <v>44</v>
      </c>
      <c r="D34" s="65">
        <f>STG_VAR!D34+ONT_VAR!D34+'CE-VAR'!D34+'EAST-EGM-VAR'!D34+'BGC-EGM-VAR'!D34+'EAST-LRC-VAR'!D34+'TX-EGM-VAR'!D34+'TX-HPL-VAR '!D34+'WE-VAR'!D34+BUG_VAR!D34</f>
        <v>352983</v>
      </c>
      <c r="E34" s="65">
        <f>STG_VAR!E34+ONT_VAR!E34+'CE-VAR'!E34+'EAST-EGM-VAR'!E34+'BGC-EGM-VAR'!E34+'EAST-LRC-VAR'!E34+'TX-EGM-VAR'!E34+'TX-HPL-VAR '!E34+'WE-VAR'!E34+BUG_VAR!E34</f>
        <v>794701</v>
      </c>
      <c r="F34" s="65">
        <f>STG_VAR!F34+ONT_VAR!F34+'CE-VAR'!F34+'EAST-EGM-VAR'!F34+'BGC-EGM-VAR'!F34+'EAST-LRC-VAR'!F34+'TX-EGM-VAR'!F34+'TX-HPL-VAR '!F34+'WE-VAR'!F34+BUG_VAR!F34</f>
        <v>338770</v>
      </c>
      <c r="G34" s="65">
        <f>STG_VAR!G34+ONT_VAR!G34+'CE-VAR'!G34+'EAST-EGM-VAR'!G34+'BGC-EGM-VAR'!G34+'EAST-LRC-VAR'!G34+'TX-EGM-VAR'!G34+'TX-HPL-VAR '!G34+'WE-VAR'!G34+BUG_VAR!G34</f>
        <v>756347.42999999993</v>
      </c>
      <c r="H34" s="60">
        <f t="shared" si="5"/>
        <v>-14213</v>
      </c>
      <c r="I34" s="38">
        <f t="shared" si="5"/>
        <v>-38353.570000000065</v>
      </c>
    </row>
    <row r="35" spans="1:9" x14ac:dyDescent="0.25">
      <c r="A35" s="9">
        <v>16</v>
      </c>
      <c r="B35" s="7"/>
      <c r="C35" s="18" t="s">
        <v>45</v>
      </c>
      <c r="D35" s="65">
        <f>STG_VAR!D35+ONT_VAR!D35+'CE-VAR'!D35+'EAST-EGM-VAR'!D35+'BGC-EGM-VAR'!D35+'EAST-LRC-VAR'!D35+'TX-EGM-VAR'!D35+'TX-HPL-VAR '!D35+'WE-VAR'!D35+BUG_VAR!D35</f>
        <v>-113080</v>
      </c>
      <c r="E35" s="65">
        <f>STG_VAR!E35+ONT_VAR!E35+'CE-VAR'!E35+'EAST-EGM-VAR'!E35+'BGC-EGM-VAR'!E35+'EAST-LRC-VAR'!E35+'TX-EGM-VAR'!E35+'TX-HPL-VAR '!E35+'WE-VAR'!E35+BUG_VAR!E35</f>
        <v>-254388</v>
      </c>
      <c r="F35" s="65">
        <f>STG_VAR!F35+ONT_VAR!F35+'CE-VAR'!F35+'EAST-EGM-VAR'!F35+'BGC-EGM-VAR'!F35+'EAST-LRC-VAR'!F35+'TX-EGM-VAR'!F35+'TX-HPL-VAR '!F35+'WE-VAR'!F35+BUG_VAR!F35</f>
        <v>1175587</v>
      </c>
      <c r="G35" s="65">
        <f>STG_VAR!G35+ONT_VAR!G35+'CE-VAR'!G35+'EAST-EGM-VAR'!G35+'BGC-EGM-VAR'!G35+'EAST-LRC-VAR'!G35+'TX-EGM-VAR'!G35+'TX-HPL-VAR '!G35+'WE-VAR'!G35+BUG_VAR!G35</f>
        <v>805268.99</v>
      </c>
      <c r="H35" s="60">
        <f t="shared" si="5"/>
        <v>1288667</v>
      </c>
      <c r="I35" s="38">
        <f t="shared" si="5"/>
        <v>1059656.99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298087</v>
      </c>
      <c r="E36" s="39">
        <f t="shared" si="6"/>
        <v>731038.34011893161</v>
      </c>
      <c r="F36" s="61">
        <f t="shared" si="6"/>
        <v>1057964</v>
      </c>
      <c r="G36" s="39">
        <f t="shared" si="6"/>
        <v>-146525.51820000028</v>
      </c>
      <c r="H36" s="61">
        <f t="shared" si="6"/>
        <v>759877</v>
      </c>
      <c r="I36" s="39">
        <f t="shared" si="6"/>
        <v>-877563.85831893235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STG_VAR!D39+ONT_VAR!D39+'CE-VAR'!D39+'EAST-EGM-VAR'!D39+'BGC-EGM-VAR'!D39+'EAST-LRC-VAR'!D39+'TX-EGM-VAR'!D39+'TX-HPL-VAR '!D39+'WE-VAR'!D39+BUG_VAR!D39</f>
        <v>9263998</v>
      </c>
      <c r="E39" s="65">
        <f>STG_VAR!E39+ONT_VAR!E39+'CE-VAR'!E39+'EAST-EGM-VAR'!E39+'BGC-EGM-VAR'!E39+'EAST-LRC-VAR'!E39+'TX-EGM-VAR'!E39+'TX-HPL-VAR '!E39+'WE-VAR'!E39+BUG_VAR!E39</f>
        <v>21559234</v>
      </c>
      <c r="F39" s="65">
        <f>STG_VAR!F39+ONT_VAR!F39+'CE-VAR'!F39+'EAST-EGM-VAR'!F39+'BGC-EGM-VAR'!F39+'EAST-LRC-VAR'!F39+'TX-EGM-VAR'!F39+'TX-HPL-VAR '!F39+'WE-VAR'!F39+BUG_VAR!F39</f>
        <v>8093794</v>
      </c>
      <c r="G39" s="65">
        <f>STG_VAR!G39+ONT_VAR!G39+'CE-VAR'!G39+'EAST-EGM-VAR'!G39+'BGC-EGM-VAR'!G39+'EAST-LRC-VAR'!G39+'TX-EGM-VAR'!G39+'TX-HPL-VAR '!G39+'WE-VAR'!G39+BUG_VAR!G39</f>
        <v>19313510.420000002</v>
      </c>
      <c r="H39" s="60">
        <f t="shared" ref="H39:I41" si="7">F39-D39</f>
        <v>-1170204</v>
      </c>
      <c r="I39" s="38">
        <f t="shared" si="7"/>
        <v>-2245723.5799999982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STG_VAR!D40+ONT_VAR!D40+'CE-VAR'!D40+'EAST-EGM-VAR'!D40+'BGC-EGM-VAR'!D40+'EAST-LRC-VAR'!D40+'TX-EGM-VAR'!D40+'TX-HPL-VAR '!D40+'WE-VAR'!D40+BUG_VAR!D40</f>
        <v>-1433823</v>
      </c>
      <c r="E40" s="65">
        <f>STG_VAR!E40+ONT_VAR!E40+'CE-VAR'!E40+'EAST-EGM-VAR'!E40+'BGC-EGM-VAR'!E40+'EAST-LRC-VAR'!E40+'TX-EGM-VAR'!E40+'TX-HPL-VAR '!E40+'WE-VAR'!E40+BUG_VAR!E40</f>
        <v>-2906868</v>
      </c>
      <c r="F40" s="65">
        <f>STG_VAR!F40+ONT_VAR!F40+'CE-VAR'!F40+'EAST-EGM-VAR'!F40+'BGC-EGM-VAR'!F40+'EAST-LRC-VAR'!F40+'TX-EGM-VAR'!F40+'TX-HPL-VAR '!F40+'WE-VAR'!F40+BUG_VAR!F40</f>
        <v>196530</v>
      </c>
      <c r="G40" s="65">
        <f>STG_VAR!G40+ONT_VAR!G40+'CE-VAR'!G40+'EAST-EGM-VAR'!G40+'BGC-EGM-VAR'!G40+'EAST-LRC-VAR'!G40+'TX-EGM-VAR'!G40+'TX-HPL-VAR '!G40+'WE-VAR'!G40+BUG_VAR!G40</f>
        <v>539953.48</v>
      </c>
      <c r="H40" s="60">
        <f t="shared" si="7"/>
        <v>1630353</v>
      </c>
      <c r="I40" s="38">
        <f t="shared" si="7"/>
        <v>3446821.48</v>
      </c>
    </row>
    <row r="41" spans="1:9" x14ac:dyDescent="0.25">
      <c r="A41" s="9">
        <v>19</v>
      </c>
      <c r="B41" s="7"/>
      <c r="C41" s="18" t="s">
        <v>50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420405</v>
      </c>
      <c r="H41" s="60">
        <f t="shared" si="7"/>
        <v>0</v>
      </c>
      <c r="I41" s="38">
        <f t="shared" si="7"/>
        <v>420405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-1433823</v>
      </c>
      <c r="E42" s="70">
        <f t="shared" si="8"/>
        <v>-2906868</v>
      </c>
      <c r="F42" s="69">
        <f t="shared" si="8"/>
        <v>196530</v>
      </c>
      <c r="G42" s="70">
        <f t="shared" si="8"/>
        <v>960358.48</v>
      </c>
      <c r="H42" s="69">
        <f t="shared" si="8"/>
        <v>1630353</v>
      </c>
      <c r="I42" s="70">
        <f t="shared" si="8"/>
        <v>3867226.48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7830175</v>
      </c>
      <c r="E43" s="39">
        <f t="shared" si="9"/>
        <v>18652366</v>
      </c>
      <c r="F43" s="61">
        <f t="shared" si="9"/>
        <v>8290324</v>
      </c>
      <c r="G43" s="39">
        <f t="shared" si="9"/>
        <v>20273868.900000002</v>
      </c>
      <c r="H43" s="61">
        <f t="shared" si="9"/>
        <v>460149</v>
      </c>
      <c r="I43" s="39">
        <f t="shared" si="9"/>
        <v>1621502.9000000018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-25247</v>
      </c>
      <c r="G45" s="65">
        <f>STG_VAR!G45+ONT_VAR!G45+'CE-VAR'!G45+'EAST-EGM-VAR'!G45+'BGC-EGM-VAR'!G45+'EAST-LRC-VAR'!G45+'TX-EGM-VAR'!G45+'TX-HPL-VAR '!G45+'WE-VAR'!G45+BUG_VAR!G45</f>
        <v>-45544.09</v>
      </c>
      <c r="H45" s="60">
        <f>F45-D45</f>
        <v>-25247</v>
      </c>
      <c r="I45" s="38">
        <f>G45-E45</f>
        <v>-45544.09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STG_VAR!D49+ONT_VAR!D49+'CE-VAR'!D49+'EAST-EGM-VAR'!D49+'BGC-EGM-VAR'!D49+'EAST-LRC-VAR'!D49+'TX-EGM-VAR'!D49+'TX-HPL-VAR '!D49+'WE-VAR'!D49+BUG_VAR!D49</f>
        <v>41917</v>
      </c>
      <c r="E49" s="65">
        <f>STG_VAR!E49+ONT_VAR!E49+'CE-VAR'!E49+'EAST-EGM-VAR'!E49+'BGC-EGM-VAR'!E49+'EAST-LRC-VAR'!E49+'TX-EGM-VAR'!E49+'TX-HPL-VAR '!E49+'WE-VAR'!E49+BUG_VAR!E49</f>
        <v>97719.136094822257</v>
      </c>
      <c r="F49" s="65">
        <f>STG_VAR!F49+ONT_VAR!F49+'CE-VAR'!F49+'EAST-EGM-VAR'!F49+'BGC-EGM-VAR'!F49+'EAST-LRC-VAR'!F49+'TX-EGM-VAR'!F49+'TX-HPL-VAR '!F49+'WE-VAR'!F49+BUG_VAR!F49</f>
        <v>-519391</v>
      </c>
      <c r="G49" s="65">
        <f>STG_VAR!G49+ONT_VAR!G49+'CE-VAR'!G49+'EAST-EGM-VAR'!G49+'BGC-EGM-VAR'!G49+'EAST-LRC-VAR'!G49+'TX-EGM-VAR'!G49+'TX-HPL-VAR '!G49+'WE-VAR'!G49+BUG_VAR!G49</f>
        <v>-1189491.1368000025</v>
      </c>
      <c r="H49" s="60">
        <f>F49-D49</f>
        <v>-561308</v>
      </c>
      <c r="I49" s="38">
        <f>G49-E49</f>
        <v>-1287210.2728948249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STG_VAR!D51+ONT_VAR!D51+'CE-VAR'!D51+'EAST-EGM-VAR'!D51+'BGC-EGM-VAR'!D51+'EAST-LRC-VAR'!D51+'TX-EGM-VAR'!D51+'TX-HPL-VAR '!D51+'WE-VAR'!D51+BUG_VAR!D51</f>
        <v>-1225506</v>
      </c>
      <c r="E51" s="65">
        <f>STG_VAR!E51+ONT_VAR!E51+'CE-VAR'!E51+'EAST-EGM-VAR'!E51+'BGC-EGM-VAR'!E51+'EAST-LRC-VAR'!E51+'TX-EGM-VAR'!E51+'TX-HPL-VAR '!E51+'WE-VAR'!E51+BUG_VAR!E51</f>
        <v>-2710150</v>
      </c>
      <c r="F51" s="65">
        <f>STG_VAR!F51+ONT_VAR!F51+'CE-VAR'!F51+'EAST-EGM-VAR'!F51+'BGC-EGM-VAR'!F51+'EAST-LRC-VAR'!F51+'TX-EGM-VAR'!F51+'TX-HPL-VAR '!F51+'WE-VAR'!F51+BUG_VAR!F51</f>
        <v>-1290973</v>
      </c>
      <c r="G51" s="65">
        <f>STG_VAR!G51+ONT_VAR!G51+'CE-VAR'!G51+'EAST-EGM-VAR'!G51+'BGC-EGM-VAR'!G51+'EAST-LRC-VAR'!G51+'TX-EGM-VAR'!G51+'TX-HPL-VAR '!G51+'WE-VAR'!G51+BUG_VAR!G51</f>
        <v>-2817957.9347999999</v>
      </c>
      <c r="H51" s="60">
        <f>F51-D51</f>
        <v>-65467</v>
      </c>
      <c r="I51" s="38">
        <f>G51-E51</f>
        <v>-107807.93479999993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-2166425.96</v>
      </c>
      <c r="F54" s="65">
        <f>STG_VAR!F54+ONT_VAR!F54+'CE-VAR'!F54+'EAST-EGM-VAR'!F54+'BGC-EGM-VAR'!F54+'EAST-LRC-VAR'!F54+'TX-EGM-VAR'!F54+'TX-HPL-VAR '!F54+'WE-VAR'!F54+BUG_VAR!F54</f>
        <v>-79221196</v>
      </c>
      <c r="G54" s="65">
        <f>STG_VAR!G54+ONT_VAR!G54+'CE-VAR'!G54+'EAST-EGM-VAR'!G54+'BGC-EGM-VAR'!G54+'EAST-LRC-VAR'!G54+'TX-EGM-VAR'!G54+'TX-HPL-VAR '!G54+'WE-VAR'!G54+BUG_VAR!G54</f>
        <v>-1881521.65</v>
      </c>
      <c r="H54" s="60">
        <f>F54-D54</f>
        <v>-79221196</v>
      </c>
      <c r="I54" s="38">
        <f>G54-E54</f>
        <v>284904.31000000006</v>
      </c>
    </row>
    <row r="55" spans="1:9" x14ac:dyDescent="0.25">
      <c r="A55" s="9">
        <v>25</v>
      </c>
      <c r="B55" s="7"/>
      <c r="C55" s="18" t="s">
        <v>59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-2636812.19</v>
      </c>
      <c r="F55" s="65">
        <f>STG_VAR!F55+ONT_VAR!F55+'CE-VAR'!F55+'EAST-EGM-VAR'!F55+'BGC-EGM-VAR'!F55+'EAST-LRC-VAR'!F55+'TX-EGM-VAR'!F55+'TX-HPL-VAR '!F55+'WE-VAR'!F55+BUG_VAR!F55</f>
        <v>2834</v>
      </c>
      <c r="G55" s="65">
        <f>STG_VAR!G55+ONT_VAR!G55+'CE-VAR'!G55+'EAST-EGM-VAR'!G55+'BGC-EGM-VAR'!G55+'EAST-LRC-VAR'!G55+'TX-EGM-VAR'!G55+'TX-HPL-VAR '!G55+'WE-VAR'!G55+BUG_VAR!G55</f>
        <v>-14888757.130000001</v>
      </c>
      <c r="H55" s="60">
        <f>F55-D55</f>
        <v>2834</v>
      </c>
      <c r="I55" s="38">
        <f>G55-E55</f>
        <v>-12251944.940000001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-4803238.1500000004</v>
      </c>
      <c r="F56" s="61">
        <f t="shared" si="10"/>
        <v>-79218362</v>
      </c>
      <c r="G56" s="39">
        <f t="shared" si="10"/>
        <v>-16770278.780000001</v>
      </c>
      <c r="H56" s="61">
        <f t="shared" si="10"/>
        <v>-79218362</v>
      </c>
      <c r="I56" s="39">
        <f t="shared" si="10"/>
        <v>-11967040.630000001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3132845</v>
      </c>
      <c r="G59" s="65">
        <f>STG_VAR!G59+ONT_VAR!G59+'CE-VAR'!G59+'EAST-EGM-VAR'!G59+'BGC-EGM-VAR'!G59+'EAST-LRC-VAR'!G59+'TX-EGM-VAR'!G59+'TX-HPL-VAR '!G59+'WE-VAR'!G59+BUG_VAR!G59</f>
        <v>98670.560000000012</v>
      </c>
      <c r="H59" s="60">
        <f>F59-D59</f>
        <v>3132845</v>
      </c>
      <c r="I59" s="38">
        <f>G59-E59</f>
        <v>98670.560000000012</v>
      </c>
    </row>
    <row r="60" spans="1:9" x14ac:dyDescent="0.25">
      <c r="A60" s="9">
        <v>27</v>
      </c>
      <c r="B60" s="11"/>
      <c r="C60" s="18" t="s">
        <v>63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123262</v>
      </c>
      <c r="H60" s="60">
        <f>F60-D60</f>
        <v>0</v>
      </c>
      <c r="I60" s="38">
        <f>G60-E60</f>
        <v>123262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3132845</v>
      </c>
      <c r="G61" s="70">
        <f t="shared" si="11"/>
        <v>221932.56</v>
      </c>
      <c r="H61" s="69">
        <f t="shared" si="11"/>
        <v>3132845</v>
      </c>
      <c r="I61" s="70">
        <f t="shared" si="11"/>
        <v>221932.56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68597</v>
      </c>
      <c r="F64" s="65">
        <f>STG_VAR!F64+ONT_VAR!F64+'CE-VAR'!F64+'EAST-EGM-VAR'!F64+'BGC-EGM-VAR'!F64+'EAST-LRC-VAR'!F64+'TX-EGM-VAR'!F64+'TX-HPL-VAR '!F64+'WE-VAR'!F64+BUG_VAR!F64</f>
        <v>-65548201</v>
      </c>
      <c r="G64" s="65">
        <f>STG_VAR!G64+ONT_VAR!G64+'CE-VAR'!G64+'EAST-EGM-VAR'!G64+'BGC-EGM-VAR'!G64+'EAST-LRC-VAR'!G64+'TX-EGM-VAR'!G64+'TX-HPL-VAR '!G64+'WE-VAR'!G64+BUG_VAR!G64</f>
        <v>-3168971.73</v>
      </c>
      <c r="H64" s="60">
        <f>F64-D64</f>
        <v>-65548201</v>
      </c>
      <c r="I64" s="38">
        <f>G64-E64</f>
        <v>-3237568.73</v>
      </c>
    </row>
    <row r="65" spans="1:9" x14ac:dyDescent="0.25">
      <c r="A65" s="9">
        <v>29</v>
      </c>
      <c r="B65" s="11"/>
      <c r="C65" s="18" t="s">
        <v>66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18905694</v>
      </c>
      <c r="G65" s="65">
        <f>STG_VAR!G65+ONT_VAR!G65+'CE-VAR'!G65+'EAST-EGM-VAR'!G65+'BGC-EGM-VAR'!G65+'EAST-LRC-VAR'!G65+'TX-EGM-VAR'!G65+'TX-HPL-VAR '!G65+'WE-VAR'!G65+BUG_VAR!G65</f>
        <v>3164156.54</v>
      </c>
      <c r="H65" s="60">
        <f>F65-D65</f>
        <v>18905694</v>
      </c>
      <c r="I65" s="38">
        <f>G65-E65</f>
        <v>3164156.54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68597</v>
      </c>
      <c r="F66" s="61">
        <f t="shared" si="12"/>
        <v>-46642507</v>
      </c>
      <c r="G66" s="39">
        <f t="shared" si="12"/>
        <v>-4815.1899999999441</v>
      </c>
      <c r="H66" s="61">
        <f t="shared" si="12"/>
        <v>-46642507</v>
      </c>
      <c r="I66" s="39">
        <f t="shared" si="12"/>
        <v>-73412.189999999944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15090184.70874786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19732848.719999999</v>
      </c>
      <c r="H70" s="60">
        <f>F70-D70</f>
        <v>0</v>
      </c>
      <c r="I70" s="38">
        <f>G70-E70</f>
        <v>4642664.0112521388</v>
      </c>
    </row>
    <row r="71" spans="1:9" x14ac:dyDescent="0.25">
      <c r="A71" s="9">
        <v>31</v>
      </c>
      <c r="B71" s="3"/>
      <c r="C71" s="10" t="s">
        <v>71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-10626995.85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-10875426.73</v>
      </c>
      <c r="H71" s="60">
        <f>F71-D71</f>
        <v>0</v>
      </c>
      <c r="I71" s="38">
        <f>G71-E71</f>
        <v>-248430.88000000082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4463188.8587478604</v>
      </c>
      <c r="F72" s="69">
        <f t="shared" si="13"/>
        <v>0</v>
      </c>
      <c r="G72" s="70">
        <f t="shared" si="13"/>
        <v>8857421.9899999984</v>
      </c>
      <c r="H72" s="69">
        <f t="shared" si="13"/>
        <v>0</v>
      </c>
      <c r="I72" s="70">
        <f t="shared" si="13"/>
        <v>4394233.1312521379</v>
      </c>
    </row>
    <row r="73" spans="1:9" x14ac:dyDescent="0.25">
      <c r="A73" s="9">
        <v>32</v>
      </c>
      <c r="B73" s="3"/>
      <c r="C73" s="10" t="s">
        <v>73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858408.15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-3511657.05</v>
      </c>
      <c r="H74" s="60">
        <f t="shared" ref="H74:I79" si="14">F74-D74</f>
        <v>0</v>
      </c>
      <c r="I74" s="38">
        <f t="shared" si="14"/>
        <v>-4370065.2</v>
      </c>
    </row>
    <row r="75" spans="1:9" x14ac:dyDescent="0.25">
      <c r="A75" s="9">
        <v>34</v>
      </c>
      <c r="B75" s="3"/>
      <c r="C75" s="10" t="s">
        <v>75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191774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1865400</v>
      </c>
      <c r="H75" s="60">
        <f t="shared" si="14"/>
        <v>0</v>
      </c>
      <c r="I75" s="38">
        <f t="shared" si="14"/>
        <v>1673626</v>
      </c>
    </row>
    <row r="76" spans="1:9" x14ac:dyDescent="0.25">
      <c r="A76" s="9">
        <v>35</v>
      </c>
      <c r="B76" s="3"/>
      <c r="C76" s="10" t="s">
        <v>76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-82700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-550900.07999999996</v>
      </c>
      <c r="H76" s="60">
        <f t="shared" si="14"/>
        <v>0</v>
      </c>
      <c r="I76" s="38">
        <f t="shared" si="14"/>
        <v>-468200.07999999996</v>
      </c>
    </row>
    <row r="77" spans="1:9" x14ac:dyDescent="0.25">
      <c r="A77" s="9">
        <v>36</v>
      </c>
      <c r="B77" s="3"/>
      <c r="C77" s="10" t="s">
        <v>77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-1140109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6020734</v>
      </c>
      <c r="H77" s="60">
        <f t="shared" si="14"/>
        <v>0</v>
      </c>
      <c r="I77" s="38">
        <f t="shared" si="14"/>
        <v>7160843</v>
      </c>
    </row>
    <row r="78" spans="1:9" x14ac:dyDescent="0.25">
      <c r="A78" s="9">
        <v>37</v>
      </c>
      <c r="B78" s="3"/>
      <c r="C78" s="10" t="s">
        <v>78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24523.945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79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0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1531990</v>
      </c>
      <c r="H79" s="60">
        <f t="shared" si="14"/>
        <v>0</v>
      </c>
      <c r="I79" s="38">
        <f t="shared" si="14"/>
        <v>1531990</v>
      </c>
    </row>
    <row r="80" spans="1:9" x14ac:dyDescent="0.25">
      <c r="A80" s="9">
        <v>39</v>
      </c>
      <c r="B80" s="3"/>
      <c r="C80" s="10" t="s">
        <v>80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81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-378038</v>
      </c>
      <c r="F81" s="65">
        <f>STG_VAR!F81+ONT_VAR!F81+'CE-VAR'!F81+'EAST-EGM-VAR'!F81+'BGC-EGM-VAR'!F81+'EAST-LRC-VAR'!F81+'TX-EGM-VAR'!F81+'TX-HPL-VAR '!F81+'WE-VAR'!F81+BUG_VAR!F81</f>
        <v>1116361</v>
      </c>
      <c r="G81" s="65">
        <f>STG_VAR!G81+ONT_VAR!G81+'CE-VAR'!G81+'EAST-EGM-VAR'!G81+'BGC-EGM-VAR'!G81+'EAST-LRC-VAR'!G81+'TX-EGM-VAR'!G81+'TX-HPL-VAR '!G81+'WE-VAR'!G81+BUG_VAR!G81</f>
        <v>301151.34999999998</v>
      </c>
      <c r="H81" s="60">
        <f>F81-D81</f>
        <v>1116361</v>
      </c>
      <c r="I81" s="38">
        <f>G81-E81</f>
        <v>679189.35</v>
      </c>
    </row>
    <row r="82" spans="1:9" s="49" customFormat="1" ht="20.25" customHeight="1" thickBot="1" x14ac:dyDescent="0.3">
      <c r="A82" s="89"/>
      <c r="B82" s="90"/>
      <c r="C82" s="91" t="s">
        <v>82</v>
      </c>
      <c r="D82" s="92">
        <f>D16+D24+D29+D36+D43+D45+D47+D49</f>
        <v>0</v>
      </c>
      <c r="E82" s="93">
        <f>SUM(E72:E81)+E16+E24+E29+E36+E43+E45+E47+E49+E51+E56+E61+E66</f>
        <v>3943752.2799616214</v>
      </c>
      <c r="F82" s="92">
        <f>F16+F24+F29+F36+F43+F45+F47+F49</f>
        <v>2250</v>
      </c>
      <c r="G82" s="93">
        <f>SUM(G72:G81)+G16+G24+G29+G36+G43+G45+G47+G49+G51+G56+G61+G66</f>
        <v>-137448.24449987063</v>
      </c>
      <c r="H82" s="92">
        <f>H16+H24+H29+H36+H43+H45+H47+H49</f>
        <v>2250</v>
      </c>
      <c r="I82" s="93">
        <f>SUM(I72:I81)+I16+I24+I29+I36+I43+I45+I47+I49+I51+I56+I61+I66</f>
        <v>-4081200.5244615758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172</v>
      </c>
      <c r="B85" s="3"/>
      <c r="F85" s="31"/>
      <c r="G85" s="31"/>
      <c r="H85" s="31"/>
      <c r="I85" s="31"/>
    </row>
    <row r="86" spans="1:9" x14ac:dyDescent="0.25">
      <c r="A86" s="172"/>
      <c r="B86" s="3"/>
      <c r="C86" s="10" t="s">
        <v>176</v>
      </c>
      <c r="D86" s="173">
        <f>STG_VAR!D86+ONT_VAR!D86+'CE-VAR'!D86+'EAST-EGM-VAR'!D86+'BGC-EGM-VAR'!D86+'EAST-LRC-VAR'!D86+'TX-EGM-VAR'!D86+'TX-HPL-VAR '!D86+'WE-VAR'!D86+BUG_VAR!D86</f>
        <v>0</v>
      </c>
      <c r="E86" s="173">
        <f>STG_VAR!E86+ONT_VAR!E86+'CE-VAR'!E86+'EAST-EGM-VAR'!E86+'BGC-EGM-VAR'!E86+'EAST-LRC-VAR'!E86+'TX-EGM-VAR'!E86+'TX-HPL-VAR '!E86+'WE-VAR'!E86+BUG_VAR!E86</f>
        <v>359906</v>
      </c>
      <c r="F86" s="173">
        <f>STG_VAR!F86+ONT_VAR!F86+'CE-VAR'!F86+'EAST-EGM-VAR'!F86+'BGC-EGM-VAR'!F86+'EAST-LRC-VAR'!F86+'TX-EGM-VAR'!F86+'TX-HPL-VAR '!F86+'WE-VAR'!F86+BUG_VAR!F86</f>
        <v>0</v>
      </c>
      <c r="G86" s="173">
        <f>STG_VAR!G86+ONT_VAR!G86+'CE-VAR'!G86+'EAST-EGM-VAR'!G86+'BGC-EGM-VAR'!G86+'EAST-LRC-VAR'!G86+'TX-EGM-VAR'!G86+'TX-HPL-VAR '!G86+'WE-VAR'!G86+BUG_VAR!G86</f>
        <v>6096017.6399999997</v>
      </c>
      <c r="H86" s="173">
        <f t="shared" ref="H86:I88" si="15">F86-D86</f>
        <v>0</v>
      </c>
      <c r="I86" s="173">
        <f t="shared" si="15"/>
        <v>5736111.6399999997</v>
      </c>
    </row>
    <row r="87" spans="1:9" x14ac:dyDescent="0.25">
      <c r="A87" s="172"/>
      <c r="B87" s="3"/>
      <c r="C87" s="10" t="s">
        <v>74</v>
      </c>
      <c r="D87" s="174">
        <f>STG_VAR!D87+ONT_VAR!D87+'CE-VAR'!D87+'EAST-EGM-VAR'!D87+'BGC-EGM-VAR'!D87+'EAST-LRC-VAR'!D87+'TX-EGM-VAR'!D87+'TX-HPL-VAR '!D87+'WE-VAR'!D87+BUG_VAR!D87</f>
        <v>0</v>
      </c>
      <c r="E87" s="174">
        <f>STG_VAR!E87+ONT_VAR!E87+'CE-VAR'!E87+'EAST-EGM-VAR'!E87+'BGC-EGM-VAR'!E87+'EAST-LRC-VAR'!E87+'TX-EGM-VAR'!E87+'TX-HPL-VAR '!E87+'WE-VAR'!E87+BUG_VAR!E87</f>
        <v>0</v>
      </c>
      <c r="F87" s="174">
        <f>STG_VAR!F87+ONT_VAR!F87+'CE-VAR'!F87+'EAST-EGM-VAR'!F87+'BGC-EGM-VAR'!F87+'EAST-LRC-VAR'!F87+'TX-EGM-VAR'!F87+'TX-HPL-VAR '!F87+'WE-VAR'!F87+BUG_VAR!F87</f>
        <v>0</v>
      </c>
      <c r="G87" s="174">
        <f>STG_VAR!G87+ONT_VAR!G87+'CE-VAR'!G87+'EAST-EGM-VAR'!G87+'BGC-EGM-VAR'!G87+'EAST-LRC-VAR'!G87+'TX-EGM-VAR'!G87+'TX-HPL-VAR '!G87+'WE-VAR'!G87+BUG_VAR!G87</f>
        <v>0</v>
      </c>
      <c r="H87" s="174">
        <f t="shared" si="15"/>
        <v>0</v>
      </c>
      <c r="I87" s="174">
        <f t="shared" si="15"/>
        <v>0</v>
      </c>
    </row>
    <row r="88" spans="1:9" x14ac:dyDescent="0.25">
      <c r="A88" s="172"/>
      <c r="B88" s="3"/>
      <c r="C88" s="10" t="s">
        <v>75</v>
      </c>
      <c r="D88" s="175">
        <f>STG_VAR!D88+ONT_VAR!D88+'CE-VAR'!D88+'EAST-EGM-VAR'!D88+'BGC-EGM-VAR'!D88+'EAST-LRC-VAR'!D88+'TX-EGM-VAR'!D88+'TX-HPL-VAR '!D88+'WE-VAR'!D88+BUG_VAR!D88</f>
        <v>0</v>
      </c>
      <c r="E88" s="175">
        <f>STG_VAR!E88+ONT_VAR!E88+'CE-VAR'!E88+'EAST-EGM-VAR'!E88+'BGC-EGM-VAR'!E88+'EAST-LRC-VAR'!E88+'TX-EGM-VAR'!E88+'TX-HPL-VAR '!E88+'WE-VAR'!E88+BUG_VAR!E88</f>
        <v>-113464</v>
      </c>
      <c r="F88" s="175">
        <f>STG_VAR!F88+ONT_VAR!F88+'CE-VAR'!F88+'EAST-EGM-VAR'!F88+'BGC-EGM-VAR'!F88+'EAST-LRC-VAR'!F88+'TX-EGM-VAR'!F88+'TX-HPL-VAR '!F88+'WE-VAR'!F88+BUG_VAR!F88</f>
        <v>0</v>
      </c>
      <c r="G88" s="175">
        <f>STG_VAR!G88+ONT_VAR!G88+'CE-VAR'!G88+'EAST-EGM-VAR'!G88+'BGC-EGM-VAR'!G88+'EAST-LRC-VAR'!G88+'TX-EGM-VAR'!G88+'TX-HPL-VAR '!G88+'WE-VAR'!G88+BUG_VAR!G88</f>
        <v>-5855145</v>
      </c>
      <c r="H88" s="175">
        <f t="shared" si="15"/>
        <v>0</v>
      </c>
      <c r="I88" s="175">
        <f t="shared" si="15"/>
        <v>-5741681</v>
      </c>
    </row>
    <row r="89" spans="1:9" s="143" customFormat="1" x14ac:dyDescent="0.25">
      <c r="A89" s="186"/>
      <c r="B89" s="187"/>
      <c r="C89" s="185" t="s">
        <v>179</v>
      </c>
      <c r="D89" s="188">
        <f t="shared" ref="D89:I89" si="16">SUM(D86:D88)</f>
        <v>0</v>
      </c>
      <c r="E89" s="188">
        <f t="shared" si="16"/>
        <v>246442</v>
      </c>
      <c r="F89" s="188">
        <f t="shared" si="16"/>
        <v>0</v>
      </c>
      <c r="G89" s="188">
        <f t="shared" si="16"/>
        <v>240872.63999999966</v>
      </c>
      <c r="H89" s="188">
        <f t="shared" si="16"/>
        <v>0</v>
      </c>
      <c r="I89" s="188">
        <f t="shared" si="16"/>
        <v>-5569.3600000003353</v>
      </c>
    </row>
    <row r="90" spans="1:9" s="143" customFormat="1" x14ac:dyDescent="0.25">
      <c r="A90" s="190"/>
      <c r="B90" s="187"/>
      <c r="D90" s="191"/>
      <c r="E90" s="191"/>
      <c r="F90" s="191"/>
      <c r="G90" s="191"/>
      <c r="H90" s="191"/>
      <c r="I90" s="191"/>
    </row>
    <row r="91" spans="1:9" s="143" customFormat="1" x14ac:dyDescent="0.25">
      <c r="A91" s="186"/>
      <c r="B91" s="187"/>
      <c r="C91" s="185" t="s">
        <v>182</v>
      </c>
      <c r="D91" s="188">
        <f t="shared" ref="D91:I91" si="17">+D82+D89</f>
        <v>0</v>
      </c>
      <c r="E91" s="188">
        <f t="shared" si="17"/>
        <v>4190194.2799616214</v>
      </c>
      <c r="F91" s="188">
        <f t="shared" si="17"/>
        <v>2250</v>
      </c>
      <c r="G91" s="188">
        <f t="shared" si="17"/>
        <v>103424.39550012903</v>
      </c>
      <c r="H91" s="188">
        <f t="shared" si="17"/>
        <v>2250</v>
      </c>
      <c r="I91" s="188">
        <f t="shared" si="17"/>
        <v>-4086769.8844615761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69" activePane="bottomRight" state="frozen"/>
      <selection activeCell="AG12" sqref="AG12"/>
      <selection pane="topRight" activeCell="AG12" sqref="AG12"/>
      <selection pane="bottomLeft" activeCell="AG12" sqref="AG12"/>
      <selection pane="bottomRight" activeCell="AG12" sqref="AG1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110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'CE-FLSH'!L11</f>
        <v>46315684</v>
      </c>
      <c r="E11" s="66">
        <f>'CE-FLSH'!M11</f>
        <v>102507080</v>
      </c>
      <c r="F11" s="60">
        <f>CE_GL!D11</f>
        <v>47412133</v>
      </c>
      <c r="G11" s="38">
        <f>CE_GL!E11</f>
        <v>110057376.55000001</v>
      </c>
      <c r="H11" s="60">
        <f>F11-D11</f>
        <v>1096449</v>
      </c>
      <c r="I11" s="38">
        <f>G11-E11</f>
        <v>7550296.5500000119</v>
      </c>
    </row>
    <row r="12" spans="1:22" x14ac:dyDescent="0.25">
      <c r="A12" s="9">
        <v>2</v>
      </c>
      <c r="B12" s="7"/>
      <c r="C12" s="18" t="s">
        <v>29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-4074325.6799999997</v>
      </c>
      <c r="H12" s="60">
        <f>F12-D12</f>
        <v>0</v>
      </c>
      <c r="I12" s="38">
        <f>G12-E12</f>
        <v>-4074325.6799999997</v>
      </c>
    </row>
    <row r="13" spans="1:22" x14ac:dyDescent="0.25">
      <c r="A13" s="9">
        <v>3</v>
      </c>
      <c r="B13" s="7"/>
      <c r="C13" s="18" t="s">
        <v>30</v>
      </c>
      <c r="D13" s="65">
        <f>'CE-FLSH'!L13</f>
        <v>20977276</v>
      </c>
      <c r="E13" s="66">
        <f>'CE-FLSH'!M13</f>
        <v>47574965</v>
      </c>
      <c r="F13" s="60">
        <f>CE_GL!D13</f>
        <v>19316173</v>
      </c>
      <c r="G13" s="38">
        <f>CE_GL!E13</f>
        <v>43777409</v>
      </c>
      <c r="H13" s="60">
        <f t="shared" ref="H13:I15" si="0">F13-D13</f>
        <v>-1661103</v>
      </c>
      <c r="I13" s="38">
        <f t="shared" si="0"/>
        <v>-3797556</v>
      </c>
    </row>
    <row r="14" spans="1:22" x14ac:dyDescent="0.25">
      <c r="A14" s="9">
        <v>4</v>
      </c>
      <c r="B14" s="7"/>
      <c r="C14" s="18" t="s">
        <v>31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-2</v>
      </c>
      <c r="H15" s="60">
        <f t="shared" si="0"/>
        <v>0</v>
      </c>
      <c r="I15" s="38">
        <f t="shared" si="0"/>
        <v>-2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67292960</v>
      </c>
      <c r="E16" s="39">
        <f t="shared" si="1"/>
        <v>150082045</v>
      </c>
      <c r="F16" s="61">
        <f t="shared" si="1"/>
        <v>66728306</v>
      </c>
      <c r="G16" s="39">
        <f t="shared" si="1"/>
        <v>149760457.87</v>
      </c>
      <c r="H16" s="61">
        <f t="shared" si="1"/>
        <v>-564654</v>
      </c>
      <c r="I16" s="39">
        <f t="shared" si="1"/>
        <v>-321587.12999998778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'CE-FLSH'!L19</f>
        <v>-39908254</v>
      </c>
      <c r="E19" s="66">
        <f>'CE-FLSH'!M19</f>
        <v>-87250857</v>
      </c>
      <c r="F19" s="60">
        <f>CE_GL!D19</f>
        <v>-47007494</v>
      </c>
      <c r="G19" s="38">
        <f>CE_GL!E19</f>
        <v>-102059200.11000003</v>
      </c>
      <c r="H19" s="60">
        <f>F19-D19</f>
        <v>-7099240</v>
      </c>
      <c r="I19" s="38">
        <f>G19-E19</f>
        <v>-14808343.110000029</v>
      </c>
    </row>
    <row r="20" spans="1:9" x14ac:dyDescent="0.25">
      <c r="A20" s="9">
        <v>7</v>
      </c>
      <c r="B20" s="7"/>
      <c r="C20" s="18" t="s">
        <v>29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-433851.42000000004</v>
      </c>
      <c r="H20" s="60">
        <f>F20-D20</f>
        <v>0</v>
      </c>
      <c r="I20" s="38">
        <f>G20-E20</f>
        <v>-433851.42000000004</v>
      </c>
    </row>
    <row r="21" spans="1:9" x14ac:dyDescent="0.25">
      <c r="A21" s="9">
        <v>8</v>
      </c>
      <c r="B21" s="7"/>
      <c r="C21" s="18" t="s">
        <v>30</v>
      </c>
      <c r="D21" s="65">
        <f>'CE-FLSH'!L21</f>
        <v>-28051566</v>
      </c>
      <c r="E21" s="66">
        <f>'CE-FLSH'!M21</f>
        <v>-62954183</v>
      </c>
      <c r="F21" s="60">
        <f>CE_GL!D21</f>
        <v>-20543940</v>
      </c>
      <c r="G21" s="38">
        <f>CE_GL!E21</f>
        <v>-46460998</v>
      </c>
      <c r="H21" s="60">
        <f t="shared" ref="H21:I23" si="2">F21-D21</f>
        <v>7507626</v>
      </c>
      <c r="I21" s="38">
        <f t="shared" si="2"/>
        <v>16493185</v>
      </c>
    </row>
    <row r="22" spans="1:9" x14ac:dyDescent="0.25">
      <c r="A22" s="9">
        <v>9</v>
      </c>
      <c r="B22" s="7"/>
      <c r="C22" s="18" t="s">
        <v>31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'CE-FLSH'!L23</f>
        <v>267285</v>
      </c>
      <c r="E23" s="66">
        <f>'CE-FLSH'!M23</f>
        <v>584457</v>
      </c>
      <c r="F23" s="60">
        <f>CE_GL!D23</f>
        <v>289057</v>
      </c>
      <c r="G23" s="38">
        <f>CE_GL!E23</f>
        <v>381632.30980000005</v>
      </c>
      <c r="H23" s="60">
        <f t="shared" si="2"/>
        <v>21772</v>
      </c>
      <c r="I23" s="38">
        <f t="shared" si="2"/>
        <v>-202824.69019999995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-67692535</v>
      </c>
      <c r="E24" s="39">
        <f t="shared" si="3"/>
        <v>-149620583</v>
      </c>
      <c r="F24" s="61">
        <f t="shared" si="3"/>
        <v>-67262377</v>
      </c>
      <c r="G24" s="39">
        <f t="shared" si="3"/>
        <v>-148572417.22020003</v>
      </c>
      <c r="H24" s="61">
        <f t="shared" si="3"/>
        <v>430158</v>
      </c>
      <c r="I24" s="39">
        <f t="shared" si="3"/>
        <v>1048165.7797999709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'CE-FLSH'!L27</f>
        <v>0</v>
      </c>
      <c r="E27" s="66">
        <f>'CE-FLSH'!M27</f>
        <v>0</v>
      </c>
      <c r="F27" s="60">
        <f>CE_GL!D27</f>
        <v>425962</v>
      </c>
      <c r="G27" s="38">
        <f>CE_GL!E27</f>
        <v>982897.53</v>
      </c>
      <c r="H27" s="60">
        <f>F27-D27</f>
        <v>425962</v>
      </c>
      <c r="I27" s="38">
        <f>G27-E27</f>
        <v>982897.53</v>
      </c>
    </row>
    <row r="28" spans="1:9" x14ac:dyDescent="0.25">
      <c r="A28" s="9">
        <v>12</v>
      </c>
      <c r="B28" s="7"/>
      <c r="C28" s="18" t="s">
        <v>39</v>
      </c>
      <c r="D28" s="65">
        <f>'CE-FLSH'!L28</f>
        <v>0</v>
      </c>
      <c r="E28" s="66">
        <f>'CE-FLSH'!M28</f>
        <v>0</v>
      </c>
      <c r="F28" s="60">
        <f>CE_GL!D28</f>
        <v>-2380</v>
      </c>
      <c r="G28" s="38">
        <f>CE_GL!E28</f>
        <v>-5144.6099999999997</v>
      </c>
      <c r="H28" s="60">
        <f>F28-D28</f>
        <v>-2380</v>
      </c>
      <c r="I28" s="38">
        <f>G28-E28</f>
        <v>-5144.6099999999997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423582</v>
      </c>
      <c r="G29" s="70">
        <f t="shared" si="4"/>
        <v>977752.92</v>
      </c>
      <c r="H29" s="69">
        <f t="shared" si="4"/>
        <v>423582</v>
      </c>
      <c r="I29" s="70">
        <f t="shared" si="4"/>
        <v>977752.92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'CE-FLSH'!L32</f>
        <v>3584373</v>
      </c>
      <c r="E32" s="66">
        <f>'CE-FLSH'!M32</f>
        <v>8423805</v>
      </c>
      <c r="F32" s="60">
        <f>CE_GL!D32</f>
        <v>-24378</v>
      </c>
      <c r="G32" s="38">
        <f>CE_GL!E32</f>
        <v>-52748.675199999998</v>
      </c>
      <c r="H32" s="60">
        <f>F32-D32</f>
        <v>-3608751</v>
      </c>
      <c r="I32" s="38">
        <f>G32-E32</f>
        <v>-8476553.6752000004</v>
      </c>
    </row>
    <row r="33" spans="1:9" x14ac:dyDescent="0.25">
      <c r="A33" s="9">
        <v>14</v>
      </c>
      <c r="B33" s="7"/>
      <c r="C33" s="18" t="s">
        <v>43</v>
      </c>
      <c r="D33" s="65">
        <f>'CE-FLSH'!L33</f>
        <v>-3560162</v>
      </c>
      <c r="E33" s="66">
        <f>'CE-FLSH'!M33</f>
        <v>-8319759</v>
      </c>
      <c r="F33" s="60">
        <f>CE_GL!D33</f>
        <v>-18636</v>
      </c>
      <c r="G33" s="38">
        <f>CE_GL!E33</f>
        <v>-41604</v>
      </c>
      <c r="H33" s="60">
        <f t="shared" ref="H33:I35" si="5">F33-D33</f>
        <v>3541526</v>
      </c>
      <c r="I33" s="38">
        <f t="shared" si="5"/>
        <v>8278155</v>
      </c>
    </row>
    <row r="34" spans="1:9" x14ac:dyDescent="0.25">
      <c r="A34" s="9">
        <v>15</v>
      </c>
      <c r="B34" s="7"/>
      <c r="C34" s="18" t="s">
        <v>44</v>
      </c>
      <c r="D34" s="65">
        <f>'CE-FLSH'!L34</f>
        <v>0</v>
      </c>
      <c r="E34" s="66">
        <f>'CE-FLSH'!M34</f>
        <v>0</v>
      </c>
      <c r="F34" s="60">
        <f>CE_GL!D34</f>
        <v>6125</v>
      </c>
      <c r="G34" s="38">
        <f>CE_GL!E34</f>
        <v>13434.849999999999</v>
      </c>
      <c r="H34" s="60">
        <f t="shared" si="5"/>
        <v>6125</v>
      </c>
      <c r="I34" s="38">
        <f t="shared" si="5"/>
        <v>13434.849999999999</v>
      </c>
    </row>
    <row r="35" spans="1:9" x14ac:dyDescent="0.25">
      <c r="A35" s="9">
        <v>16</v>
      </c>
      <c r="B35" s="7"/>
      <c r="C35" s="18" t="s">
        <v>45</v>
      </c>
      <c r="D35" s="65">
        <f>'CE-FLSH'!L35</f>
        <v>0</v>
      </c>
      <c r="E35" s="66">
        <f>'CE-FLSH'!M35</f>
        <v>0</v>
      </c>
      <c r="F35" s="60">
        <f>CE_GL!D35</f>
        <v>0</v>
      </c>
      <c r="G35" s="38">
        <f>CE_GL!E35</f>
        <v>-0.02</v>
      </c>
      <c r="H35" s="60">
        <f t="shared" si="5"/>
        <v>0</v>
      </c>
      <c r="I35" s="38">
        <f t="shared" si="5"/>
        <v>-0.02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24211</v>
      </c>
      <c r="E36" s="39">
        <f t="shared" si="6"/>
        <v>104046</v>
      </c>
      <c r="F36" s="61">
        <f t="shared" si="6"/>
        <v>-36889</v>
      </c>
      <c r="G36" s="39">
        <f t="shared" si="6"/>
        <v>-80917.845199999996</v>
      </c>
      <c r="H36" s="61">
        <f t="shared" si="6"/>
        <v>-61100</v>
      </c>
      <c r="I36" s="39">
        <f t="shared" si="6"/>
        <v>-184963.84520000039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'CE-FLSH'!L39</f>
        <v>533539</v>
      </c>
      <c r="E39" s="66">
        <f>'CE-FLSH'!M39</f>
        <v>866331</v>
      </c>
      <c r="F39" s="60">
        <f>CE_GL!D39</f>
        <v>475679</v>
      </c>
      <c r="G39" s="38">
        <f>CE_GL!E39</f>
        <v>1028332.6399999999</v>
      </c>
      <c r="H39" s="60">
        <f t="shared" ref="H39:I41" si="7">F39-D39</f>
        <v>-57860</v>
      </c>
      <c r="I39" s="38">
        <f t="shared" si="7"/>
        <v>162001.6399999999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'CE-FLSH'!L40</f>
        <v>-177299</v>
      </c>
      <c r="E40" s="66">
        <f>'CE-FLSH'!M40</f>
        <v>-126892</v>
      </c>
      <c r="F40" s="60">
        <f>CE_GL!D40</f>
        <v>-15004</v>
      </c>
      <c r="G40" s="38">
        <f>CE_GL!E40</f>
        <v>-33999.19</v>
      </c>
      <c r="H40" s="60">
        <f t="shared" si="7"/>
        <v>162295</v>
      </c>
      <c r="I40" s="38">
        <f t="shared" si="7"/>
        <v>92892.81</v>
      </c>
    </row>
    <row r="41" spans="1:9" x14ac:dyDescent="0.25">
      <c r="A41" s="9">
        <v>19</v>
      </c>
      <c r="B41" s="7"/>
      <c r="C41" s="18" t="s">
        <v>50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-177299</v>
      </c>
      <c r="E42" s="70">
        <f t="shared" si="8"/>
        <v>-126892</v>
      </c>
      <c r="F42" s="69">
        <f t="shared" si="8"/>
        <v>-15004</v>
      </c>
      <c r="G42" s="70">
        <f t="shared" si="8"/>
        <v>-33999.19</v>
      </c>
      <c r="H42" s="69">
        <f t="shared" si="8"/>
        <v>162295</v>
      </c>
      <c r="I42" s="70">
        <f t="shared" si="8"/>
        <v>92892.81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356240</v>
      </c>
      <c r="E43" s="39">
        <f t="shared" si="9"/>
        <v>739439</v>
      </c>
      <c r="F43" s="61">
        <f t="shared" si="9"/>
        <v>460675</v>
      </c>
      <c r="G43" s="39">
        <f t="shared" si="9"/>
        <v>994333.45</v>
      </c>
      <c r="H43" s="61">
        <f t="shared" si="9"/>
        <v>104435</v>
      </c>
      <c r="I43" s="39">
        <f t="shared" si="9"/>
        <v>254894.4499999999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'CE-FLSH'!L49</f>
        <v>19124</v>
      </c>
      <c r="E49" s="66">
        <f>'CE-FLSH'!M49</f>
        <v>41342.492687999998</v>
      </c>
      <c r="F49" s="60">
        <f>CE_GL!D49</f>
        <v>-313297</v>
      </c>
      <c r="G49" s="38">
        <f>CE_GL!E49</f>
        <v>-677285.4508000015</v>
      </c>
      <c r="H49" s="60">
        <f>F49-D49</f>
        <v>-332421</v>
      </c>
      <c r="I49" s="38">
        <f>G49-E49</f>
        <v>-718627.94348800147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'CE-FLSH'!L51</f>
        <v>-267285</v>
      </c>
      <c r="E51" s="66">
        <f>'CE-FLSH'!M51</f>
        <v>-584457</v>
      </c>
      <c r="F51" s="60">
        <f>CE_GL!D51</f>
        <v>-289057</v>
      </c>
      <c r="G51" s="38">
        <f>CE_GL!E51</f>
        <v>-624876.96980000008</v>
      </c>
      <c r="H51" s="60">
        <f>F51-D51</f>
        <v>-21772</v>
      </c>
      <c r="I51" s="38">
        <f>G51-E51</f>
        <v>-40419.969800000079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'CE-FLSH'!L54</f>
        <v>0</v>
      </c>
      <c r="E54" s="66">
        <f>'CE-FLSH'!M54</f>
        <v>-62043</v>
      </c>
      <c r="F54" s="60">
        <f>CE_GL!D54</f>
        <v>-27193637</v>
      </c>
      <c r="G54" s="38">
        <f>CE_GL!E54</f>
        <v>-53959.340000000098</v>
      </c>
      <c r="H54" s="60">
        <f>F54-D54</f>
        <v>-27193637</v>
      </c>
      <c r="I54" s="38">
        <f>G54-E54</f>
        <v>8083.6599999999016</v>
      </c>
    </row>
    <row r="55" spans="1:9" x14ac:dyDescent="0.25">
      <c r="A55" s="9">
        <v>25</v>
      </c>
      <c r="B55" s="7"/>
      <c r="C55" s="18" t="s">
        <v>59</v>
      </c>
      <c r="D55" s="65">
        <f>'CE-FLSH'!L55</f>
        <v>0</v>
      </c>
      <c r="E55" s="66">
        <f>'CE-FLSH'!M55</f>
        <v>-866359.73</v>
      </c>
      <c r="F55" s="60">
        <f>CE_GL!D55</f>
        <v>0</v>
      </c>
      <c r="G55" s="38">
        <f>CE_GL!E55</f>
        <v>-2210691.6</v>
      </c>
      <c r="H55" s="60">
        <f>F55-D55</f>
        <v>0</v>
      </c>
      <c r="I55" s="38">
        <f>G55-E55</f>
        <v>-1344331.87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-928402.73</v>
      </c>
      <c r="F56" s="61">
        <f t="shared" si="10"/>
        <v>-27193637</v>
      </c>
      <c r="G56" s="39">
        <f t="shared" si="10"/>
        <v>-2264650.9400000004</v>
      </c>
      <c r="H56" s="61">
        <f t="shared" si="10"/>
        <v>-27193637</v>
      </c>
      <c r="I56" s="39">
        <f t="shared" si="10"/>
        <v>-1336248.2100000002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63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66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'CE-FLSH'!L70</f>
        <v>0</v>
      </c>
      <c r="E70" s="66">
        <f>'CE-FLSH'!M70</f>
        <v>1416533.1176470588</v>
      </c>
      <c r="F70" s="60">
        <f>CE_GL!D70</f>
        <v>0</v>
      </c>
      <c r="G70" s="38">
        <f>CE_GL!E70</f>
        <v>1955927.12</v>
      </c>
      <c r="H70" s="60">
        <f>F70-D70</f>
        <v>0</v>
      </c>
      <c r="I70" s="38">
        <f>G70-E70</f>
        <v>539394.00235294132</v>
      </c>
    </row>
    <row r="71" spans="1:9" x14ac:dyDescent="0.25">
      <c r="A71" s="9">
        <v>31</v>
      </c>
      <c r="B71" s="3"/>
      <c r="C71" s="10" t="s">
        <v>71</v>
      </c>
      <c r="D71" s="65">
        <f>'CE-FLSH'!L71</f>
        <v>0</v>
      </c>
      <c r="E71" s="66">
        <f>'CE-FLSH'!M71</f>
        <v>-827151</v>
      </c>
      <c r="F71" s="60">
        <f>CE_GL!D71</f>
        <v>0</v>
      </c>
      <c r="G71" s="38">
        <f>CE_GL!E71</f>
        <v>-1107837</v>
      </c>
      <c r="H71" s="60">
        <f>F71-D71</f>
        <v>0</v>
      </c>
      <c r="I71" s="38">
        <f>G71-E71</f>
        <v>-280686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589382.1176470588</v>
      </c>
      <c r="F72" s="69">
        <f t="shared" si="13"/>
        <v>0</v>
      </c>
      <c r="G72" s="70">
        <f t="shared" si="13"/>
        <v>848090.12000000011</v>
      </c>
      <c r="H72" s="69">
        <f t="shared" si="13"/>
        <v>0</v>
      </c>
      <c r="I72" s="70">
        <f t="shared" si="13"/>
        <v>258708.00235294132</v>
      </c>
    </row>
    <row r="73" spans="1:9" x14ac:dyDescent="0.25">
      <c r="A73" s="9">
        <v>32</v>
      </c>
      <c r="B73" s="3"/>
      <c r="C73" s="10" t="s">
        <v>73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'CE-FLSH'!L74</f>
        <v>0</v>
      </c>
      <c r="E74" s="66">
        <f>'CE-FLSH'!M74</f>
        <v>378774</v>
      </c>
      <c r="F74" s="60">
        <f>CE_GL!D74</f>
        <v>0</v>
      </c>
      <c r="G74" s="38">
        <f>CE_GL!E74</f>
        <v>590210</v>
      </c>
      <c r="H74" s="60">
        <f t="shared" ref="H74:I79" si="14">F74-D74</f>
        <v>0</v>
      </c>
      <c r="I74" s="38">
        <f t="shared" si="14"/>
        <v>211436</v>
      </c>
    </row>
    <row r="75" spans="1:9" x14ac:dyDescent="0.25">
      <c r="A75" s="9">
        <v>34</v>
      </c>
      <c r="B75" s="3"/>
      <c r="C75" s="10" t="s">
        <v>75</v>
      </c>
      <c r="D75" s="65">
        <f>'CE-FLSH'!L75</f>
        <v>0</v>
      </c>
      <c r="E75" s="66">
        <f>'CE-FLSH'!M75</f>
        <v>46887</v>
      </c>
      <c r="F75" s="60">
        <f>CE_GL!D75</f>
        <v>0</v>
      </c>
      <c r="G75" s="38">
        <f>CE_GL!E75</f>
        <v>46100</v>
      </c>
      <c r="H75" s="60">
        <f t="shared" si="14"/>
        <v>0</v>
      </c>
      <c r="I75" s="38">
        <f t="shared" si="14"/>
        <v>-787</v>
      </c>
    </row>
    <row r="76" spans="1:9" x14ac:dyDescent="0.25">
      <c r="A76" s="9">
        <v>35</v>
      </c>
      <c r="B76" s="3"/>
      <c r="C76" s="10" t="s">
        <v>76</v>
      </c>
      <c r="D76" s="65">
        <f>'CE-FLSH'!L76</f>
        <v>0</v>
      </c>
      <c r="E76" s="66">
        <f>'CE-FLSH'!M76</f>
        <v>-17958</v>
      </c>
      <c r="F76" s="60">
        <f>CE_GL!D76</f>
        <v>0</v>
      </c>
      <c r="G76" s="38">
        <f>CE_GL!E76</f>
        <v>-19269.13</v>
      </c>
      <c r="H76" s="60">
        <f t="shared" si="14"/>
        <v>0</v>
      </c>
      <c r="I76" s="38">
        <f t="shared" si="14"/>
        <v>-1311.130000000001</v>
      </c>
    </row>
    <row r="77" spans="1:9" x14ac:dyDescent="0.25">
      <c r="A77" s="9">
        <v>36</v>
      </c>
      <c r="B77" s="3"/>
      <c r="C77" s="10" t="s">
        <v>77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78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1307284</v>
      </c>
      <c r="H79" s="60">
        <f t="shared" si="14"/>
        <v>0</v>
      </c>
      <c r="I79" s="38">
        <f t="shared" si="14"/>
        <v>1307284</v>
      </c>
    </row>
    <row r="80" spans="1:9" x14ac:dyDescent="0.25">
      <c r="A80" s="9">
        <v>39</v>
      </c>
      <c r="B80" s="3"/>
      <c r="C80" s="10" t="s">
        <v>80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'CE-FLSH'!L81</f>
        <v>0</v>
      </c>
      <c r="E81" s="66">
        <f>'CE-FLSH'!M81</f>
        <v>-322205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322205</v>
      </c>
    </row>
    <row r="82" spans="1:63" s="44" customFormat="1" ht="20.25" customHeight="1" thickBot="1" x14ac:dyDescent="0.35">
      <c r="A82" s="40"/>
      <c r="B82" s="41"/>
      <c r="C82" s="42" t="s">
        <v>82</v>
      </c>
      <c r="D82" s="71">
        <f>D16+D24+D29+D36+D43+D45+D47+D49</f>
        <v>0</v>
      </c>
      <c r="E82" s="72">
        <f>SUM(E72:E81)+E16+E24+E29+E36+E43+E45+E47+E49+E51+E56+E61+E66</f>
        <v>508309.8803350518</v>
      </c>
      <c r="F82" s="71">
        <f>F16+F24+F29+F36+F43+F45+F47+F49</f>
        <v>0</v>
      </c>
      <c r="G82" s="72">
        <f>SUM(G72:G81)+G16+G24+G29+G36+G43+G45+G47+G49+G51+G56+G61+G66</f>
        <v>2284810.80399998</v>
      </c>
      <c r="H82" s="71">
        <f>H16+H24+H29+H36+H43+H45+H47+H49</f>
        <v>0</v>
      </c>
      <c r="I82" s="72">
        <f>SUM(I72:I81)+I16+I24+I29+I36+I43+I45+I47+I49+I51+I56+I61+I66</f>
        <v>1776500.9236649221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V15" sqref="V15"/>
      <selection pane="topRight" activeCell="V15" sqref="V15"/>
      <selection pane="bottomLeft" activeCell="V15" sqref="V15"/>
      <selection pane="bottomRight" activeCell="V15" sqref="V15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'EAST-EGM-FLSH'!L11</f>
        <v>78882482</v>
      </c>
      <c r="E11" s="66">
        <f>'EAST-EGM-FLSH'!M11</f>
        <v>178759572.94999999</v>
      </c>
      <c r="F11" s="60">
        <f>'EAST-EGM-GL'!D11</f>
        <v>78739942</v>
      </c>
      <c r="G11" s="38">
        <f>'EAST-EGM-GL'!E11</f>
        <v>184960054.87</v>
      </c>
      <c r="H11" s="60">
        <f>F11-D11</f>
        <v>-142540</v>
      </c>
      <c r="I11" s="38">
        <f>G11-E11</f>
        <v>6200481.9200000167</v>
      </c>
    </row>
    <row r="12" spans="1:22" x14ac:dyDescent="0.25">
      <c r="A12" s="9">
        <v>2</v>
      </c>
      <c r="B12" s="7"/>
      <c r="C12" s="18" t="s">
        <v>29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-1505387.0199999998</v>
      </c>
      <c r="H12" s="60">
        <f>F12-D12</f>
        <v>0</v>
      </c>
      <c r="I12" s="38">
        <f>G12-E12</f>
        <v>-1505387.0199999998</v>
      </c>
    </row>
    <row r="13" spans="1:22" x14ac:dyDescent="0.25">
      <c r="A13" s="9">
        <v>3</v>
      </c>
      <c r="B13" s="7"/>
      <c r="C13" s="18" t="s">
        <v>30</v>
      </c>
      <c r="D13" s="65">
        <f>'EAST-EGM-FLSH'!L13</f>
        <v>39490195</v>
      </c>
      <c r="E13" s="66">
        <f>'EAST-EGM-FLSH'!M13</f>
        <v>90588362</v>
      </c>
      <c r="F13" s="60">
        <f>'EAST-EGM-GL'!D13</f>
        <v>37219120</v>
      </c>
      <c r="G13" s="38">
        <f>'EAST-EGM-GL'!E13</f>
        <v>85375528</v>
      </c>
      <c r="H13" s="60">
        <f t="shared" ref="H13:I15" si="0">F13-D13</f>
        <v>-2271075</v>
      </c>
      <c r="I13" s="38">
        <f t="shared" si="0"/>
        <v>-5212834</v>
      </c>
    </row>
    <row r="14" spans="1:22" x14ac:dyDescent="0.25">
      <c r="A14" s="9">
        <v>4</v>
      </c>
      <c r="B14" s="7"/>
      <c r="C14" s="18" t="s">
        <v>31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15000</v>
      </c>
      <c r="H15" s="60">
        <f t="shared" si="0"/>
        <v>0</v>
      </c>
      <c r="I15" s="38">
        <f t="shared" si="0"/>
        <v>15000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118372677</v>
      </c>
      <c r="E16" s="39">
        <f t="shared" si="1"/>
        <v>269347934.94999999</v>
      </c>
      <c r="F16" s="61">
        <f t="shared" si="1"/>
        <v>115959062</v>
      </c>
      <c r="G16" s="39">
        <f t="shared" si="1"/>
        <v>268845195.85000002</v>
      </c>
      <c r="H16" s="61">
        <f t="shared" si="1"/>
        <v>-2413615</v>
      </c>
      <c r="I16" s="39">
        <f t="shared" si="1"/>
        <v>-502739.09999998286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'EAST-EGM-FLSH'!L19</f>
        <v>-76531836</v>
      </c>
      <c r="E19" s="66">
        <f>'EAST-EGM-FLSH'!M19</f>
        <v>-171439613</v>
      </c>
      <c r="F19" s="60">
        <f>'EAST-EGM-GL'!D19</f>
        <v>-83005038</v>
      </c>
      <c r="G19" s="38">
        <f>'EAST-EGM-GL'!E19</f>
        <v>-188753775.04999998</v>
      </c>
      <c r="H19" s="60">
        <f>F19-D19</f>
        <v>-6473202</v>
      </c>
      <c r="I19" s="38">
        <f>G19-E19</f>
        <v>-17314162.049999982</v>
      </c>
    </row>
    <row r="20" spans="1:9" x14ac:dyDescent="0.25">
      <c r="A20" s="9">
        <v>7</v>
      </c>
      <c r="B20" s="7"/>
      <c r="C20" s="18" t="s">
        <v>29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-385025.32</v>
      </c>
      <c r="H20" s="60">
        <f>F20-D20</f>
        <v>0</v>
      </c>
      <c r="I20" s="38">
        <f>G20-E20</f>
        <v>-385025.32</v>
      </c>
    </row>
    <row r="21" spans="1:9" x14ac:dyDescent="0.25">
      <c r="A21" s="9">
        <v>8</v>
      </c>
      <c r="B21" s="7"/>
      <c r="C21" s="18" t="s">
        <v>30</v>
      </c>
      <c r="D21" s="65">
        <f>'EAST-EGM-FLSH'!L21</f>
        <v>-43028500</v>
      </c>
      <c r="E21" s="66">
        <f>'EAST-EGM-FLSH'!M21</f>
        <v>-99490756</v>
      </c>
      <c r="F21" s="60">
        <f>'EAST-EGM-GL'!D21</f>
        <v>-32629494</v>
      </c>
      <c r="G21" s="38">
        <f>'EAST-EGM-GL'!E21</f>
        <v>-75619749</v>
      </c>
      <c r="H21" s="60">
        <f t="shared" ref="H21:I23" si="2">F21-D21</f>
        <v>10399006</v>
      </c>
      <c r="I21" s="38">
        <f t="shared" si="2"/>
        <v>23871007</v>
      </c>
    </row>
    <row r="22" spans="1:9" x14ac:dyDescent="0.25">
      <c r="A22" s="9">
        <v>9</v>
      </c>
      <c r="B22" s="7"/>
      <c r="C22" s="18" t="s">
        <v>31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'EAST-EGM-FLSH'!L23</f>
        <v>133867</v>
      </c>
      <c r="E23" s="66">
        <f>'EAST-EGM-FLSH'!M23</f>
        <v>303086</v>
      </c>
      <c r="F23" s="60">
        <f>'EAST-EGM-GL'!D23</f>
        <v>107508</v>
      </c>
      <c r="G23" s="38">
        <f>'EAST-EGM-GL'!E23</f>
        <v>239690.27099999998</v>
      </c>
      <c r="H23" s="60">
        <f t="shared" si="2"/>
        <v>-26359</v>
      </c>
      <c r="I23" s="38">
        <f t="shared" si="2"/>
        <v>-63395.729000000021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-119426469</v>
      </c>
      <c r="E24" s="39">
        <f t="shared" si="3"/>
        <v>-270627283</v>
      </c>
      <c r="F24" s="61">
        <f t="shared" si="3"/>
        <v>-115527024</v>
      </c>
      <c r="G24" s="39">
        <f t="shared" si="3"/>
        <v>-264518859.09899998</v>
      </c>
      <c r="H24" s="61">
        <f t="shared" si="3"/>
        <v>3899445</v>
      </c>
      <c r="I24" s="39">
        <f t="shared" si="3"/>
        <v>6108423.9010000173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'EAST-EGM-FLSH'!L27</f>
        <v>0</v>
      </c>
      <c r="E27" s="66">
        <f>'EAST-EGM-FLSH'!M27</f>
        <v>0</v>
      </c>
      <c r="F27" s="60">
        <f>'EAST-EGM-GL'!D27</f>
        <v>67000</v>
      </c>
      <c r="G27" s="38">
        <f>'EAST-EGM-GL'!E27</f>
        <v>155075.79</v>
      </c>
      <c r="H27" s="60">
        <f>F27-D27</f>
        <v>67000</v>
      </c>
      <c r="I27" s="38">
        <f>G27-E27</f>
        <v>155075.79</v>
      </c>
    </row>
    <row r="28" spans="1:9" x14ac:dyDescent="0.25">
      <c r="A28" s="9">
        <v>12</v>
      </c>
      <c r="B28" s="7"/>
      <c r="C28" s="18" t="s">
        <v>39</v>
      </c>
      <c r="D28" s="65">
        <f>'EAST-EGM-FLSH'!L28</f>
        <v>0</v>
      </c>
      <c r="E28" s="66">
        <f>'EAST-EGM-FLSH'!M28</f>
        <v>0</v>
      </c>
      <c r="F28" s="60">
        <f>'EAST-EGM-GL'!D28</f>
        <v>-1181054</v>
      </c>
      <c r="G28" s="38">
        <f>'EAST-EGM-GL'!E28</f>
        <v>-2727008.2800000003</v>
      </c>
      <c r="H28" s="60">
        <f>F28-D28</f>
        <v>-1181054</v>
      </c>
      <c r="I28" s="38">
        <f>G28-E28</f>
        <v>-2727008.2800000003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-1114054</v>
      </c>
      <c r="G29" s="70">
        <f t="shared" si="4"/>
        <v>-2571932.4900000002</v>
      </c>
      <c r="H29" s="69">
        <f t="shared" si="4"/>
        <v>-1114054</v>
      </c>
      <c r="I29" s="70">
        <f t="shared" si="4"/>
        <v>-2571932.4900000002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'EAST-EGM-FLSH'!L32</f>
        <v>525505</v>
      </c>
      <c r="E32" s="66">
        <f>'EAST-EGM-FLSH'!M32</f>
        <v>1238528</v>
      </c>
      <c r="F32" s="60">
        <f>'EAST-EGM-GL'!D32</f>
        <v>-198836</v>
      </c>
      <c r="G32" s="38">
        <f>'EAST-EGM-GL'!E32</f>
        <v>-1149705.51</v>
      </c>
      <c r="H32" s="60">
        <f>F32-D32</f>
        <v>-724341</v>
      </c>
      <c r="I32" s="38">
        <f>G32-E32</f>
        <v>-2388233.5099999998</v>
      </c>
    </row>
    <row r="33" spans="1:9" x14ac:dyDescent="0.25">
      <c r="A33" s="9">
        <v>14</v>
      </c>
      <c r="B33" s="7"/>
      <c r="C33" s="18" t="s">
        <v>43</v>
      </c>
      <c r="D33" s="65">
        <f>'EAST-EGM-FLSH'!L33</f>
        <v>-572495</v>
      </c>
      <c r="E33" s="66">
        <f>'EAST-EGM-FLSH'!M33</f>
        <v>-1346346</v>
      </c>
      <c r="F33" s="60">
        <f>'EAST-EGM-GL'!D33</f>
        <v>-30095</v>
      </c>
      <c r="G33" s="38">
        <f>'EAST-EGM-GL'!E33</f>
        <v>-66744.39</v>
      </c>
      <c r="H33" s="60">
        <f t="shared" ref="H33:I35" si="5">F33-D33</f>
        <v>542400</v>
      </c>
      <c r="I33" s="38">
        <f t="shared" si="5"/>
        <v>1279601.6100000001</v>
      </c>
    </row>
    <row r="34" spans="1:9" x14ac:dyDescent="0.25">
      <c r="A34" s="9">
        <v>15</v>
      </c>
      <c r="B34" s="7"/>
      <c r="C34" s="18" t="s">
        <v>44</v>
      </c>
      <c r="D34" s="65">
        <f>'EAST-EGM-FLSH'!L34</f>
        <v>352983</v>
      </c>
      <c r="E34" s="66">
        <f>'EAST-EGM-FLSH'!M34</f>
        <v>794701</v>
      </c>
      <c r="F34" s="60">
        <f>'EAST-EGM-GL'!D34</f>
        <v>328919</v>
      </c>
      <c r="G34" s="38">
        <f>'EAST-EGM-GL'!E34</f>
        <v>734440.80999999994</v>
      </c>
      <c r="H34" s="60">
        <f t="shared" si="5"/>
        <v>-24064</v>
      </c>
      <c r="I34" s="38">
        <f t="shared" si="5"/>
        <v>-60260.190000000061</v>
      </c>
    </row>
    <row r="35" spans="1:9" x14ac:dyDescent="0.25">
      <c r="A35" s="9">
        <v>16</v>
      </c>
      <c r="B35" s="7"/>
      <c r="C35" s="18" t="s">
        <v>45</v>
      </c>
      <c r="D35" s="65">
        <f>'EAST-EGM-FLSH'!L35</f>
        <v>-113080</v>
      </c>
      <c r="E35" s="66">
        <f>'EAST-EGM-FLSH'!M35</f>
        <v>-254388</v>
      </c>
      <c r="F35" s="60">
        <f>'EAST-EGM-GL'!D35</f>
        <v>600000</v>
      </c>
      <c r="G35" s="38">
        <f>'EAST-EGM-GL'!E35</f>
        <v>706499.99</v>
      </c>
      <c r="H35" s="60">
        <f t="shared" si="5"/>
        <v>713080</v>
      </c>
      <c r="I35" s="38">
        <f t="shared" si="5"/>
        <v>960887.99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192913</v>
      </c>
      <c r="E36" s="39">
        <f t="shared" si="6"/>
        <v>432495</v>
      </c>
      <c r="F36" s="61">
        <f t="shared" si="6"/>
        <v>699988</v>
      </c>
      <c r="G36" s="39">
        <f t="shared" si="6"/>
        <v>224490.90000000002</v>
      </c>
      <c r="H36" s="61">
        <f t="shared" si="6"/>
        <v>507075</v>
      </c>
      <c r="I36" s="39">
        <f t="shared" si="6"/>
        <v>-208004.09999999986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'EAST-EGM-FLSH'!L39</f>
        <v>0</v>
      </c>
      <c r="E39" s="66">
        <f>'EAST-EGM-FLSH'!M39</f>
        <v>0</v>
      </c>
      <c r="F39" s="60">
        <f>'EAST-EGM-GL'!D39</f>
        <v>0</v>
      </c>
      <c r="G39" s="38">
        <f>'EAST-EGM-GL'!E39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'EAST-EGM-FLSH'!L40</f>
        <v>0</v>
      </c>
      <c r="E40" s="66">
        <f>'EAST-EGM-FLSH'!M40</f>
        <v>0</v>
      </c>
      <c r="F40" s="60">
        <f>'EAST-EGM-GL'!D40</f>
        <v>-300000</v>
      </c>
      <c r="G40" s="38">
        <f>'EAST-EGM-GL'!E40</f>
        <v>-784200</v>
      </c>
      <c r="H40" s="60">
        <f t="shared" si="7"/>
        <v>-300000</v>
      </c>
      <c r="I40" s="38">
        <f t="shared" si="7"/>
        <v>-784200</v>
      </c>
    </row>
    <row r="41" spans="1:9" x14ac:dyDescent="0.25">
      <c r="A41" s="9">
        <v>19</v>
      </c>
      <c r="B41" s="7"/>
      <c r="C41" s="18" t="s">
        <v>50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-300000</v>
      </c>
      <c r="G42" s="70">
        <f t="shared" si="8"/>
        <v>-784200</v>
      </c>
      <c r="H42" s="69">
        <f t="shared" si="8"/>
        <v>-300000</v>
      </c>
      <c r="I42" s="70">
        <f t="shared" si="8"/>
        <v>-784200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-300000</v>
      </c>
      <c r="G43" s="39">
        <f t="shared" si="9"/>
        <v>-784200</v>
      </c>
      <c r="H43" s="61">
        <f t="shared" si="9"/>
        <v>-300000</v>
      </c>
      <c r="I43" s="39">
        <f t="shared" si="9"/>
        <v>-784200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'EAST-EGM-FLSH'!L49</f>
        <v>920879</v>
      </c>
      <c r="E49" s="66">
        <f>'EAST-EGM-FLSH'!M49</f>
        <v>2032598.1970115157</v>
      </c>
      <c r="F49" s="60">
        <f>'EAST-EGM-GL'!D49</f>
        <v>282028</v>
      </c>
      <c r="G49" s="38">
        <f>'EAST-EGM-GL'!E49</f>
        <v>628640.41299999983</v>
      </c>
      <c r="H49" s="60">
        <f>F49-D49</f>
        <v>-638851</v>
      </c>
      <c r="I49" s="38">
        <f>G49-E49</f>
        <v>-1403957.7840115158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'EAST-EGM-FLSH'!L51</f>
        <v>-133867</v>
      </c>
      <c r="E51" s="66">
        <f>'EAST-EGM-FLSH'!M51</f>
        <v>-303086</v>
      </c>
      <c r="F51" s="60">
        <f>'EAST-EGM-GL'!D51</f>
        <v>-134975</v>
      </c>
      <c r="G51" s="38">
        <f>'EAST-EGM-GL'!E51</f>
        <v>-300859.28000000003</v>
      </c>
      <c r="H51" s="60">
        <f>F51-D51</f>
        <v>-1108</v>
      </c>
      <c r="I51" s="38">
        <f>G51-E51</f>
        <v>2226.7199999999721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'EAST-EGM-FLSH'!L54</f>
        <v>0</v>
      </c>
      <c r="E54" s="66">
        <f>'EAST-EGM-FLSH'!M54</f>
        <v>-451779</v>
      </c>
      <c r="F54" s="60">
        <f>'EAST-EGM-GL'!D54</f>
        <v>-17058423</v>
      </c>
      <c r="G54" s="38">
        <f>'EAST-EGM-GL'!E54</f>
        <v>-627577.71</v>
      </c>
      <c r="H54" s="60">
        <f>F54-D54</f>
        <v>-17058423</v>
      </c>
      <c r="I54" s="38">
        <f>G54-E54</f>
        <v>-175798.70999999996</v>
      </c>
    </row>
    <row r="55" spans="1:9" x14ac:dyDescent="0.25">
      <c r="A55" s="9">
        <v>25</v>
      </c>
      <c r="B55" s="7"/>
      <c r="C55" s="18" t="s">
        <v>59</v>
      </c>
      <c r="D55" s="65">
        <f>'EAST-EGM-FLSH'!L55</f>
        <v>0</v>
      </c>
      <c r="E55" s="66">
        <f>'EAST-EGM-FLSH'!M55</f>
        <v>-434058</v>
      </c>
      <c r="F55" s="60">
        <f>'EAST-EGM-GL'!D55</f>
        <v>0</v>
      </c>
      <c r="G55" s="38">
        <f>'EAST-EGM-GL'!E55</f>
        <v>-448017.35</v>
      </c>
      <c r="H55" s="60">
        <f>F55-D55</f>
        <v>0</v>
      </c>
      <c r="I55" s="38">
        <f>G55-E55</f>
        <v>-13959.349999999977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-885837</v>
      </c>
      <c r="F56" s="61">
        <f t="shared" si="10"/>
        <v>-17058423</v>
      </c>
      <c r="G56" s="39">
        <f t="shared" si="10"/>
        <v>-1075595.06</v>
      </c>
      <c r="H56" s="61">
        <f t="shared" si="10"/>
        <v>-17058423</v>
      </c>
      <c r="I56" s="39">
        <f t="shared" si="10"/>
        <v>-189758.05999999994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63</v>
      </c>
      <c r="D60" s="65">
        <f>'EAST-EGM-FLSH'!L60</f>
        <v>0</v>
      </c>
      <c r="E60" s="66">
        <f>'EAST-EGM-FLSH'!M60</f>
        <v>-46484.87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46484.87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-46484.87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46484.87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'EAST-EGM-FLSH'!L64</f>
        <v>0</v>
      </c>
      <c r="E64" s="66">
        <f>'EAST-EGM-FLSH'!M64</f>
        <v>68597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-68597</v>
      </c>
    </row>
    <row r="65" spans="1:9" x14ac:dyDescent="0.25">
      <c r="A65" s="9">
        <v>29</v>
      </c>
      <c r="B65" s="11"/>
      <c r="C65" s="18" t="s">
        <v>66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68597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-68597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'EAST-EGM-FLSH'!L70</f>
        <v>0</v>
      </c>
      <c r="E70" s="66">
        <f>'EAST-EGM-FLSH'!M70</f>
        <v>5679557.9450000003</v>
      </c>
      <c r="F70" s="60">
        <f>'EAST-EGM-GL'!D70</f>
        <v>0</v>
      </c>
      <c r="G70" s="38">
        <f>'EAST-EGM-GL'!E70</f>
        <v>5679557.9500000002</v>
      </c>
      <c r="H70" s="60">
        <f>F70-D70</f>
        <v>0</v>
      </c>
      <c r="I70" s="38">
        <f>G70-E70</f>
        <v>4.999999888241291E-3</v>
      </c>
    </row>
    <row r="71" spans="1:9" x14ac:dyDescent="0.25">
      <c r="A71" s="9">
        <v>31</v>
      </c>
      <c r="B71" s="3"/>
      <c r="C71" s="10" t="s">
        <v>71</v>
      </c>
      <c r="D71" s="65">
        <f>'EAST-EGM-FLSH'!L71</f>
        <v>0</v>
      </c>
      <c r="E71" s="66">
        <f>'EAST-EGM-FLSH'!M71</f>
        <v>-2849704.85</v>
      </c>
      <c r="F71" s="60">
        <f>'EAST-EGM-GL'!D71</f>
        <v>0</v>
      </c>
      <c r="G71" s="38">
        <f>'EAST-EGM-GL'!E71</f>
        <v>-2849706</v>
      </c>
      <c r="H71" s="60">
        <f>F71-D71</f>
        <v>0</v>
      </c>
      <c r="I71" s="38">
        <f>G71-E71</f>
        <v>-1.1499999999068677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2829853.0950000002</v>
      </c>
      <c r="F72" s="69">
        <f t="shared" si="13"/>
        <v>0</v>
      </c>
      <c r="G72" s="70">
        <f t="shared" si="13"/>
        <v>2829851.95</v>
      </c>
      <c r="H72" s="69">
        <f t="shared" si="13"/>
        <v>0</v>
      </c>
      <c r="I72" s="70">
        <f t="shared" si="13"/>
        <v>-1.1450000000186265</v>
      </c>
    </row>
    <row r="73" spans="1:9" x14ac:dyDescent="0.25">
      <c r="A73" s="9">
        <v>32</v>
      </c>
      <c r="B73" s="3"/>
      <c r="C73" s="10" t="s">
        <v>73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'EAST-EGM-FLSH'!L74</f>
        <v>0</v>
      </c>
      <c r="E74" s="66">
        <f>'EAST-EGM-FLSH'!M74</f>
        <v>-1040060</v>
      </c>
      <c r="F74" s="60">
        <f>'EAST-EGM-GL'!D74</f>
        <v>0</v>
      </c>
      <c r="G74" s="38">
        <f>'EAST-EGM-GL'!E74</f>
        <v>-1847776</v>
      </c>
      <c r="H74" s="60">
        <f t="shared" ref="H74:I79" si="14">F74-D74</f>
        <v>0</v>
      </c>
      <c r="I74" s="38">
        <f t="shared" si="14"/>
        <v>-807716</v>
      </c>
    </row>
    <row r="75" spans="1:9" x14ac:dyDescent="0.25">
      <c r="A75" s="9">
        <v>34</v>
      </c>
      <c r="B75" s="3"/>
      <c r="C75" s="10" t="s">
        <v>75</v>
      </c>
      <c r="D75" s="65">
        <f>'EAST-EGM-FLSH'!L75</f>
        <v>0</v>
      </c>
      <c r="E75" s="66">
        <f>'EAST-EGM-FLSH'!M75</f>
        <v>17993</v>
      </c>
      <c r="F75" s="60">
        <f>'EAST-EGM-GL'!D75</f>
        <v>0</v>
      </c>
      <c r="G75" s="38">
        <f>'EAST-EGM-GL'!E75</f>
        <v>59000</v>
      </c>
      <c r="H75" s="60">
        <f t="shared" si="14"/>
        <v>0</v>
      </c>
      <c r="I75" s="38">
        <f t="shared" si="14"/>
        <v>41007</v>
      </c>
    </row>
    <row r="76" spans="1:9" x14ac:dyDescent="0.25">
      <c r="A76" s="9">
        <v>35</v>
      </c>
      <c r="B76" s="3"/>
      <c r="C76" s="10" t="s">
        <v>76</v>
      </c>
      <c r="D76" s="65">
        <f>'EAST-EGM-FLSH'!L76</f>
        <v>0</v>
      </c>
      <c r="E76" s="66">
        <f>'EAST-EGM-FLSH'!M76</f>
        <v>-19109</v>
      </c>
      <c r="F76" s="60">
        <f>'EAST-EGM-GL'!D76</f>
        <v>0</v>
      </c>
      <c r="G76" s="38">
        <f>'EAST-EGM-GL'!E76</f>
        <v>-259215.52</v>
      </c>
      <c r="H76" s="60">
        <f t="shared" si="14"/>
        <v>0</v>
      </c>
      <c r="I76" s="38">
        <f t="shared" si="14"/>
        <v>-240106.52</v>
      </c>
    </row>
    <row r="77" spans="1:9" x14ac:dyDescent="0.25">
      <c r="A77" s="9">
        <v>36</v>
      </c>
      <c r="B77" s="3"/>
      <c r="C77" s="10" t="s">
        <v>77</v>
      </c>
      <c r="D77" s="65">
        <f>'EAST-EGM-FLSH'!L77</f>
        <v>0</v>
      </c>
      <c r="E77" s="66">
        <f>'EAST-EGM-FLSH'!M77</f>
        <v>2860191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-6794000</v>
      </c>
    </row>
    <row r="78" spans="1:9" x14ac:dyDescent="0.25">
      <c r="A78" s="9">
        <v>37</v>
      </c>
      <c r="B78" s="3"/>
      <c r="C78" s="10" t="s">
        <v>78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79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224706</v>
      </c>
      <c r="H79" s="60">
        <f t="shared" si="14"/>
        <v>0</v>
      </c>
      <c r="I79" s="38">
        <f t="shared" si="14"/>
        <v>224706</v>
      </c>
    </row>
    <row r="80" spans="1:9" x14ac:dyDescent="0.25">
      <c r="A80" s="9">
        <v>39</v>
      </c>
      <c r="B80" s="3"/>
      <c r="C80" s="10" t="s">
        <v>80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'EAST-EGM-FLSH'!L81</f>
        <v>0</v>
      </c>
      <c r="E81" s="66">
        <f>'EAST-EGM-FLSH'!M81</f>
        <v>-2667035</v>
      </c>
      <c r="F81" s="60">
        <f>'EAST-EGM-GL'!D81</f>
        <v>0</v>
      </c>
      <c r="G81" s="38">
        <f>'EAST-EGM-GL'!E81</f>
        <v>789835.96</v>
      </c>
      <c r="H81" s="60">
        <f>F81-D81</f>
        <v>0</v>
      </c>
      <c r="I81" s="38">
        <f>G81-E81</f>
        <v>3456870.96</v>
      </c>
    </row>
    <row r="82" spans="1:63" s="44" customFormat="1" ht="20.25" customHeight="1" thickBot="1" x14ac:dyDescent="0.35">
      <c r="A82" s="40"/>
      <c r="B82" s="41"/>
      <c r="C82" s="42" t="s">
        <v>82</v>
      </c>
      <c r="D82" s="71">
        <f>D16+D24+D29+D36+D43+D45+D47+D49</f>
        <v>60000</v>
      </c>
      <c r="E82" s="72">
        <f>SUM(E72:E81)+E16+E24+E29+E36+E43+E45+E47+E49+E51+E56+E61+E66</f>
        <v>2025291.3170115249</v>
      </c>
      <c r="F82" s="71">
        <f>F16+F24+F29+F36+F43+F45+F47+F49</f>
        <v>0</v>
      </c>
      <c r="G82" s="72">
        <f>SUM(G72:G81)+G16+G24+G29+G36+G43+G45+G47+G49+G51+G56+G61+G66</f>
        <v>-1690525.375999968</v>
      </c>
      <c r="H82" s="71">
        <f>H16+H24+H29+H36+H43+H45+H47+H49</f>
        <v>-60000</v>
      </c>
      <c r="I82" s="72">
        <f>SUM(I72:I81)+I16+I24+I29+I36+I43+I45+I47+I49+I51+I56+I61+I66</f>
        <v>-3715816.6930114818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176</v>
      </c>
      <c r="D86" s="173">
        <f>'EAST-EGM-FLSH'!L86</f>
        <v>0</v>
      </c>
      <c r="E86" s="173">
        <f>'EAST-EGM-FLSH'!M86</f>
        <v>219364</v>
      </c>
      <c r="F86" s="173">
        <f>'EAST-EGM-GL'!D86</f>
        <v>0</v>
      </c>
      <c r="G86" s="173">
        <f>'EAST-EGM-GL'!E86</f>
        <v>229124</v>
      </c>
      <c r="H86" s="173">
        <f t="shared" ref="H86:I88" si="15">F86-D86</f>
        <v>0</v>
      </c>
      <c r="I86" s="173">
        <f t="shared" si="15"/>
        <v>9760</v>
      </c>
    </row>
    <row r="87" spans="1:63" x14ac:dyDescent="0.25">
      <c r="A87" s="172"/>
      <c r="B87" s="3"/>
      <c r="C87" s="10" t="s">
        <v>74</v>
      </c>
      <c r="D87" s="174">
        <f>'EAST-EGM-FLSH'!L87</f>
        <v>0</v>
      </c>
      <c r="E87" s="174">
        <f>'EAST-EGM-FLSH'!M87</f>
        <v>0</v>
      </c>
      <c r="F87" s="174">
        <f>'EAST-EGM-GL'!D87</f>
        <v>0</v>
      </c>
      <c r="G87" s="174">
        <f>'EAST-EGM-GL'!E87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75</v>
      </c>
      <c r="D88" s="175">
        <f>'EAST-EGM-FLSH'!L88</f>
        <v>0</v>
      </c>
      <c r="E88" s="175">
        <f>'EAST-EGM-FLSH'!M88</f>
        <v>0</v>
      </c>
      <c r="F88" s="175">
        <f>'EAST-EGM-GL'!D88</f>
        <v>0</v>
      </c>
      <c r="G88" s="175">
        <f>'EAST-EGM-GL'!E88</f>
        <v>-9800</v>
      </c>
      <c r="H88" s="175">
        <f t="shared" si="15"/>
        <v>0</v>
      </c>
      <c r="I88" s="175">
        <f t="shared" si="15"/>
        <v>-9800</v>
      </c>
    </row>
    <row r="89" spans="1:63" s="143" customFormat="1" x14ac:dyDescent="0.25">
      <c r="A89" s="186"/>
      <c r="B89" s="187"/>
      <c r="C89" s="185" t="s">
        <v>179</v>
      </c>
      <c r="D89" s="188">
        <f t="shared" ref="D89:I89" si="16">SUM(D86:D88)</f>
        <v>0</v>
      </c>
      <c r="E89" s="188">
        <f t="shared" si="16"/>
        <v>219364</v>
      </c>
      <c r="F89" s="188">
        <f t="shared" si="16"/>
        <v>0</v>
      </c>
      <c r="G89" s="188">
        <f t="shared" si="16"/>
        <v>219324</v>
      </c>
      <c r="H89" s="188">
        <f t="shared" si="16"/>
        <v>0</v>
      </c>
      <c r="I89" s="188">
        <f t="shared" si="16"/>
        <v>-40</v>
      </c>
    </row>
    <row r="90" spans="1:63" s="143" customFormat="1" x14ac:dyDescent="0.25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5">
      <c r="A91" s="186"/>
      <c r="B91" s="187"/>
      <c r="C91" s="185" t="s">
        <v>182</v>
      </c>
      <c r="D91" s="188">
        <f t="shared" ref="D91:I91" si="17">+D82+D89</f>
        <v>60000</v>
      </c>
      <c r="E91" s="188">
        <f t="shared" si="17"/>
        <v>2244655.3170115249</v>
      </c>
      <c r="F91" s="188">
        <f t="shared" si="17"/>
        <v>0</v>
      </c>
      <c r="G91" s="188">
        <f t="shared" si="17"/>
        <v>-1471201.375999968</v>
      </c>
      <c r="H91" s="188">
        <f t="shared" si="17"/>
        <v>-60000</v>
      </c>
      <c r="I91" s="188">
        <f t="shared" si="17"/>
        <v>-3715856.6930114818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V15" sqref="V15"/>
      <selection pane="topRight" activeCell="V15" sqref="V15"/>
      <selection pane="bottomLeft" activeCell="V15" sqref="V15"/>
      <selection pane="bottomRight" activeCell="V15" sqref="V15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'EAST-LRC-FLSH'!L11</f>
        <v>11184016</v>
      </c>
      <c r="E11" s="66">
        <f>'EAST-LRC-FLSH'!M11</f>
        <v>25440090.050000001</v>
      </c>
      <c r="F11" s="60">
        <f>'EAST-LRC-GL'!D11</f>
        <v>8486456</v>
      </c>
      <c r="G11" s="38">
        <f>'EAST-LRC-GL'!E11</f>
        <v>19275850.900000002</v>
      </c>
      <c r="H11" s="60">
        <f>F11-D11</f>
        <v>-2697560</v>
      </c>
      <c r="I11" s="38">
        <f>G11-E11</f>
        <v>-6164239.1499999985</v>
      </c>
    </row>
    <row r="12" spans="1:22" x14ac:dyDescent="0.25">
      <c r="A12" s="9">
        <v>2</v>
      </c>
      <c r="B12" s="7"/>
      <c r="C12" s="18" t="s">
        <v>29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-44383.68</v>
      </c>
      <c r="H12" s="60">
        <f>F12-D12</f>
        <v>0</v>
      </c>
      <c r="I12" s="38">
        <f>G12-E12</f>
        <v>-44383.68</v>
      </c>
    </row>
    <row r="13" spans="1:22" x14ac:dyDescent="0.25">
      <c r="A13" s="9">
        <v>3</v>
      </c>
      <c r="B13" s="7"/>
      <c r="C13" s="18" t="s">
        <v>30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31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11184016</v>
      </c>
      <c r="E16" s="39">
        <f t="shared" si="1"/>
        <v>25440090.050000001</v>
      </c>
      <c r="F16" s="61">
        <f t="shared" si="1"/>
        <v>8486456</v>
      </c>
      <c r="G16" s="39">
        <f t="shared" si="1"/>
        <v>19231467.220000003</v>
      </c>
      <c r="H16" s="61">
        <f t="shared" si="1"/>
        <v>-2697560</v>
      </c>
      <c r="I16" s="39">
        <f t="shared" si="1"/>
        <v>-6208622.8299999982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'EAST-LRC-FLSH'!L19</f>
        <v>-11095958</v>
      </c>
      <c r="E19" s="66">
        <f>'EAST-LRC-FLSH'!M19</f>
        <v>-25412684</v>
      </c>
      <c r="F19" s="60">
        <f>'EAST-LRC-GL'!D19</f>
        <v>-847001</v>
      </c>
      <c r="G19" s="38">
        <f>'EAST-LRC-GL'!E19</f>
        <v>-1854754.28</v>
      </c>
      <c r="H19" s="60">
        <f>F19-D19</f>
        <v>10248957</v>
      </c>
      <c r="I19" s="38">
        <f>G19-E19</f>
        <v>23557929.719999999</v>
      </c>
    </row>
    <row r="20" spans="1:9" x14ac:dyDescent="0.25">
      <c r="A20" s="9">
        <v>7</v>
      </c>
      <c r="B20" s="7"/>
      <c r="C20" s="18" t="s">
        <v>29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30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31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'EAST-LRC-FLSH'!L23</f>
        <v>0</v>
      </c>
      <c r="E23" s="66">
        <f>'EAST-LRC-FLSH'!M23</f>
        <v>0</v>
      </c>
      <c r="F23" s="60">
        <f>'EAST-LRC-GL'!D23</f>
        <v>34163</v>
      </c>
      <c r="G23" s="38">
        <f>'EAST-LRC-GL'!E23</f>
        <v>78532.86</v>
      </c>
      <c r="H23" s="60">
        <f t="shared" si="2"/>
        <v>34163</v>
      </c>
      <c r="I23" s="38">
        <f t="shared" si="2"/>
        <v>78532.86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-11095958</v>
      </c>
      <c r="E24" s="39">
        <f t="shared" si="3"/>
        <v>-25412684</v>
      </c>
      <c r="F24" s="61">
        <f t="shared" si="3"/>
        <v>-812838</v>
      </c>
      <c r="G24" s="39">
        <f t="shared" si="3"/>
        <v>-1776221.42</v>
      </c>
      <c r="H24" s="61">
        <f t="shared" si="3"/>
        <v>10283120</v>
      </c>
      <c r="I24" s="39">
        <f t="shared" si="3"/>
        <v>23636462.579999998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'EAST-LRC-FLSH'!L27</f>
        <v>0</v>
      </c>
      <c r="E27" s="66">
        <f>'EAST-LRC-FLSH'!M27</f>
        <v>0</v>
      </c>
      <c r="F27" s="60">
        <f>'EAST-LRC-GL'!D27</f>
        <v>1328614</v>
      </c>
      <c r="G27" s="38">
        <f>'EAST-LRC-GL'!E27</f>
        <v>3057009.3999999994</v>
      </c>
      <c r="H27" s="60">
        <f>F27-D27</f>
        <v>1328614</v>
      </c>
      <c r="I27" s="38">
        <f>G27-E27</f>
        <v>3057009.3999999994</v>
      </c>
    </row>
    <row r="28" spans="1:9" x14ac:dyDescent="0.25">
      <c r="A28" s="9">
        <v>12</v>
      </c>
      <c r="B28" s="7"/>
      <c r="C28" s="18" t="s">
        <v>39</v>
      </c>
      <c r="D28" s="65">
        <f>'EAST-LRC-FLSH'!L28</f>
        <v>0</v>
      </c>
      <c r="E28" s="66">
        <f>'EAST-LRC-FLSH'!M28</f>
        <v>0</v>
      </c>
      <c r="F28" s="60">
        <f>'EAST-LRC-GL'!D28</f>
        <v>-9475249</v>
      </c>
      <c r="G28" s="38">
        <f>'EAST-LRC-GL'!E28</f>
        <v>-21759487.880000006</v>
      </c>
      <c r="H28" s="60">
        <f>F28-D28</f>
        <v>-9475249</v>
      </c>
      <c r="I28" s="38">
        <f>G28-E28</f>
        <v>-21759487.880000006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-8146635</v>
      </c>
      <c r="G29" s="70">
        <f t="shared" si="4"/>
        <v>-18702478.480000008</v>
      </c>
      <c r="H29" s="69">
        <f t="shared" si="4"/>
        <v>-8146635</v>
      </c>
      <c r="I29" s="70">
        <f t="shared" si="4"/>
        <v>-18702478.480000008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'EAST-LRC-FLSH'!L32</f>
        <v>0</v>
      </c>
      <c r="E32" s="66">
        <f>'EAST-LRC-FLSH'!M32</f>
        <v>0</v>
      </c>
      <c r="F32" s="60">
        <f>'EAST-LRC-GL'!D32</f>
        <v>35808</v>
      </c>
      <c r="G32" s="38">
        <f>'EAST-LRC-GL'!E32</f>
        <v>79816.031999999992</v>
      </c>
      <c r="H32" s="60">
        <f>F32-D32</f>
        <v>35808</v>
      </c>
      <c r="I32" s="38">
        <f>G32-E32</f>
        <v>79816.031999999992</v>
      </c>
    </row>
    <row r="33" spans="1:9" x14ac:dyDescent="0.25">
      <c r="A33" s="9">
        <v>14</v>
      </c>
      <c r="B33" s="7"/>
      <c r="C33" s="18" t="s">
        <v>43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44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45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35808</v>
      </c>
      <c r="G36" s="39">
        <f t="shared" si="6"/>
        <v>79816.031999999992</v>
      </c>
      <c r="H36" s="61">
        <f t="shared" si="6"/>
        <v>35808</v>
      </c>
      <c r="I36" s="39">
        <f t="shared" si="6"/>
        <v>79816.031999999992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'EAST-LRC-FLSH'!L39</f>
        <v>913477</v>
      </c>
      <c r="E39" s="66">
        <f>'EAST-LRC-FLSH'!M39</f>
        <v>2037051</v>
      </c>
      <c r="F39" s="60">
        <f>'EAST-LRC-GL'!D39</f>
        <v>980688</v>
      </c>
      <c r="G39" s="38">
        <f>'EAST-LRC-GL'!E39</f>
        <v>2235968.64</v>
      </c>
      <c r="H39" s="60">
        <f t="shared" ref="H39:I41" si="7">F39-D39</f>
        <v>67211</v>
      </c>
      <c r="I39" s="38">
        <f t="shared" si="7"/>
        <v>198917.64000000013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'EAST-LRC-FLSH'!L40</f>
        <v>-244706</v>
      </c>
      <c r="E40" s="66">
        <f>'EAST-LRC-FLSH'!M40</f>
        <v>-545695</v>
      </c>
      <c r="F40" s="60">
        <f>'EAST-LRC-GL'!D40</f>
        <v>-584709</v>
      </c>
      <c r="G40" s="38">
        <f>'EAST-LRC-GL'!E40</f>
        <v>-1333136.52</v>
      </c>
      <c r="H40" s="60">
        <f t="shared" si="7"/>
        <v>-340003</v>
      </c>
      <c r="I40" s="38">
        <f t="shared" si="7"/>
        <v>-787441.52</v>
      </c>
    </row>
    <row r="41" spans="1:9" x14ac:dyDescent="0.25">
      <c r="A41" s="9">
        <v>19</v>
      </c>
      <c r="B41" s="7"/>
      <c r="C41" s="18" t="s">
        <v>50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-244706</v>
      </c>
      <c r="E42" s="70">
        <f t="shared" si="8"/>
        <v>-545695</v>
      </c>
      <c r="F42" s="69">
        <f t="shared" si="8"/>
        <v>-584709</v>
      </c>
      <c r="G42" s="70">
        <f t="shared" si="8"/>
        <v>-1333136.52</v>
      </c>
      <c r="H42" s="69">
        <f t="shared" si="8"/>
        <v>-340003</v>
      </c>
      <c r="I42" s="70">
        <f t="shared" si="8"/>
        <v>-787441.52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668771</v>
      </c>
      <c r="E43" s="39">
        <f t="shared" si="9"/>
        <v>1491356</v>
      </c>
      <c r="F43" s="61">
        <f t="shared" si="9"/>
        <v>395979</v>
      </c>
      <c r="G43" s="39">
        <f t="shared" si="9"/>
        <v>902832.12000000011</v>
      </c>
      <c r="H43" s="61">
        <f t="shared" si="9"/>
        <v>-272792</v>
      </c>
      <c r="I43" s="39">
        <f t="shared" si="9"/>
        <v>-588523.87999999989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-25247</v>
      </c>
      <c r="G45" s="38">
        <f>'EAST-LRC-GL'!E45</f>
        <v>-45544.09</v>
      </c>
      <c r="H45" s="60">
        <f>F45-D45</f>
        <v>-25247</v>
      </c>
      <c r="I45" s="38">
        <f>G45-E45</f>
        <v>-45544.09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'EAST-LRC-FLSH'!L49</f>
        <v>-816829</v>
      </c>
      <c r="E49" s="66">
        <f>'EAST-LRC-FLSH'!M49</f>
        <v>-1800711.7348383139</v>
      </c>
      <c r="F49" s="60">
        <f>'EAST-LRC-GL'!D49</f>
        <v>68727</v>
      </c>
      <c r="G49" s="38">
        <f>'EAST-LRC-GL'!E49</f>
        <v>153192.47900000002</v>
      </c>
      <c r="H49" s="60">
        <f>F49-D49</f>
        <v>885556</v>
      </c>
      <c r="I49" s="38">
        <f>G49-E49</f>
        <v>1953904.2138383139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-59521</v>
      </c>
      <c r="G51" s="38">
        <f>'EAST-LRC-GL'!E51</f>
        <v>-136926.63999999998</v>
      </c>
      <c r="H51" s="60">
        <f>F51-D51</f>
        <v>-59521</v>
      </c>
      <c r="I51" s="38">
        <f>G51-E51</f>
        <v>-136926.63999999998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'EAST-LRC-FLSH'!L54</f>
        <v>0</v>
      </c>
      <c r="E54" s="66">
        <f>'EAST-LRC-FLSH'!M54</f>
        <v>0</v>
      </c>
      <c r="F54" s="60">
        <f>'EAST-LRC-GL'!D54</f>
        <v>-95813</v>
      </c>
      <c r="G54" s="38">
        <f>'EAST-LRC-GL'!E54</f>
        <v>17227.760000000002</v>
      </c>
      <c r="H54" s="60">
        <f>F54-D54</f>
        <v>-95813</v>
      </c>
      <c r="I54" s="38">
        <f>G54-E54</f>
        <v>17227.760000000002</v>
      </c>
    </row>
    <row r="55" spans="1:9" x14ac:dyDescent="0.25">
      <c r="A55" s="9">
        <v>25</v>
      </c>
      <c r="B55" s="7"/>
      <c r="C55" s="18" t="s">
        <v>59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-95813</v>
      </c>
      <c r="G56" s="39">
        <f t="shared" si="10"/>
        <v>17227.760000000002</v>
      </c>
      <c r="H56" s="61">
        <f t="shared" si="10"/>
        <v>-95813</v>
      </c>
      <c r="I56" s="39">
        <f t="shared" si="10"/>
        <v>17227.760000000002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'EAST-LRC-FLSH'!L59</f>
        <v>0</v>
      </c>
      <c r="E59" s="66">
        <f>'EAST-LRC-FLSH'!M59</f>
        <v>0</v>
      </c>
      <c r="F59" s="60">
        <f>'EAST-LRC-GL'!D59</f>
        <v>3132845</v>
      </c>
      <c r="G59" s="38">
        <f>'EAST-LRC-GL'!E59</f>
        <v>55985.979999999996</v>
      </c>
      <c r="H59" s="60">
        <f>F59-D59</f>
        <v>3132845</v>
      </c>
      <c r="I59" s="38">
        <f>G59-E59</f>
        <v>55985.979999999996</v>
      </c>
    </row>
    <row r="60" spans="1:9" x14ac:dyDescent="0.25">
      <c r="A60" s="9">
        <v>27</v>
      </c>
      <c r="B60" s="11"/>
      <c r="C60" s="18" t="s">
        <v>63</v>
      </c>
      <c r="D60" s="65">
        <f>'EAST-LRC-FLSH'!L60</f>
        <v>0</v>
      </c>
      <c r="E60" s="66">
        <f>'EAST-LRC-FLSH'!M60</f>
        <v>46484.87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-46484.87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46484.87</v>
      </c>
      <c r="F61" s="69">
        <f t="shared" si="11"/>
        <v>3132845</v>
      </c>
      <c r="G61" s="70">
        <f t="shared" si="11"/>
        <v>55985.979999999996</v>
      </c>
      <c r="H61" s="69">
        <f t="shared" si="11"/>
        <v>3132845</v>
      </c>
      <c r="I61" s="70">
        <f t="shared" si="11"/>
        <v>9501.1099999999933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'EAST-LRC-FLSH'!L64</f>
        <v>0</v>
      </c>
      <c r="E64" s="66">
        <f>'EAST-LRC-FLSH'!M64</f>
        <v>0</v>
      </c>
      <c r="F64" s="60">
        <f>'EAST-LRC-GL'!D64</f>
        <v>-19886382</v>
      </c>
      <c r="G64" s="38">
        <f>'EAST-LRC-GL'!E64</f>
        <v>-1955974.55</v>
      </c>
      <c r="H64" s="60">
        <f>F64-D64</f>
        <v>-19886382</v>
      </c>
      <c r="I64" s="38">
        <f>G64-E64</f>
        <v>-1955974.55</v>
      </c>
    </row>
    <row r="65" spans="1:9" x14ac:dyDescent="0.25">
      <c r="A65" s="9">
        <v>29</v>
      </c>
      <c r="B65" s="11"/>
      <c r="C65" s="18" t="s">
        <v>66</v>
      </c>
      <c r="D65" s="65">
        <f>'EAST-LRC-FLSH'!L65</f>
        <v>0</v>
      </c>
      <c r="E65" s="66">
        <f>'EAST-LRC-FLSH'!M65</f>
        <v>0</v>
      </c>
      <c r="F65" s="60">
        <f>'EAST-LRC-GL'!D65</f>
        <v>18905694</v>
      </c>
      <c r="G65" s="38">
        <f>'EAST-LRC-GL'!E65</f>
        <v>1955974.54</v>
      </c>
      <c r="H65" s="60">
        <f>F65-D65</f>
        <v>18905694</v>
      </c>
      <c r="I65" s="38">
        <f>G65-E65</f>
        <v>1955974.54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-980688</v>
      </c>
      <c r="G66" s="39">
        <f t="shared" si="12"/>
        <v>-1.0000000009313226E-2</v>
      </c>
      <c r="H66" s="61">
        <f t="shared" si="12"/>
        <v>-980688</v>
      </c>
      <c r="I66" s="39">
        <f t="shared" si="12"/>
        <v>-1.0000000009313226E-2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71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73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75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76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77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78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80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'EAST-LRC-FLSH'!L81</f>
        <v>0</v>
      </c>
      <c r="E81" s="66">
        <f>'EAST-LRC-FLSH'!M81</f>
        <v>0</v>
      </c>
      <c r="F81" s="60">
        <f>'EAST-LRC-GL'!D81</f>
        <v>1116361</v>
      </c>
      <c r="G81" s="38">
        <f>'EAST-LRC-GL'!E81</f>
        <v>0</v>
      </c>
      <c r="H81" s="60">
        <f>F81-D81</f>
        <v>1116361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82</v>
      </c>
      <c r="D82" s="71">
        <f>D16+D24+D29+D36+D43+D45+D47+D49</f>
        <v>-60000</v>
      </c>
      <c r="E82" s="72">
        <f>SUM(E72:E81)+E16+E24+E29+E36+E43+E45+E47+E49+E51+E56+E61+E66</f>
        <v>-4132464.814838313</v>
      </c>
      <c r="F82" s="71">
        <f>F16+F24+F29+F36+F43+F45+F47+F49</f>
        <v>2250</v>
      </c>
      <c r="G82" s="72">
        <f>SUM(G72:G81)+G16+G24+G29+G36+G43+G45+G47+G49+G51+G56+G61+G66</f>
        <v>-220649.04900000338</v>
      </c>
      <c r="H82" s="71">
        <f>H16+H24+H29+H36+H43+H45+H47+H49</f>
        <v>62250</v>
      </c>
      <c r="I82" s="72">
        <f>SUM(I72:I81)+I16+I24+I29+I36+I43+I45+I47+I49+I51+I56+I61+I66</f>
        <v>3911815.7658383055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26" activePane="bottomRight" state="frozen"/>
      <selection activeCell="V15" sqref="V15"/>
      <selection pane="topRight" activeCell="V15" sqref="V15"/>
      <selection pane="bottomLeft" activeCell="V15" sqref="V15"/>
      <selection pane="bottomRight" activeCell="V15" sqref="V15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'EAST-CON-FLSH'!L11</f>
        <v>90066498</v>
      </c>
      <c r="E11" s="66">
        <f>'EAST-CON-FLSH'!M11</f>
        <v>204199663</v>
      </c>
      <c r="F11" s="60">
        <f>'EAST-CON-GL '!D11</f>
        <v>87226398</v>
      </c>
      <c r="G11" s="38">
        <f>'EAST-CON-GL '!E11</f>
        <v>204235905.76999998</v>
      </c>
      <c r="H11" s="60">
        <f>F11-D11</f>
        <v>-2840100</v>
      </c>
      <c r="I11" s="38">
        <f>G11-E11</f>
        <v>36242.769999980927</v>
      </c>
    </row>
    <row r="12" spans="1:22" x14ac:dyDescent="0.25">
      <c r="A12" s="9">
        <v>2</v>
      </c>
      <c r="B12" s="7"/>
      <c r="C12" s="18" t="s">
        <v>29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-1549770.6999999997</v>
      </c>
      <c r="H12" s="60">
        <f>F12-D12</f>
        <v>0</v>
      </c>
      <c r="I12" s="38">
        <f>G12-E12</f>
        <v>-1549770.6999999997</v>
      </c>
    </row>
    <row r="13" spans="1:22" x14ac:dyDescent="0.25">
      <c r="A13" s="9">
        <v>3</v>
      </c>
      <c r="B13" s="7"/>
      <c r="C13" s="18" t="s">
        <v>30</v>
      </c>
      <c r="D13" s="65">
        <f>'EAST-CON-FLSH'!L13</f>
        <v>39490195</v>
      </c>
      <c r="E13" s="66">
        <f>'EAST-CON-FLSH'!M13</f>
        <v>90588362</v>
      </c>
      <c r="F13" s="60">
        <f>'EAST-CON-GL '!D13</f>
        <v>37219120</v>
      </c>
      <c r="G13" s="38">
        <f>'EAST-CON-GL '!E13</f>
        <v>85375528</v>
      </c>
      <c r="H13" s="60">
        <f t="shared" ref="H13:I15" si="0">F13-D13</f>
        <v>-2271075</v>
      </c>
      <c r="I13" s="38">
        <f t="shared" si="0"/>
        <v>-5212834</v>
      </c>
    </row>
    <row r="14" spans="1:22" x14ac:dyDescent="0.25">
      <c r="A14" s="9">
        <v>4</v>
      </c>
      <c r="B14" s="7"/>
      <c r="C14" s="18" t="s">
        <v>31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15000</v>
      </c>
      <c r="H15" s="60">
        <f t="shared" si="0"/>
        <v>0</v>
      </c>
      <c r="I15" s="38">
        <f t="shared" si="0"/>
        <v>15000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129556693</v>
      </c>
      <c r="E16" s="39">
        <f t="shared" si="1"/>
        <v>294788025</v>
      </c>
      <c r="F16" s="61">
        <f t="shared" si="1"/>
        <v>124445518</v>
      </c>
      <c r="G16" s="39">
        <f t="shared" si="1"/>
        <v>288076663.06999999</v>
      </c>
      <c r="H16" s="61">
        <f t="shared" si="1"/>
        <v>-5111175</v>
      </c>
      <c r="I16" s="39">
        <f t="shared" si="1"/>
        <v>-6711361.9300000183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'EAST-CON-FLSH'!L19</f>
        <v>-87627794</v>
      </c>
      <c r="E19" s="66">
        <f>'EAST-CON-FLSH'!M19</f>
        <v>-196852297</v>
      </c>
      <c r="F19" s="60">
        <f>'EAST-CON-GL '!D19</f>
        <v>-83852039</v>
      </c>
      <c r="G19" s="38">
        <f>'EAST-CON-GL '!E19</f>
        <v>-190608529.33000001</v>
      </c>
      <c r="H19" s="60">
        <f>F19-D19</f>
        <v>3775755</v>
      </c>
      <c r="I19" s="38">
        <f>G19-E19</f>
        <v>6243767.6699999869</v>
      </c>
    </row>
    <row r="20" spans="1:9" x14ac:dyDescent="0.25">
      <c r="A20" s="9">
        <v>7</v>
      </c>
      <c r="B20" s="7"/>
      <c r="C20" s="18" t="s">
        <v>29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-385025.32</v>
      </c>
      <c r="H20" s="60">
        <f>F20-D20</f>
        <v>0</v>
      </c>
      <c r="I20" s="38">
        <f>G20-E20</f>
        <v>-385025.32</v>
      </c>
    </row>
    <row r="21" spans="1:9" x14ac:dyDescent="0.25">
      <c r="A21" s="9">
        <v>8</v>
      </c>
      <c r="B21" s="7"/>
      <c r="C21" s="18" t="s">
        <v>30</v>
      </c>
      <c r="D21" s="65">
        <f>'EAST-CON-FLSH'!L21</f>
        <v>-43028500</v>
      </c>
      <c r="E21" s="66">
        <f>'EAST-CON-FLSH'!M21</f>
        <v>-99490756</v>
      </c>
      <c r="F21" s="60">
        <f>'EAST-CON-GL '!D21</f>
        <v>-32629494</v>
      </c>
      <c r="G21" s="38">
        <f>'EAST-CON-GL '!E21</f>
        <v>-75619749</v>
      </c>
      <c r="H21" s="60">
        <f t="shared" ref="H21:I23" si="2">F21-D21</f>
        <v>10399006</v>
      </c>
      <c r="I21" s="38">
        <f t="shared" si="2"/>
        <v>23871007</v>
      </c>
    </row>
    <row r="22" spans="1:9" x14ac:dyDescent="0.25">
      <c r="A22" s="9">
        <v>9</v>
      </c>
      <c r="B22" s="7"/>
      <c r="C22" s="18" t="s">
        <v>31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'EAST-CON-FLSH'!L23</f>
        <v>133867</v>
      </c>
      <c r="E23" s="66">
        <f>'EAST-CON-FLSH'!M23</f>
        <v>303086</v>
      </c>
      <c r="F23" s="60">
        <f>'EAST-CON-GL '!D23</f>
        <v>141671</v>
      </c>
      <c r="G23" s="38">
        <f>'EAST-CON-GL '!E23</f>
        <v>318223.13100000005</v>
      </c>
      <c r="H23" s="60">
        <f t="shared" si="2"/>
        <v>7804</v>
      </c>
      <c r="I23" s="38">
        <f t="shared" si="2"/>
        <v>15137.131000000052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-130522427</v>
      </c>
      <c r="E24" s="39">
        <f t="shared" si="3"/>
        <v>-296039967</v>
      </c>
      <c r="F24" s="61">
        <f t="shared" si="3"/>
        <v>-116339862</v>
      </c>
      <c r="G24" s="39">
        <f t="shared" si="3"/>
        <v>-266295080.51899999</v>
      </c>
      <c r="H24" s="61">
        <f t="shared" si="3"/>
        <v>14182565</v>
      </c>
      <c r="I24" s="39">
        <f t="shared" si="3"/>
        <v>29744886.480999988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'EAST-CON-FLSH'!L27</f>
        <v>0</v>
      </c>
      <c r="E27" s="66">
        <f>'EAST-CON-FLSH'!M27</f>
        <v>0</v>
      </c>
      <c r="F27" s="60">
        <f>'EAST-CON-GL '!D27</f>
        <v>1395614</v>
      </c>
      <c r="G27" s="38">
        <f>'EAST-CON-GL '!E27</f>
        <v>3212085.1899999995</v>
      </c>
      <c r="H27" s="60">
        <f>F27-D27</f>
        <v>1395614</v>
      </c>
      <c r="I27" s="38">
        <f>G27-E27</f>
        <v>3212085.1899999995</v>
      </c>
    </row>
    <row r="28" spans="1:9" x14ac:dyDescent="0.25">
      <c r="A28" s="9">
        <v>12</v>
      </c>
      <c r="B28" s="7"/>
      <c r="C28" s="18" t="s">
        <v>39</v>
      </c>
      <c r="D28" s="65">
        <f>'EAST-CON-FLSH'!L28</f>
        <v>0</v>
      </c>
      <c r="E28" s="66">
        <f>'EAST-CON-FLSH'!M28</f>
        <v>0</v>
      </c>
      <c r="F28" s="60">
        <f>'EAST-CON-GL '!D28</f>
        <v>-10656303</v>
      </c>
      <c r="G28" s="38">
        <f>'EAST-CON-GL '!E28</f>
        <v>-24486496.160000004</v>
      </c>
      <c r="H28" s="60">
        <f>F28-D28</f>
        <v>-10656303</v>
      </c>
      <c r="I28" s="38">
        <f>G28-E28</f>
        <v>-24486496.160000004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-9260689</v>
      </c>
      <c r="G29" s="70">
        <f t="shared" si="4"/>
        <v>-21274410.970000006</v>
      </c>
      <c r="H29" s="69">
        <f t="shared" si="4"/>
        <v>-9260689</v>
      </c>
      <c r="I29" s="70">
        <f t="shared" si="4"/>
        <v>-21274410.970000006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'EAST-CON-FLSH'!L32</f>
        <v>525505</v>
      </c>
      <c r="E32" s="66">
        <f>'EAST-CON-FLSH'!M32</f>
        <v>1238528</v>
      </c>
      <c r="F32" s="60">
        <f>'EAST-CON-GL '!D32</f>
        <v>-152977</v>
      </c>
      <c r="G32" s="38">
        <f>'EAST-CON-GL '!E32</f>
        <v>-1047485.7980000001</v>
      </c>
      <c r="H32" s="60">
        <f>F32-D32</f>
        <v>-678482</v>
      </c>
      <c r="I32" s="38">
        <f>G32-E32</f>
        <v>-2286013.798</v>
      </c>
    </row>
    <row r="33" spans="1:9" x14ac:dyDescent="0.25">
      <c r="A33" s="9">
        <v>14</v>
      </c>
      <c r="B33" s="7"/>
      <c r="C33" s="18" t="s">
        <v>43</v>
      </c>
      <c r="D33" s="65">
        <f>'EAST-CON-FLSH'!L33</f>
        <v>-572495</v>
      </c>
      <c r="E33" s="66">
        <f>'EAST-CON-FLSH'!M33</f>
        <v>-1346346</v>
      </c>
      <c r="F33" s="60">
        <f>'EAST-CON-GL '!D33</f>
        <v>-30095</v>
      </c>
      <c r="G33" s="38">
        <f>'EAST-CON-GL '!E33</f>
        <v>-66744.39</v>
      </c>
      <c r="H33" s="60">
        <f t="shared" ref="H33:I35" si="5">F33-D33</f>
        <v>542400</v>
      </c>
      <c r="I33" s="38">
        <f t="shared" si="5"/>
        <v>1279601.6100000001</v>
      </c>
    </row>
    <row r="34" spans="1:9" x14ac:dyDescent="0.25">
      <c r="A34" s="9">
        <v>15</v>
      </c>
      <c r="B34" s="7"/>
      <c r="C34" s="18" t="s">
        <v>44</v>
      </c>
      <c r="D34" s="65">
        <f>'EAST-CON-FLSH'!L34</f>
        <v>352983</v>
      </c>
      <c r="E34" s="66">
        <f>'EAST-CON-FLSH'!M34</f>
        <v>794701</v>
      </c>
      <c r="F34" s="60">
        <f>'EAST-CON-GL '!D34</f>
        <v>328919</v>
      </c>
      <c r="G34" s="38">
        <f>'EAST-CON-GL '!E34</f>
        <v>734440.80999999994</v>
      </c>
      <c r="H34" s="60">
        <f t="shared" si="5"/>
        <v>-24064</v>
      </c>
      <c r="I34" s="38">
        <f t="shared" si="5"/>
        <v>-60260.190000000061</v>
      </c>
    </row>
    <row r="35" spans="1:9" x14ac:dyDescent="0.25">
      <c r="A35" s="9">
        <v>16</v>
      </c>
      <c r="B35" s="7"/>
      <c r="C35" s="18" t="s">
        <v>45</v>
      </c>
      <c r="D35" s="65">
        <f>'EAST-CON-FLSH'!L35</f>
        <v>-113080</v>
      </c>
      <c r="E35" s="66">
        <f>'EAST-CON-FLSH'!M35</f>
        <v>-254388</v>
      </c>
      <c r="F35" s="60">
        <f>'EAST-CON-GL '!D35</f>
        <v>600000</v>
      </c>
      <c r="G35" s="38">
        <f>'EAST-CON-GL '!E35</f>
        <v>706499.99</v>
      </c>
      <c r="H35" s="60">
        <f t="shared" si="5"/>
        <v>713080</v>
      </c>
      <c r="I35" s="38">
        <f t="shared" si="5"/>
        <v>960887.99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192913</v>
      </c>
      <c r="E36" s="39">
        <f t="shared" si="6"/>
        <v>432495</v>
      </c>
      <c r="F36" s="61">
        <f t="shared" si="6"/>
        <v>745847</v>
      </c>
      <c r="G36" s="39">
        <f t="shared" si="6"/>
        <v>326710.61199999985</v>
      </c>
      <c r="H36" s="61">
        <f t="shared" si="6"/>
        <v>552934</v>
      </c>
      <c r="I36" s="39">
        <f t="shared" si="6"/>
        <v>-105784.38800000004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'EAST-CON-FLSH'!L39</f>
        <v>913477</v>
      </c>
      <c r="E39" s="66">
        <f>'EAST-CON-FLSH'!M39</f>
        <v>2037051</v>
      </c>
      <c r="F39" s="60">
        <f>'EAST-CON-GL '!D39</f>
        <v>980688</v>
      </c>
      <c r="G39" s="38">
        <f>'EAST-CON-GL '!E39</f>
        <v>2235968.64</v>
      </c>
      <c r="H39" s="60">
        <f t="shared" ref="H39:I41" si="7">F39-D39</f>
        <v>67211</v>
      </c>
      <c r="I39" s="38">
        <f t="shared" si="7"/>
        <v>198917.64000000013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'EAST-CON-FLSH'!L40</f>
        <v>-244706</v>
      </c>
      <c r="E40" s="66">
        <f>'EAST-CON-FLSH'!M40</f>
        <v>-545695</v>
      </c>
      <c r="F40" s="60">
        <f>'EAST-CON-GL '!D40</f>
        <v>-884709</v>
      </c>
      <c r="G40" s="38">
        <f>'EAST-CON-GL '!E40</f>
        <v>-2117336.52</v>
      </c>
      <c r="H40" s="60">
        <f t="shared" si="7"/>
        <v>-640003</v>
      </c>
      <c r="I40" s="38">
        <f t="shared" si="7"/>
        <v>-1571641.52</v>
      </c>
    </row>
    <row r="41" spans="1:9" x14ac:dyDescent="0.25">
      <c r="A41" s="9">
        <v>19</v>
      </c>
      <c r="B41" s="7"/>
      <c r="C41" s="18" t="s">
        <v>50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-244706</v>
      </c>
      <c r="E42" s="70">
        <f t="shared" si="8"/>
        <v>-545695</v>
      </c>
      <c r="F42" s="69">
        <f t="shared" si="8"/>
        <v>-884709</v>
      </c>
      <c r="G42" s="70">
        <f t="shared" si="8"/>
        <v>-2117336.52</v>
      </c>
      <c r="H42" s="69">
        <f t="shared" si="8"/>
        <v>-640003</v>
      </c>
      <c r="I42" s="70">
        <f t="shared" si="8"/>
        <v>-1571641.52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668771</v>
      </c>
      <c r="E43" s="39">
        <f t="shared" si="9"/>
        <v>1491356</v>
      </c>
      <c r="F43" s="61">
        <f t="shared" si="9"/>
        <v>95979</v>
      </c>
      <c r="G43" s="39">
        <f t="shared" si="9"/>
        <v>118632.12000000011</v>
      </c>
      <c r="H43" s="61">
        <f t="shared" si="9"/>
        <v>-572792</v>
      </c>
      <c r="I43" s="39">
        <f t="shared" si="9"/>
        <v>-1372723.88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-25247</v>
      </c>
      <c r="G45" s="38">
        <f>'EAST-CON-GL '!E45</f>
        <v>-45544.09</v>
      </c>
      <c r="H45" s="60">
        <f>F45-D45</f>
        <v>-25247</v>
      </c>
      <c r="I45" s="38">
        <f>G45-E45</f>
        <v>-45544.09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'EAST-CON-FLSH'!L49</f>
        <v>104050</v>
      </c>
      <c r="E49" s="66">
        <f>'EAST-CON-FLSH'!M49</f>
        <v>231886.46217320184</v>
      </c>
      <c r="F49" s="60">
        <f>'EAST-CON-GL '!D49</f>
        <v>340704</v>
      </c>
      <c r="G49" s="38">
        <f>'EAST-CON-GL '!E49</f>
        <v>759429.21200000029</v>
      </c>
      <c r="H49" s="60">
        <f>F49-D49</f>
        <v>236654</v>
      </c>
      <c r="I49" s="38">
        <f>G49-E49</f>
        <v>527542.74982679845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'EAST-CON-FLSH'!L51</f>
        <v>-133867</v>
      </c>
      <c r="E51" s="66">
        <f>'EAST-CON-FLSH'!M51</f>
        <v>-303086</v>
      </c>
      <c r="F51" s="60">
        <f>'EAST-CON-GL '!D51</f>
        <v>-194496</v>
      </c>
      <c r="G51" s="38">
        <f>'EAST-CON-GL '!E51</f>
        <v>-437785.92</v>
      </c>
      <c r="H51" s="60">
        <f>F51-D51</f>
        <v>-60629</v>
      </c>
      <c r="I51" s="38">
        <f>G51-E51</f>
        <v>-134699.91999999998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'EAST-CON-FLSH'!L54</f>
        <v>0</v>
      </c>
      <c r="E54" s="66">
        <f>'EAST-CON-FLSH'!M54</f>
        <v>-451779</v>
      </c>
      <c r="F54" s="60">
        <f>'EAST-CON-GL '!D54</f>
        <v>-17164287</v>
      </c>
      <c r="G54" s="38">
        <f>'EAST-CON-GL '!E54</f>
        <v>-610349.94999999984</v>
      </c>
      <c r="H54" s="60">
        <f>F54-D54</f>
        <v>-17164287</v>
      </c>
      <c r="I54" s="38">
        <f>G54-E54</f>
        <v>-158570.94999999984</v>
      </c>
    </row>
    <row r="55" spans="1:9" x14ac:dyDescent="0.25">
      <c r="A55" s="9">
        <v>25</v>
      </c>
      <c r="B55" s="7"/>
      <c r="C55" s="18" t="s">
        <v>59</v>
      </c>
      <c r="D55" s="65">
        <f>'EAST-CON-FLSH'!L55</f>
        <v>0</v>
      </c>
      <c r="E55" s="66">
        <f>'EAST-CON-FLSH'!M55</f>
        <v>-434058</v>
      </c>
      <c r="F55" s="60">
        <f>'EAST-CON-GL '!D55</f>
        <v>0</v>
      </c>
      <c r="G55" s="38">
        <f>'EAST-CON-GL '!E55</f>
        <v>-448017.35</v>
      </c>
      <c r="H55" s="60">
        <f>F55-D55</f>
        <v>0</v>
      </c>
      <c r="I55" s="38">
        <f>G55-E55</f>
        <v>-13959.349999999977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-885837</v>
      </c>
      <c r="F56" s="61">
        <f t="shared" si="10"/>
        <v>-17164287</v>
      </c>
      <c r="G56" s="39">
        <f t="shared" si="10"/>
        <v>-1058367.2999999998</v>
      </c>
      <c r="H56" s="61">
        <f t="shared" si="10"/>
        <v>-17164287</v>
      </c>
      <c r="I56" s="39">
        <f t="shared" si="10"/>
        <v>-172530.29999999981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'EAST-CON-FLSH'!L59</f>
        <v>0</v>
      </c>
      <c r="E59" s="66">
        <f>'EAST-CON-FLSH'!M59</f>
        <v>0</v>
      </c>
      <c r="F59" s="60">
        <f>'EAST-CON-GL '!D59</f>
        <v>3132845</v>
      </c>
      <c r="G59" s="38">
        <f>'EAST-CON-GL '!E59</f>
        <v>55985.979999999996</v>
      </c>
      <c r="H59" s="60">
        <f>F59-D59</f>
        <v>3132845</v>
      </c>
      <c r="I59" s="38">
        <f>G59-E59</f>
        <v>55985.979999999996</v>
      </c>
    </row>
    <row r="60" spans="1:9" x14ac:dyDescent="0.25">
      <c r="A60" s="9">
        <v>27</v>
      </c>
      <c r="B60" s="11"/>
      <c r="C60" s="18" t="s">
        <v>63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3132845</v>
      </c>
      <c r="G61" s="70">
        <f t="shared" si="11"/>
        <v>55985.979999999996</v>
      </c>
      <c r="H61" s="69">
        <f t="shared" si="11"/>
        <v>3132845</v>
      </c>
      <c r="I61" s="70">
        <f t="shared" si="11"/>
        <v>55985.979999999996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'EAST-CON-FLSH'!L64</f>
        <v>0</v>
      </c>
      <c r="E64" s="66">
        <f>'EAST-CON-FLSH'!M64</f>
        <v>68597</v>
      </c>
      <c r="F64" s="60">
        <f>'EAST-CON-GL '!D64</f>
        <v>-20191991</v>
      </c>
      <c r="G64" s="38">
        <f>'EAST-CON-GL '!E64</f>
        <v>-1981332.06</v>
      </c>
      <c r="H64" s="60">
        <f>F64-D64</f>
        <v>-20191991</v>
      </c>
      <c r="I64" s="38">
        <f>G64-E64</f>
        <v>-2049929.06</v>
      </c>
    </row>
    <row r="65" spans="1:9" x14ac:dyDescent="0.25">
      <c r="A65" s="9">
        <v>29</v>
      </c>
      <c r="B65" s="11"/>
      <c r="C65" s="18" t="s">
        <v>66</v>
      </c>
      <c r="D65" s="65">
        <f>'EAST-CON-FLSH'!L65</f>
        <v>0</v>
      </c>
      <c r="E65" s="66">
        <f>'EAST-CON-FLSH'!M65</f>
        <v>0</v>
      </c>
      <c r="F65" s="60">
        <f>'EAST-CON-GL '!D65</f>
        <v>19106742</v>
      </c>
      <c r="G65" s="38">
        <f>'EAST-CON-GL '!E65</f>
        <v>1981332.07</v>
      </c>
      <c r="H65" s="60">
        <f>F65-D65</f>
        <v>19106742</v>
      </c>
      <c r="I65" s="38">
        <f>G65-E65</f>
        <v>1981332.07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68597</v>
      </c>
      <c r="F66" s="61">
        <f t="shared" si="12"/>
        <v>-1085249</v>
      </c>
      <c r="G66" s="39">
        <f t="shared" si="12"/>
        <v>1.0000000009313226E-2</v>
      </c>
      <c r="H66" s="61">
        <f t="shared" si="12"/>
        <v>-1085249</v>
      </c>
      <c r="I66" s="39">
        <f t="shared" si="12"/>
        <v>-68596.989999999991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'EAST-CON-FLSH'!L70</f>
        <v>0</v>
      </c>
      <c r="E70" s="66">
        <f>'EAST-CON-FLSH'!M70</f>
        <v>5679557.9450000003</v>
      </c>
      <c r="F70" s="60">
        <f>'EAST-CON-GL '!D70</f>
        <v>0</v>
      </c>
      <c r="G70" s="38">
        <f>'EAST-CON-GL '!E70</f>
        <v>5679557.9500000002</v>
      </c>
      <c r="H70" s="60">
        <f>F70-D70</f>
        <v>0</v>
      </c>
      <c r="I70" s="38">
        <f>G70-E70</f>
        <v>4.999999888241291E-3</v>
      </c>
    </row>
    <row r="71" spans="1:9" x14ac:dyDescent="0.25">
      <c r="A71" s="9">
        <v>31</v>
      </c>
      <c r="B71" s="3"/>
      <c r="C71" s="10" t="s">
        <v>71</v>
      </c>
      <c r="D71" s="65">
        <f>'EAST-CON-FLSH'!L71</f>
        <v>0</v>
      </c>
      <c r="E71" s="66">
        <f>'EAST-CON-FLSH'!M71</f>
        <v>-2849704.85</v>
      </c>
      <c r="F71" s="60">
        <f>'EAST-CON-GL '!D71</f>
        <v>0</v>
      </c>
      <c r="G71" s="38">
        <f>'EAST-CON-GL '!E71</f>
        <v>-2849706</v>
      </c>
      <c r="H71" s="60">
        <f>F71-D71</f>
        <v>0</v>
      </c>
      <c r="I71" s="38">
        <f>G71-E71</f>
        <v>-1.1499999999068677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2829853.0950000002</v>
      </c>
      <c r="F72" s="69">
        <f t="shared" si="13"/>
        <v>0</v>
      </c>
      <c r="G72" s="70">
        <f t="shared" si="13"/>
        <v>2829851.95</v>
      </c>
      <c r="H72" s="69">
        <f t="shared" si="13"/>
        <v>0</v>
      </c>
      <c r="I72" s="70">
        <f t="shared" si="13"/>
        <v>-1.1450000000186265</v>
      </c>
    </row>
    <row r="73" spans="1:9" x14ac:dyDescent="0.25">
      <c r="A73" s="9">
        <v>32</v>
      </c>
      <c r="B73" s="3"/>
      <c r="C73" s="10" t="s">
        <v>73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'EAST-CON-FLSH'!L74</f>
        <v>0</v>
      </c>
      <c r="E74" s="66">
        <f>'EAST-CON-FLSH'!M74</f>
        <v>-1040060</v>
      </c>
      <c r="F74" s="60">
        <f>'EAST-CON-GL '!D74</f>
        <v>0</v>
      </c>
      <c r="G74" s="38">
        <f>'EAST-CON-GL '!E74</f>
        <v>-1847776</v>
      </c>
      <c r="H74" s="60">
        <f t="shared" ref="H74:I79" si="14">F74-D74</f>
        <v>0</v>
      </c>
      <c r="I74" s="38">
        <f t="shared" si="14"/>
        <v>-807716</v>
      </c>
    </row>
    <row r="75" spans="1:9" x14ac:dyDescent="0.25">
      <c r="A75" s="9">
        <v>34</v>
      </c>
      <c r="B75" s="3"/>
      <c r="C75" s="10" t="s">
        <v>75</v>
      </c>
      <c r="D75" s="65">
        <f>'EAST-CON-FLSH'!L75</f>
        <v>0</v>
      </c>
      <c r="E75" s="66">
        <f>'EAST-CON-FLSH'!M75</f>
        <v>17993</v>
      </c>
      <c r="F75" s="60">
        <f>'EAST-CON-GL '!D75</f>
        <v>0</v>
      </c>
      <c r="G75" s="38">
        <f>'EAST-CON-GL '!E75</f>
        <v>59000</v>
      </c>
      <c r="H75" s="60">
        <f t="shared" si="14"/>
        <v>0</v>
      </c>
      <c r="I75" s="38">
        <f t="shared" si="14"/>
        <v>41007</v>
      </c>
    </row>
    <row r="76" spans="1:9" x14ac:dyDescent="0.25">
      <c r="A76" s="9">
        <v>35</v>
      </c>
      <c r="B76" s="3"/>
      <c r="C76" s="10" t="s">
        <v>76</v>
      </c>
      <c r="D76" s="65">
        <f>'EAST-CON-FLSH'!L76</f>
        <v>0</v>
      </c>
      <c r="E76" s="66">
        <f>'EAST-CON-FLSH'!M76</f>
        <v>-19109</v>
      </c>
      <c r="F76" s="60">
        <f>'EAST-CON-GL '!D76</f>
        <v>0</v>
      </c>
      <c r="G76" s="38">
        <f>'EAST-CON-GL '!E76</f>
        <v>-259215.52</v>
      </c>
      <c r="H76" s="60">
        <f t="shared" si="14"/>
        <v>0</v>
      </c>
      <c r="I76" s="38">
        <f t="shared" si="14"/>
        <v>-240106.52</v>
      </c>
    </row>
    <row r="77" spans="1:9" x14ac:dyDescent="0.25">
      <c r="A77" s="9">
        <v>36</v>
      </c>
      <c r="B77" s="3"/>
      <c r="C77" s="10" t="s">
        <v>77</v>
      </c>
      <c r="D77" s="65">
        <f>'EAST-CON-FLSH'!L77</f>
        <v>0</v>
      </c>
      <c r="E77" s="66">
        <f>'EAST-CON-FLSH'!M77</f>
        <v>-1036809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-2897000</v>
      </c>
    </row>
    <row r="78" spans="1:9" x14ac:dyDescent="0.25">
      <c r="A78" s="9">
        <v>37</v>
      </c>
      <c r="B78" s="3"/>
      <c r="C78" s="10" t="s">
        <v>78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79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224706</v>
      </c>
      <c r="H79" s="60">
        <f t="shared" si="14"/>
        <v>0</v>
      </c>
      <c r="I79" s="38">
        <f t="shared" si="14"/>
        <v>224706</v>
      </c>
    </row>
    <row r="80" spans="1:9" x14ac:dyDescent="0.25">
      <c r="A80" s="9">
        <v>39</v>
      </c>
      <c r="B80" s="3"/>
      <c r="C80" s="10" t="s">
        <v>80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'EAST-CON-FLSH'!L81</f>
        <v>0</v>
      </c>
      <c r="E81" s="66">
        <f>'EAST-CON-FLSH'!M81</f>
        <v>-2667035</v>
      </c>
      <c r="F81" s="60">
        <f>'EAST-CON-GL '!D81</f>
        <v>1116361</v>
      </c>
      <c r="G81" s="38">
        <f>'EAST-CON-GL '!E81</f>
        <v>789835.96</v>
      </c>
      <c r="H81" s="60">
        <f>F81-D81</f>
        <v>1116361</v>
      </c>
      <c r="I81" s="38">
        <f>G81-E81</f>
        <v>3456870.96</v>
      </c>
    </row>
    <row r="82" spans="1:63" s="2" customFormat="1" ht="20.25" customHeight="1" thickBot="1" x14ac:dyDescent="0.3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-2107173.4978267765</v>
      </c>
      <c r="F82" s="111">
        <f>F16+F24+F29+F36+F43+F45+F47+F49</f>
        <v>2250</v>
      </c>
      <c r="G82" s="112">
        <f>SUM(G72:G81)+G16+G24+G29+G36+G43+G45+G47+G49+G51+G56+G61+G66</f>
        <v>-1911174.4050000212</v>
      </c>
      <c r="H82" s="111">
        <f>H16+H24+H29+H36+H43+H45+H47+H49</f>
        <v>2250</v>
      </c>
      <c r="I82" s="112">
        <f>SUM(I72:I81)+I16+I24+I29+I36+I43+I45+I47+I49+I51+I56+I61+I66</f>
        <v>195999.09282676323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176</v>
      </c>
      <c r="D86" s="173">
        <f>'EAST-CON-FLSH'!L86</f>
        <v>0</v>
      </c>
      <c r="E86" s="173">
        <f>'EAST-CON-FLSH'!M86</f>
        <v>219364</v>
      </c>
      <c r="F86" s="173">
        <f>'EAST-CON-GL '!D86</f>
        <v>0</v>
      </c>
      <c r="G86" s="173">
        <f>'EAST-CON-GL '!E86</f>
        <v>229124</v>
      </c>
      <c r="H86" s="173">
        <f t="shared" ref="H86:I88" si="15">F86-D86</f>
        <v>0</v>
      </c>
      <c r="I86" s="173">
        <f t="shared" si="15"/>
        <v>9760</v>
      </c>
    </row>
    <row r="87" spans="1:63" x14ac:dyDescent="0.25">
      <c r="A87" s="172"/>
      <c r="B87" s="3"/>
      <c r="C87" s="10" t="s">
        <v>74</v>
      </c>
      <c r="D87" s="174">
        <f>'EAST-CON-FLSH'!L87</f>
        <v>0</v>
      </c>
      <c r="E87" s="174">
        <f>'EAST-CON-FLSH'!M87</f>
        <v>0</v>
      </c>
      <c r="F87" s="174">
        <f>'EAST-CON-GL '!D87</f>
        <v>0</v>
      </c>
      <c r="G87" s="174">
        <f>'EAST-CON-GL 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75</v>
      </c>
      <c r="D88" s="175">
        <f>'EAST-CON-FLSH'!L88</f>
        <v>0</v>
      </c>
      <c r="E88" s="175">
        <f>'EAST-CON-FLSH'!M88</f>
        <v>0</v>
      </c>
      <c r="F88" s="175">
        <f>'EAST-CON-GL '!D88</f>
        <v>0</v>
      </c>
      <c r="G88" s="175">
        <f>'EAST-CON-GL '!E88</f>
        <v>-9800</v>
      </c>
      <c r="H88" s="175">
        <f t="shared" si="15"/>
        <v>0</v>
      </c>
      <c r="I88" s="175">
        <f t="shared" si="15"/>
        <v>-9800</v>
      </c>
    </row>
    <row r="89" spans="1:63" ht="15" x14ac:dyDescent="0.25">
      <c r="A89" s="179"/>
      <c r="B89" s="180"/>
      <c r="C89" s="185" t="s">
        <v>179</v>
      </c>
      <c r="D89" s="183">
        <f t="shared" ref="D89:I89" si="16">SUM(D86:D88)</f>
        <v>0</v>
      </c>
      <c r="E89" s="183">
        <f t="shared" si="16"/>
        <v>219364</v>
      </c>
      <c r="F89" s="183">
        <f t="shared" si="16"/>
        <v>0</v>
      </c>
      <c r="G89" s="183">
        <f t="shared" si="16"/>
        <v>219324</v>
      </c>
      <c r="H89" s="183">
        <f t="shared" si="16"/>
        <v>0</v>
      </c>
      <c r="I89" s="183">
        <f t="shared" si="16"/>
        <v>-40</v>
      </c>
    </row>
    <row r="90" spans="1:63" x14ac:dyDescent="0.25">
      <c r="A90" s="4"/>
      <c r="B90" s="3"/>
      <c r="F90" s="31"/>
      <c r="G90" s="31"/>
      <c r="H90" s="31"/>
      <c r="I90" s="31"/>
    </row>
    <row r="91" spans="1:63" s="143" customFormat="1" x14ac:dyDescent="0.25">
      <c r="A91" s="186"/>
      <c r="B91" s="187"/>
      <c r="C91" s="185" t="s">
        <v>182</v>
      </c>
      <c r="D91" s="188">
        <f t="shared" ref="D91:I91" si="17">+D82+D89</f>
        <v>0</v>
      </c>
      <c r="E91" s="188">
        <f t="shared" si="17"/>
        <v>-1887809.4978267765</v>
      </c>
      <c r="F91" s="188">
        <f t="shared" si="17"/>
        <v>2250</v>
      </c>
      <c r="G91" s="188">
        <f t="shared" si="17"/>
        <v>-1691850.4050000212</v>
      </c>
      <c r="H91" s="188">
        <f t="shared" si="17"/>
        <v>2250</v>
      </c>
      <c r="I91" s="188">
        <f t="shared" si="17"/>
        <v>195959.09282676323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92"/>
      <c r="B94" s="193"/>
      <c r="D94" s="31"/>
      <c r="E94" s="14">
        <f>+'EAST-EGM-VAR'!E91+'EAST-LRC-VAR'!E82</f>
        <v>-1887809.4978267881</v>
      </c>
      <c r="G94" s="14">
        <f>+'EAST-EGM-VAR'!G91+'EAST-LRC-VAR'!G82</f>
        <v>-1691850.4249999714</v>
      </c>
      <c r="I94" s="14">
        <f>+'EAST-EGM-VAR'!I91+'EAST-LRC-VAR'!I82</f>
        <v>195959.07282682369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29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30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31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29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30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31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39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43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44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45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50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59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63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66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71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73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75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76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77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78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80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'TX-EGM-FLSH'!L11</f>
        <v>48318940</v>
      </c>
      <c r="E11" s="66">
        <f>'TX-EGM-FLSH'!M11</f>
        <v>108156193.66999999</v>
      </c>
      <c r="F11" s="60">
        <f>'TX-EGM-GL'!D11</f>
        <v>47688785</v>
      </c>
      <c r="G11" s="38">
        <f>'TX-EGM-GL'!E11</f>
        <v>104001855.53</v>
      </c>
      <c r="H11" s="60">
        <f>F11-D11</f>
        <v>-630155</v>
      </c>
      <c r="I11" s="38">
        <f>G11-E11</f>
        <v>-4154338.1399999857</v>
      </c>
    </row>
    <row r="12" spans="1:22" x14ac:dyDescent="0.25">
      <c r="A12" s="9">
        <v>2</v>
      </c>
      <c r="B12" s="7"/>
      <c r="C12" s="18" t="s">
        <v>29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-3223285.24</v>
      </c>
      <c r="H12" s="60">
        <f>F12-D12</f>
        <v>0</v>
      </c>
      <c r="I12" s="38">
        <f>G12-E12</f>
        <v>-3223285.24</v>
      </c>
    </row>
    <row r="13" spans="1:22" x14ac:dyDescent="0.25">
      <c r="A13" s="9">
        <v>3</v>
      </c>
      <c r="B13" s="7"/>
      <c r="C13" s="18" t="s">
        <v>30</v>
      </c>
      <c r="D13" s="65">
        <f>'TX-EGM-FLSH'!L13</f>
        <v>0</v>
      </c>
      <c r="E13" s="66">
        <f>'TX-EGM-FLSH'!M13</f>
        <v>0</v>
      </c>
      <c r="F13" s="60">
        <f>'TX-EGM-GL'!D13</f>
        <v>28708483</v>
      </c>
      <c r="G13" s="38">
        <f>'TX-EGM-GL'!E13</f>
        <v>65345130</v>
      </c>
      <c r="H13" s="60">
        <f t="shared" ref="H13:I15" si="0">F13-D13</f>
        <v>28708483</v>
      </c>
      <c r="I13" s="38">
        <f t="shared" si="0"/>
        <v>65345130</v>
      </c>
    </row>
    <row r="14" spans="1:22" x14ac:dyDescent="0.25">
      <c r="A14" s="9">
        <v>4</v>
      </c>
      <c r="B14" s="7"/>
      <c r="C14" s="18" t="s">
        <v>31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48318940</v>
      </c>
      <c r="E16" s="39">
        <f t="shared" si="1"/>
        <v>108156193.66999999</v>
      </c>
      <c r="F16" s="61">
        <f t="shared" si="1"/>
        <v>76397268</v>
      </c>
      <c r="G16" s="39">
        <f t="shared" si="1"/>
        <v>166123700.29000002</v>
      </c>
      <c r="H16" s="61">
        <f t="shared" si="1"/>
        <v>28078328</v>
      </c>
      <c r="I16" s="39">
        <f t="shared" si="1"/>
        <v>57967506.620000012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'TX-EGM-FLSH'!L19</f>
        <v>-47849624</v>
      </c>
      <c r="E19" s="66">
        <f>'TX-EGM-FLSH'!M19</f>
        <v>-105545250.86999999</v>
      </c>
      <c r="F19" s="60">
        <f>'TX-EGM-GL'!D19</f>
        <v>-33592249</v>
      </c>
      <c r="G19" s="38">
        <f>'TX-EGM-GL'!E19</f>
        <v>-73128552.680000037</v>
      </c>
      <c r="H19" s="60">
        <f>F19-D19</f>
        <v>14257375</v>
      </c>
      <c r="I19" s="38">
        <f>G19-E19</f>
        <v>32416698.189999953</v>
      </c>
    </row>
    <row r="20" spans="1:9" x14ac:dyDescent="0.25">
      <c r="A20" s="9">
        <v>7</v>
      </c>
      <c r="B20" s="7"/>
      <c r="C20" s="18" t="s">
        <v>29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5455023.3499999996</v>
      </c>
      <c r="H20" s="60">
        <f>F20-D20</f>
        <v>0</v>
      </c>
      <c r="I20" s="38">
        <f>G20-E20</f>
        <v>5455023.3499999996</v>
      </c>
    </row>
    <row r="21" spans="1:9" x14ac:dyDescent="0.25">
      <c r="A21" s="9">
        <v>8</v>
      </c>
      <c r="B21" s="7"/>
      <c r="C21" s="18" t="s">
        <v>30</v>
      </c>
      <c r="D21" s="65">
        <f>'TX-EGM-FLSH'!L21</f>
        <v>-1728732</v>
      </c>
      <c r="E21" s="66">
        <f>'TX-EGM-FLSH'!M21</f>
        <v>-3845421.13</v>
      </c>
      <c r="F21" s="60">
        <f>'TX-EGM-GL'!D21</f>
        <v>-30437214</v>
      </c>
      <c r="G21" s="38">
        <f>'TX-EGM-GL'!E21</f>
        <v>-69190550</v>
      </c>
      <c r="H21" s="60">
        <f t="shared" ref="H21:I23" si="2">F21-D21</f>
        <v>-28708482</v>
      </c>
      <c r="I21" s="38">
        <f t="shared" si="2"/>
        <v>-65345128.869999997</v>
      </c>
    </row>
    <row r="22" spans="1:9" x14ac:dyDescent="0.25">
      <c r="A22" s="9">
        <v>9</v>
      </c>
      <c r="B22" s="7"/>
      <c r="C22" s="18" t="s">
        <v>31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'TX-EGM-FLSH'!L23</f>
        <v>15826</v>
      </c>
      <c r="E23" s="66">
        <f>'TX-EGM-FLSH'!M23</f>
        <v>35650.74</v>
      </c>
      <c r="F23" s="60">
        <f>'TX-EGM-GL'!D23</f>
        <v>2985</v>
      </c>
      <c r="G23" s="38">
        <f>'TX-EGM-GL'!E23</f>
        <v>6510.2849999999999</v>
      </c>
      <c r="H23" s="60">
        <f t="shared" si="2"/>
        <v>-12841</v>
      </c>
      <c r="I23" s="38">
        <f t="shared" si="2"/>
        <v>-29140.454999999998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-49562530</v>
      </c>
      <c r="E24" s="39">
        <f t="shared" si="3"/>
        <v>-109355021.25999999</v>
      </c>
      <c r="F24" s="61">
        <f t="shared" si="3"/>
        <v>-64026478</v>
      </c>
      <c r="G24" s="39">
        <f t="shared" si="3"/>
        <v>-136857569.04500005</v>
      </c>
      <c r="H24" s="61">
        <f t="shared" si="3"/>
        <v>-14463948</v>
      </c>
      <c r="I24" s="39">
        <f t="shared" si="3"/>
        <v>-27502547.785000041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'TX-EGM-FLSH'!L27</f>
        <v>28708482</v>
      </c>
      <c r="E27" s="66">
        <f>'TX-EGM-FLSH'!M27</f>
        <v>65345122.939999998</v>
      </c>
      <c r="F27" s="60">
        <f>'TX-EGM-GL'!D27</f>
        <v>152219</v>
      </c>
      <c r="G27" s="38">
        <f>'TX-EGM-GL'!E27</f>
        <v>340595.12</v>
      </c>
      <c r="H27" s="60">
        <f>F27-D27</f>
        <v>-28556263</v>
      </c>
      <c r="I27" s="38">
        <f>G27-E27</f>
        <v>-65004527.82</v>
      </c>
    </row>
    <row r="28" spans="1:9" x14ac:dyDescent="0.25">
      <c r="A28" s="9">
        <v>12</v>
      </c>
      <c r="B28" s="7"/>
      <c r="C28" s="18" t="s">
        <v>39</v>
      </c>
      <c r="D28" s="65">
        <f>'TX-EGM-FLSH'!L28</f>
        <v>-28733492</v>
      </c>
      <c r="E28" s="66">
        <f>'TX-EGM-FLSH'!M28</f>
        <v>-65401145.100000001</v>
      </c>
      <c r="F28" s="60">
        <f>'TX-EGM-GL'!D28</f>
        <v>-14786680</v>
      </c>
      <c r="G28" s="38">
        <f>'TX-EGM-GL'!E28</f>
        <v>-32993767.929999992</v>
      </c>
      <c r="H28" s="60">
        <f>F28-D28</f>
        <v>13946812</v>
      </c>
      <c r="I28" s="38">
        <f>G28-E28</f>
        <v>32407377.170000009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-25010</v>
      </c>
      <c r="E29" s="70">
        <f t="shared" si="4"/>
        <v>-56022.160000003874</v>
      </c>
      <c r="F29" s="69">
        <f t="shared" si="4"/>
        <v>-14634461</v>
      </c>
      <c r="G29" s="70">
        <f t="shared" si="4"/>
        <v>-32653172.809999991</v>
      </c>
      <c r="H29" s="69">
        <f t="shared" si="4"/>
        <v>-14609451</v>
      </c>
      <c r="I29" s="70">
        <f t="shared" si="4"/>
        <v>-32597150.649999991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'TX-EGM-FLSH'!L32</f>
        <v>0</v>
      </c>
      <c r="E32" s="66">
        <f>'TX-EGM-FLSH'!M32</f>
        <v>0</v>
      </c>
      <c r="F32" s="60">
        <f>'TX-EGM-GL'!D32</f>
        <v>-218378</v>
      </c>
      <c r="G32" s="38">
        <f>'TX-EGM-GL'!E32</f>
        <v>-476282.69800000021</v>
      </c>
      <c r="H32" s="60">
        <f>F32-D32</f>
        <v>-218378</v>
      </c>
      <c r="I32" s="38">
        <f>G32-E32</f>
        <v>-476282.69800000021</v>
      </c>
    </row>
    <row r="33" spans="1:9" x14ac:dyDescent="0.25">
      <c r="A33" s="9">
        <v>14</v>
      </c>
      <c r="B33" s="7"/>
      <c r="C33" s="18" t="s">
        <v>43</v>
      </c>
      <c r="D33" s="65">
        <f>'TX-EGM-FLSH'!L33</f>
        <v>87461</v>
      </c>
      <c r="E33" s="66">
        <f>'TX-EGM-FLSH'!M33</f>
        <v>158941.20053762317</v>
      </c>
      <c r="F33" s="60">
        <f>'TX-EGM-GL'!D33</f>
        <v>0</v>
      </c>
      <c r="G33" s="38">
        <f>'TX-EGM-GL'!E33</f>
        <v>0</v>
      </c>
      <c r="H33" s="60">
        <f t="shared" ref="H33:I35" si="5">F33-D33</f>
        <v>-87461</v>
      </c>
      <c r="I33" s="38">
        <f t="shared" si="5"/>
        <v>-158941.20053762317</v>
      </c>
    </row>
    <row r="34" spans="1:9" x14ac:dyDescent="0.25">
      <c r="A34" s="9">
        <v>15</v>
      </c>
      <c r="B34" s="7"/>
      <c r="C34" s="18" t="s">
        <v>44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45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87461</v>
      </c>
      <c r="E36" s="39">
        <f t="shared" si="6"/>
        <v>158941.20053762317</v>
      </c>
      <c r="F36" s="61">
        <f t="shared" si="6"/>
        <v>-218378</v>
      </c>
      <c r="G36" s="39">
        <f t="shared" si="6"/>
        <v>-476282.6880000002</v>
      </c>
      <c r="H36" s="61">
        <f t="shared" si="6"/>
        <v>-305839</v>
      </c>
      <c r="I36" s="39">
        <f t="shared" si="6"/>
        <v>-635223.88853762334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'TX-EGM-FLSH'!L39</f>
        <v>2109056</v>
      </c>
      <c r="E39" s="66">
        <f>'TX-EGM-FLSH'!M39</f>
        <v>4713318.3499999996</v>
      </c>
      <c r="F39" s="60">
        <f>'TX-EGM-GL'!D39</f>
        <v>2177098</v>
      </c>
      <c r="G39" s="38">
        <f>'TX-EGM-GL'!E39</f>
        <v>5142866.3500000006</v>
      </c>
      <c r="H39" s="60">
        <f t="shared" ref="H39:I41" si="7">F39-D39</f>
        <v>68042</v>
      </c>
      <c r="I39" s="38">
        <f t="shared" si="7"/>
        <v>429548.00000000093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'TX-EGM-FLSH'!L40</f>
        <v>-927917</v>
      </c>
      <c r="E40" s="66">
        <f>'TX-EGM-FLSH'!M40</f>
        <v>-2073864.9</v>
      </c>
      <c r="F40" s="60">
        <f>'TX-EGM-GL'!D40</f>
        <v>-10738</v>
      </c>
      <c r="G40" s="38">
        <f>'TX-EGM-GL'!E40</f>
        <v>-27433.810000000009</v>
      </c>
      <c r="H40" s="60">
        <f t="shared" si="7"/>
        <v>917179</v>
      </c>
      <c r="I40" s="38">
        <f t="shared" si="7"/>
        <v>2046431.0899999999</v>
      </c>
    </row>
    <row r="41" spans="1:9" x14ac:dyDescent="0.25">
      <c r="A41" s="9">
        <v>19</v>
      </c>
      <c r="B41" s="7"/>
      <c r="C41" s="18" t="s">
        <v>50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78532</v>
      </c>
      <c r="H41" s="60">
        <f t="shared" si="7"/>
        <v>0</v>
      </c>
      <c r="I41" s="38">
        <f t="shared" si="7"/>
        <v>78532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-927917</v>
      </c>
      <c r="E42" s="70">
        <f t="shared" si="8"/>
        <v>-2073864.9</v>
      </c>
      <c r="F42" s="69">
        <f t="shared" si="8"/>
        <v>-10738</v>
      </c>
      <c r="G42" s="70">
        <f t="shared" si="8"/>
        <v>51098.189999999988</v>
      </c>
      <c r="H42" s="69">
        <f t="shared" si="8"/>
        <v>917179</v>
      </c>
      <c r="I42" s="70">
        <f t="shared" si="8"/>
        <v>2124963.09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1181139</v>
      </c>
      <c r="E43" s="39">
        <f t="shared" si="9"/>
        <v>2639453.4499999997</v>
      </c>
      <c r="F43" s="61">
        <f t="shared" si="9"/>
        <v>2166360</v>
      </c>
      <c r="G43" s="39">
        <f t="shared" si="9"/>
        <v>5193964.540000001</v>
      </c>
      <c r="H43" s="61">
        <f t="shared" si="9"/>
        <v>985221</v>
      </c>
      <c r="I43" s="39">
        <f t="shared" si="9"/>
        <v>2554511.0900000008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315689</v>
      </c>
      <c r="G49" s="38">
        <f>'TX-EGM-GL'!E49</f>
        <v>688154.07199999969</v>
      </c>
      <c r="H49" s="60">
        <f>F49-D49</f>
        <v>315689</v>
      </c>
      <c r="I49" s="38">
        <f>G49-E49</f>
        <v>688154.07199999969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'TX-EGM-FLSH'!L51</f>
        <v>-15826</v>
      </c>
      <c r="E51" s="66">
        <f>'TX-EGM-FLSH'!M51</f>
        <v>-25000</v>
      </c>
      <c r="F51" s="60">
        <f>'TX-EGM-GL'!D51</f>
        <v>-2985</v>
      </c>
      <c r="G51" s="38">
        <f>'TX-EGM-GL'!E51</f>
        <v>-6510.2849999999999</v>
      </c>
      <c r="H51" s="60">
        <f>F51-D51</f>
        <v>12841</v>
      </c>
      <c r="I51" s="38">
        <f>G51-E51</f>
        <v>18489.715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'TX-EGM-FLSH'!L54</f>
        <v>0</v>
      </c>
      <c r="E54" s="66">
        <f>'TX-EGM-FLSH'!M54</f>
        <v>-977752.72</v>
      </c>
      <c r="F54" s="60">
        <f>'TX-EGM-GL'!D54</f>
        <v>-7111924</v>
      </c>
      <c r="G54" s="38">
        <f>'TX-EGM-GL'!E54</f>
        <v>-406270.73000000004</v>
      </c>
      <c r="H54" s="60">
        <f>F54-D54</f>
        <v>-7111924</v>
      </c>
      <c r="I54" s="38">
        <f>G54-E54</f>
        <v>571481.99</v>
      </c>
    </row>
    <row r="55" spans="1:9" x14ac:dyDescent="0.25">
      <c r="A55" s="9">
        <v>25</v>
      </c>
      <c r="B55" s="7"/>
      <c r="C55" s="18" t="s">
        <v>59</v>
      </c>
      <c r="D55" s="65">
        <f>'TX-EGM-FLSH'!L55</f>
        <v>0</v>
      </c>
      <c r="E55" s="66">
        <f>'TX-EGM-FLSH'!M55</f>
        <v>-15000</v>
      </c>
      <c r="F55" s="60">
        <f>'TX-EGM-GL'!D55</f>
        <v>2834</v>
      </c>
      <c r="G55" s="38">
        <f>'TX-EGM-GL'!E55</f>
        <v>2956.3799999999997</v>
      </c>
      <c r="H55" s="60">
        <f>F55-D55</f>
        <v>2834</v>
      </c>
      <c r="I55" s="38">
        <f>G55-E55</f>
        <v>17956.38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-992752.72</v>
      </c>
      <c r="F56" s="61">
        <f t="shared" si="10"/>
        <v>-7109090</v>
      </c>
      <c r="G56" s="39">
        <f t="shared" si="10"/>
        <v>-403314.35000000003</v>
      </c>
      <c r="H56" s="61">
        <f t="shared" si="10"/>
        <v>-7109090</v>
      </c>
      <c r="I56" s="39">
        <f t="shared" si="10"/>
        <v>589438.37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40780.620000000003</v>
      </c>
      <c r="H59" s="60">
        <f>F59-D59</f>
        <v>0</v>
      </c>
      <c r="I59" s="38">
        <f>G59-E59</f>
        <v>40780.620000000003</v>
      </c>
    </row>
    <row r="60" spans="1:9" x14ac:dyDescent="0.25">
      <c r="A60" s="9">
        <v>27</v>
      </c>
      <c r="B60" s="11"/>
      <c r="C60" s="18" t="s">
        <v>63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40780.620000000003</v>
      </c>
      <c r="H61" s="69">
        <f t="shared" si="11"/>
        <v>0</v>
      </c>
      <c r="I61" s="70">
        <f t="shared" si="11"/>
        <v>40780.620000000003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'TX-EGM-FLSH'!L64</f>
        <v>0</v>
      </c>
      <c r="E64" s="66">
        <f>'TX-EGM-FLSH'!M64</f>
        <v>0</v>
      </c>
      <c r="F64" s="60">
        <f>'TX-EGM-GL'!D64</f>
        <v>-44769270</v>
      </c>
      <c r="G64" s="38">
        <f>'TX-EGM-GL'!E64</f>
        <v>-1120692.8800000001</v>
      </c>
      <c r="H64" s="60">
        <f>F64-D64</f>
        <v>-44769270</v>
      </c>
      <c r="I64" s="38">
        <f>G64-E64</f>
        <v>-1120692.8800000001</v>
      </c>
    </row>
    <row r="65" spans="1:9" x14ac:dyDescent="0.25">
      <c r="A65" s="9">
        <v>29</v>
      </c>
      <c r="B65" s="11"/>
      <c r="C65" s="18" t="s">
        <v>66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1115981</v>
      </c>
      <c r="H65" s="60">
        <f>F65-D65</f>
        <v>0</v>
      </c>
      <c r="I65" s="38">
        <f>G65-E65</f>
        <v>1115981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-44769270</v>
      </c>
      <c r="G66" s="39">
        <f t="shared" si="12"/>
        <v>-4711.8800000001211</v>
      </c>
      <c r="H66" s="61">
        <f t="shared" si="12"/>
        <v>-44769270</v>
      </c>
      <c r="I66" s="39">
        <f t="shared" si="12"/>
        <v>-4711.8800000001211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'TX-EGM-FLSH'!L70</f>
        <v>0</v>
      </c>
      <c r="E70" s="66">
        <f>'TX-EGM-FLSH'!M70</f>
        <v>722248.91</v>
      </c>
      <c r="F70" s="60">
        <f>'TX-EGM-GL'!D70</f>
        <v>0</v>
      </c>
      <c r="G70" s="38">
        <f>'TX-EGM-GL'!E70</f>
        <v>722248.91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71</v>
      </c>
      <c r="D71" s="65">
        <f>'TX-EGM-FLSH'!L71</f>
        <v>0</v>
      </c>
      <c r="E71" s="66">
        <f>'TX-EGM-FLSH'!M71</f>
        <v>-250999</v>
      </c>
      <c r="F71" s="60">
        <f>'TX-EGM-GL'!D71</f>
        <v>0</v>
      </c>
      <c r="G71" s="38">
        <f>'TX-EGM-GL'!E71</f>
        <v>-250999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471249.91000000003</v>
      </c>
      <c r="F72" s="69">
        <f t="shared" si="13"/>
        <v>0</v>
      </c>
      <c r="G72" s="70">
        <f t="shared" si="13"/>
        <v>471249.91000000003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73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'TX-EGM-FLSH'!L74</f>
        <v>0</v>
      </c>
      <c r="E74" s="66">
        <f>'TX-EGM-FLSH'!M74</f>
        <v>740576.15</v>
      </c>
      <c r="F74" s="60">
        <f>'TX-EGM-GL'!D74</f>
        <v>0</v>
      </c>
      <c r="G74" s="38">
        <f>'TX-EGM-GL'!E74</f>
        <v>787615</v>
      </c>
      <c r="H74" s="60">
        <f t="shared" ref="H74:I79" si="14">F74-D74</f>
        <v>0</v>
      </c>
      <c r="I74" s="38">
        <f t="shared" si="14"/>
        <v>47038.849999999977</v>
      </c>
    </row>
    <row r="75" spans="1:9" x14ac:dyDescent="0.25">
      <c r="A75" s="9">
        <v>34</v>
      </c>
      <c r="B75" s="3"/>
      <c r="C75" s="10" t="s">
        <v>75</v>
      </c>
      <c r="D75" s="65">
        <f>'TX-EGM-FLSH'!L75</f>
        <v>0</v>
      </c>
      <c r="E75" s="66">
        <f>'TX-EGM-FLSH'!M75</f>
        <v>126894</v>
      </c>
      <c r="F75" s="60">
        <f>'TX-EGM-GL'!D75</f>
        <v>0</v>
      </c>
      <c r="G75" s="38">
        <f>'TX-EGM-GL'!E75</f>
        <v>126900</v>
      </c>
      <c r="H75" s="60">
        <f t="shared" si="14"/>
        <v>0</v>
      </c>
      <c r="I75" s="38">
        <f t="shared" si="14"/>
        <v>6</v>
      </c>
    </row>
    <row r="76" spans="1:9" x14ac:dyDescent="0.25">
      <c r="A76" s="9">
        <v>35</v>
      </c>
      <c r="B76" s="3"/>
      <c r="C76" s="10" t="s">
        <v>76</v>
      </c>
      <c r="D76" s="65">
        <f>'TX-EGM-FLSH'!L76</f>
        <v>0</v>
      </c>
      <c r="E76" s="66">
        <f>'TX-EGM-FLSH'!M76</f>
        <v>-22536</v>
      </c>
      <c r="F76" s="60">
        <f>'TX-EGM-GL'!D76</f>
        <v>0</v>
      </c>
      <c r="G76" s="38">
        <f>'TX-EGM-GL'!E76</f>
        <v>-247584</v>
      </c>
      <c r="H76" s="60">
        <f t="shared" si="14"/>
        <v>0</v>
      </c>
      <c r="I76" s="38">
        <f t="shared" si="14"/>
        <v>-225048</v>
      </c>
    </row>
    <row r="77" spans="1:9" x14ac:dyDescent="0.25">
      <c r="A77" s="9">
        <v>36</v>
      </c>
      <c r="B77" s="3"/>
      <c r="C77" s="10" t="s">
        <v>77</v>
      </c>
      <c r="D77" s="65">
        <f>'TX-EGM-FLSH'!L77</f>
        <v>0</v>
      </c>
      <c r="E77" s="66">
        <f>'TX-EGM-FLSH'!M77</f>
        <v>-103300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103300</v>
      </c>
    </row>
    <row r="78" spans="1:9" x14ac:dyDescent="0.25">
      <c r="A78" s="9">
        <v>37</v>
      </c>
      <c r="B78" s="3"/>
      <c r="C78" s="10" t="s">
        <v>78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80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'TX-EGM-FLSH'!L81</f>
        <v>0</v>
      </c>
      <c r="E81" s="66">
        <f>'TX-EGM-FLSH'!M81</f>
        <v>166908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-166908</v>
      </c>
    </row>
    <row r="82" spans="1:63" s="2" customFormat="1" ht="20.25" customHeight="1" thickBot="1" x14ac:dyDescent="0.3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1905584.2405376181</v>
      </c>
      <c r="F82" s="111">
        <f>F16+F24+F29+F36+F43+F45+F47+F49</f>
        <v>0</v>
      </c>
      <c r="G82" s="112">
        <f>SUM(G72:G81)+G16+G24+G29+G36+G43+G45+G47+G49+G51+G56+G61+G66</f>
        <v>2783219.3739999803</v>
      </c>
      <c r="H82" s="111">
        <f>H16+H24+H29+H36+H43+H45+H47+H49</f>
        <v>0</v>
      </c>
      <c r="I82" s="112">
        <f>SUM(I72:I81)+I16+I24+I29+I36+I43+I45+I47+I49+I51+I56+I61+I66</f>
        <v>877635.13346235838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176</v>
      </c>
      <c r="D86" s="173">
        <f>'TX-EGM-FLSH'!L86</f>
        <v>0</v>
      </c>
      <c r="E86" s="173">
        <f>'TX-EGM-FLSH'!M86</f>
        <v>114066</v>
      </c>
      <c r="F86" s="173">
        <f>'TX-EGM-GL'!D86</f>
        <v>0</v>
      </c>
      <c r="G86" s="173">
        <f>'TX-EGM-GL'!E86</f>
        <v>5825473</v>
      </c>
      <c r="H86" s="173">
        <f t="shared" ref="H86:I88" si="15">F86-D86</f>
        <v>0</v>
      </c>
      <c r="I86" s="173">
        <f t="shared" si="15"/>
        <v>5711407</v>
      </c>
    </row>
    <row r="87" spans="1:63" x14ac:dyDescent="0.25">
      <c r="A87" s="172"/>
      <c r="B87" s="3"/>
      <c r="C87" s="10" t="s">
        <v>74</v>
      </c>
      <c r="D87" s="174">
        <f>'TX-EGM-FLSH'!L87</f>
        <v>0</v>
      </c>
      <c r="E87" s="174">
        <f>'TX-EGM-FLSH'!M87</f>
        <v>0</v>
      </c>
      <c r="F87" s="174">
        <f>'TX-EGM-GL'!D87</f>
        <v>0</v>
      </c>
      <c r="G87" s="174">
        <f>'TX-EGM-GL'!E87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75</v>
      </c>
      <c r="D88" s="175">
        <f>'TX-EGM-FLSH'!L88</f>
        <v>0</v>
      </c>
      <c r="E88" s="175">
        <f>'TX-EGM-FLSH'!M88</f>
        <v>-113464</v>
      </c>
      <c r="F88" s="175">
        <f>'TX-EGM-GL'!D88</f>
        <v>0</v>
      </c>
      <c r="G88" s="175">
        <f>'TX-EGM-GL'!E88</f>
        <v>-5830400</v>
      </c>
      <c r="H88" s="175">
        <f t="shared" si="15"/>
        <v>0</v>
      </c>
      <c r="I88" s="175">
        <f t="shared" si="15"/>
        <v>-5716936</v>
      </c>
    </row>
    <row r="89" spans="1:63" s="143" customFormat="1" x14ac:dyDescent="0.25">
      <c r="A89" s="186"/>
      <c r="B89" s="187"/>
      <c r="C89" s="185" t="s">
        <v>179</v>
      </c>
      <c r="D89" s="188">
        <f t="shared" ref="D89:I89" si="16">SUM(D86:D88)</f>
        <v>0</v>
      </c>
      <c r="E89" s="188">
        <f t="shared" si="16"/>
        <v>602</v>
      </c>
      <c r="F89" s="188">
        <f t="shared" si="16"/>
        <v>0</v>
      </c>
      <c r="G89" s="188">
        <f t="shared" si="16"/>
        <v>-4927</v>
      </c>
      <c r="H89" s="188">
        <f t="shared" si="16"/>
        <v>0</v>
      </c>
      <c r="I89" s="188">
        <f t="shared" si="16"/>
        <v>-5529</v>
      </c>
    </row>
    <row r="90" spans="1:63" s="143" customFormat="1" x14ac:dyDescent="0.25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5">
      <c r="A91" s="186"/>
      <c r="B91" s="187"/>
      <c r="C91" s="185" t="s">
        <v>182</v>
      </c>
      <c r="D91" s="188">
        <f t="shared" ref="D91:I91" si="17">+D82+D89</f>
        <v>0</v>
      </c>
      <c r="E91" s="188">
        <f t="shared" si="17"/>
        <v>1906186.2405376181</v>
      </c>
      <c r="F91" s="188">
        <f t="shared" si="17"/>
        <v>0</v>
      </c>
      <c r="G91" s="188">
        <f t="shared" si="17"/>
        <v>2778292.3739999803</v>
      </c>
      <c r="H91" s="188">
        <f t="shared" si="17"/>
        <v>0</v>
      </c>
      <c r="I91" s="188">
        <f t="shared" si="17"/>
        <v>872106.13346235838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'TX-HPL-FLSH'!L11</f>
        <v>1071329</v>
      </c>
      <c r="E11" s="66">
        <f>'TX-HPL-FLSH'!M11</f>
        <v>2372467.3300000131</v>
      </c>
      <c r="F11" s="60">
        <f>'TX-HPL-GL '!D11</f>
        <v>962126</v>
      </c>
      <c r="G11" s="38">
        <f>'TX-HPL-GL '!E11</f>
        <v>2104875.1900000004</v>
      </c>
      <c r="H11" s="60">
        <f>F11-D11</f>
        <v>-109203</v>
      </c>
      <c r="I11" s="38">
        <f>G11-E11</f>
        <v>-267592.1400000127</v>
      </c>
    </row>
    <row r="12" spans="1:22" x14ac:dyDescent="0.25">
      <c r="A12" s="9">
        <v>2</v>
      </c>
      <c r="B12" s="7"/>
      <c r="C12" s="18" t="s">
        <v>29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-8636.77</v>
      </c>
      <c r="H12" s="60">
        <f>F12-D12</f>
        <v>0</v>
      </c>
      <c r="I12" s="38">
        <f>G12-E12</f>
        <v>-8636.77</v>
      </c>
    </row>
    <row r="13" spans="1:22" x14ac:dyDescent="0.25">
      <c r="A13" s="9">
        <v>3</v>
      </c>
      <c r="B13" s="7"/>
      <c r="C13" s="18" t="s">
        <v>30</v>
      </c>
      <c r="D13" s="65">
        <f>'TX-HPL-FLSH'!L13</f>
        <v>0</v>
      </c>
      <c r="E13" s="66">
        <f>'TX-HPL-FLSH'!M13</f>
        <v>0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31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1071329</v>
      </c>
      <c r="E16" s="39">
        <f t="shared" si="1"/>
        <v>2372467.3300000131</v>
      </c>
      <c r="F16" s="61">
        <f t="shared" si="1"/>
        <v>962126</v>
      </c>
      <c r="G16" s="39">
        <f t="shared" si="1"/>
        <v>2096238.4200000004</v>
      </c>
      <c r="H16" s="61">
        <f t="shared" si="1"/>
        <v>-109203</v>
      </c>
      <c r="I16" s="39">
        <f t="shared" si="1"/>
        <v>-276228.91000001272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'TX-HPL-FLSH'!L19</f>
        <v>-1143041</v>
      </c>
      <c r="E19" s="66">
        <f>'TX-HPL-FLSH'!M19</f>
        <v>-2493269.1300000101</v>
      </c>
      <c r="F19" s="60">
        <f>'TX-HPL-GL '!D19</f>
        <v>-1065864</v>
      </c>
      <c r="G19" s="38">
        <f>'TX-HPL-GL '!E19</f>
        <v>-2287666.0299999998</v>
      </c>
      <c r="H19" s="60">
        <f>F19-D19</f>
        <v>77177</v>
      </c>
      <c r="I19" s="38">
        <f>G19-E19</f>
        <v>205603.10000001034</v>
      </c>
    </row>
    <row r="20" spans="1:9" x14ac:dyDescent="0.25">
      <c r="A20" s="9">
        <v>7</v>
      </c>
      <c r="B20" s="7"/>
      <c r="C20" s="18" t="s">
        <v>29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-10002.44</v>
      </c>
      <c r="H20" s="60">
        <f>F20-D20</f>
        <v>0</v>
      </c>
      <c r="I20" s="38">
        <f>G20-E20</f>
        <v>-10002.44</v>
      </c>
    </row>
    <row r="21" spans="1:9" x14ac:dyDescent="0.25">
      <c r="A21" s="9">
        <v>8</v>
      </c>
      <c r="B21" s="7"/>
      <c r="C21" s="18" t="s">
        <v>30</v>
      </c>
      <c r="D21" s="65">
        <f>'TX-HPL-FLSH'!L21</f>
        <v>0</v>
      </c>
      <c r="E21" s="66">
        <f>'TX-HPL-FLSH'!M21</f>
        <v>1.1299999998882413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-1.1299999998882413</v>
      </c>
    </row>
    <row r="22" spans="1:9" x14ac:dyDescent="0.25">
      <c r="A22" s="9">
        <v>9</v>
      </c>
      <c r="B22" s="7"/>
      <c r="C22" s="18" t="s">
        <v>31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'TX-HPL-FLSH'!L23</f>
        <v>0</v>
      </c>
      <c r="E23" s="66">
        <f>'TX-HPL-FLSH'!M23</f>
        <v>-1.7399999999979627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1.7399999999979627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-1143041</v>
      </c>
      <c r="E24" s="39">
        <f t="shared" si="3"/>
        <v>-2493269.7400000105</v>
      </c>
      <c r="F24" s="61">
        <f t="shared" si="3"/>
        <v>-1065864</v>
      </c>
      <c r="G24" s="39">
        <f t="shared" si="3"/>
        <v>-2297668.4699999997</v>
      </c>
      <c r="H24" s="61">
        <f t="shared" si="3"/>
        <v>77177</v>
      </c>
      <c r="I24" s="39">
        <f t="shared" si="3"/>
        <v>195601.27000001044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'TX-HPL-FLSH'!L27</f>
        <v>25010</v>
      </c>
      <c r="E27" s="66">
        <f>'TX-HPL-FLSH'!M27</f>
        <v>56029.060000002384</v>
      </c>
      <c r="F27" s="60">
        <f>'TX-HPL-GL '!D27</f>
        <v>110708</v>
      </c>
      <c r="G27" s="38">
        <f>'TX-HPL-GL '!E27</f>
        <v>239524.14950000003</v>
      </c>
      <c r="H27" s="60">
        <f>F27-D27</f>
        <v>85698</v>
      </c>
      <c r="I27" s="38">
        <f>G27-E27</f>
        <v>183495.08949999764</v>
      </c>
    </row>
    <row r="28" spans="1:9" x14ac:dyDescent="0.25">
      <c r="A28" s="9">
        <v>12</v>
      </c>
      <c r="B28" s="7"/>
      <c r="C28" s="18" t="s">
        <v>39</v>
      </c>
      <c r="D28" s="65">
        <f>'TX-HPL-FLSH'!L28</f>
        <v>0</v>
      </c>
      <c r="E28" s="66">
        <f>'TX-HPL-FLSH'!M28</f>
        <v>-6.8999999985098839</v>
      </c>
      <c r="F28" s="60">
        <f>'TX-HPL-GL '!D28</f>
        <v>-6990</v>
      </c>
      <c r="G28" s="38">
        <f>'TX-HPL-GL '!E28</f>
        <v>-15862.28</v>
      </c>
      <c r="H28" s="60">
        <f>F28-D28</f>
        <v>-6990</v>
      </c>
      <c r="I28" s="38">
        <f>G28-E28</f>
        <v>-15855.380000001491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25010</v>
      </c>
      <c r="E29" s="70">
        <f t="shared" si="4"/>
        <v>56022.160000003874</v>
      </c>
      <c r="F29" s="69">
        <f t="shared" si="4"/>
        <v>103718</v>
      </c>
      <c r="G29" s="70">
        <f t="shared" si="4"/>
        <v>223661.86950000003</v>
      </c>
      <c r="H29" s="69">
        <f t="shared" si="4"/>
        <v>78708</v>
      </c>
      <c r="I29" s="70">
        <f t="shared" si="4"/>
        <v>167639.70949999616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'TX-HPL-FLSH'!L32</f>
        <v>0</v>
      </c>
      <c r="E32" s="66">
        <f>'TX-HPL-FLSH'!M32</f>
        <v>0</v>
      </c>
      <c r="F32" s="60">
        <f>'TX-HPL-GL '!D32</f>
        <v>20</v>
      </c>
      <c r="G32" s="38">
        <f>'TX-HPL-GL '!E32</f>
        <v>43.62</v>
      </c>
      <c r="H32" s="60">
        <f>F32-D32</f>
        <v>20</v>
      </c>
      <c r="I32" s="38">
        <f>G32-E32</f>
        <v>43.62</v>
      </c>
    </row>
    <row r="33" spans="1:9" x14ac:dyDescent="0.25">
      <c r="A33" s="9">
        <v>14</v>
      </c>
      <c r="B33" s="7"/>
      <c r="C33" s="18" t="s">
        <v>43</v>
      </c>
      <c r="D33" s="65">
        <f>'TX-HPL-FLSH'!L33</f>
        <v>46702</v>
      </c>
      <c r="E33" s="66">
        <f>'TX-HPL-FLSH'!M33</f>
        <v>133722.13958130774</v>
      </c>
      <c r="F33" s="60">
        <f>'TX-HPL-GL '!D33</f>
        <v>0</v>
      </c>
      <c r="G33" s="38">
        <f>'TX-HPL-GL '!E33</f>
        <v>0</v>
      </c>
      <c r="H33" s="60">
        <f t="shared" ref="H33:I35" si="5">F33-D33</f>
        <v>-46702</v>
      </c>
      <c r="I33" s="38">
        <f t="shared" si="5"/>
        <v>-133722.13958130774</v>
      </c>
    </row>
    <row r="34" spans="1:9" x14ac:dyDescent="0.25">
      <c r="A34" s="9">
        <v>15</v>
      </c>
      <c r="B34" s="7"/>
      <c r="C34" s="18" t="s">
        <v>44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45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46702</v>
      </c>
      <c r="E36" s="39">
        <f t="shared" si="6"/>
        <v>133722.13958130774</v>
      </c>
      <c r="F36" s="61">
        <f t="shared" si="6"/>
        <v>20</v>
      </c>
      <c r="G36" s="39">
        <f t="shared" si="6"/>
        <v>43.62</v>
      </c>
      <c r="H36" s="61">
        <f t="shared" si="6"/>
        <v>-46682</v>
      </c>
      <c r="I36" s="39">
        <f t="shared" si="6"/>
        <v>-133678.51958130774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'TX-HPL-FLSH'!L39</f>
        <v>0</v>
      </c>
      <c r="E39" s="66">
        <f>'TX-HPL-FLSH'!M39</f>
        <v>-0.34999999962747097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0.34999999962747097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'TX-HPL-FLSH'!L40</f>
        <v>0</v>
      </c>
      <c r="E40" s="66">
        <f>'TX-HPL-FLSH'!M40</f>
        <v>-0.10000000009313226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0.10000000009313226</v>
      </c>
    </row>
    <row r="41" spans="1:9" x14ac:dyDescent="0.25">
      <c r="A41" s="9">
        <v>19</v>
      </c>
      <c r="B41" s="7"/>
      <c r="C41" s="18" t="s">
        <v>50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-0.10000000009313226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0.10000000009313226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-0.44999999972060323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0.44999999972060323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'TX-HPL-FLSH'!L51</f>
        <v>15826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-15826</v>
      </c>
      <c r="I51" s="38">
        <f>G51-E51</f>
        <v>-25000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59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-642398</v>
      </c>
      <c r="H55" s="60">
        <f>F55-D55</f>
        <v>0</v>
      </c>
      <c r="I55" s="38">
        <f>G55-E55</f>
        <v>-642398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-642398</v>
      </c>
      <c r="H56" s="61">
        <f t="shared" si="10"/>
        <v>0</v>
      </c>
      <c r="I56" s="39">
        <f t="shared" si="10"/>
        <v>-642398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1949.96</v>
      </c>
      <c r="H59" s="60">
        <f>F59-D59</f>
        <v>0</v>
      </c>
      <c r="I59" s="38">
        <f>G59-E59</f>
        <v>1949.96</v>
      </c>
    </row>
    <row r="60" spans="1:9" x14ac:dyDescent="0.25">
      <c r="A60" s="9">
        <v>27</v>
      </c>
      <c r="B60" s="11"/>
      <c r="C60" s="18" t="s">
        <v>63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1949.96</v>
      </c>
      <c r="H61" s="69">
        <f t="shared" si="11"/>
        <v>0</v>
      </c>
      <c r="I61" s="70">
        <f t="shared" si="11"/>
        <v>1949.96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'TX-HPL-FLSH'!L64</f>
        <v>0</v>
      </c>
      <c r="E64" s="66">
        <f>'TX-HPL-FLSH'!M64</f>
        <v>0</v>
      </c>
      <c r="F64" s="60">
        <f>'TX-HPL-GL '!D64</f>
        <v>-892549</v>
      </c>
      <c r="G64" s="38">
        <f>'TX-HPL-GL '!E64</f>
        <v>-92304.300000000017</v>
      </c>
      <c r="H64" s="60">
        <f>F64-D64</f>
        <v>-892549</v>
      </c>
      <c r="I64" s="38">
        <f>G64-E64</f>
        <v>-92304.300000000017</v>
      </c>
    </row>
    <row r="65" spans="1:9" x14ac:dyDescent="0.25">
      <c r="A65" s="9">
        <v>29</v>
      </c>
      <c r="B65" s="11"/>
      <c r="C65" s="18" t="s">
        <v>66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92201</v>
      </c>
      <c r="H65" s="60">
        <f>F65-D65</f>
        <v>0</v>
      </c>
      <c r="I65" s="38">
        <f>G65-E65</f>
        <v>92201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-892549</v>
      </c>
      <c r="G66" s="39">
        <f t="shared" si="12"/>
        <v>-103.30000000001746</v>
      </c>
      <c r="H66" s="61">
        <f t="shared" si="12"/>
        <v>-892549</v>
      </c>
      <c r="I66" s="39">
        <f t="shared" si="12"/>
        <v>-103.30000000001746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71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73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75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76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77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78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80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93941.439581314538</v>
      </c>
      <c r="F82" s="111">
        <f>F16+F24+F29+F36+F43+F45+F47+F49</f>
        <v>0</v>
      </c>
      <c r="G82" s="112">
        <f>SUM(G72:G81)+G16+G24+G29+G36+G43+G45+G47+G49+G51+G56+G61+G66</f>
        <v>-618276.34049999935</v>
      </c>
      <c r="H82" s="111">
        <f>H16+H24+H29+H36+H43+H45+H47+H49</f>
        <v>0</v>
      </c>
      <c r="I82" s="112">
        <f>SUM(I72:I81)+I16+I24+I29+I36+I43+I45+I47+I49+I51+I56+I61+I66</f>
        <v>-712217.78008131427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H73" sqref="H7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'TX-CON-FLSH'!L11</f>
        <v>49390269</v>
      </c>
      <c r="E11" s="66">
        <f>'TX-CON-FLSH'!M11</f>
        <v>110528661</v>
      </c>
      <c r="F11" s="60">
        <f>'TX-CON-GL '!D11</f>
        <v>48650911</v>
      </c>
      <c r="G11" s="38">
        <f>'TX-CON-GL '!E11</f>
        <v>106109461.81000002</v>
      </c>
      <c r="H11" s="60">
        <f>F11-D11</f>
        <v>-739358</v>
      </c>
      <c r="I11" s="38">
        <f>G11-E11</f>
        <v>-4419199.1899999827</v>
      </c>
    </row>
    <row r="12" spans="1:22" x14ac:dyDescent="0.25">
      <c r="A12" s="9">
        <v>2</v>
      </c>
      <c r="B12" s="7"/>
      <c r="C12" s="18" t="s">
        <v>29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-3231922.0100000002</v>
      </c>
      <c r="H12" s="60">
        <f>F12-D12</f>
        <v>0</v>
      </c>
      <c r="I12" s="38">
        <f>G12-E12</f>
        <v>-3231922.0100000002</v>
      </c>
    </row>
    <row r="13" spans="1:22" x14ac:dyDescent="0.25">
      <c r="A13" s="9">
        <v>3</v>
      </c>
      <c r="B13" s="7"/>
      <c r="C13" s="18" t="s">
        <v>30</v>
      </c>
      <c r="D13" s="65">
        <f>'TX-CON-FLSH'!L13</f>
        <v>0</v>
      </c>
      <c r="E13" s="66">
        <f>'TX-CON-FLSH'!M13</f>
        <v>0</v>
      </c>
      <c r="F13" s="60">
        <f>'TX-CON-GL '!D13</f>
        <v>28708483</v>
      </c>
      <c r="G13" s="38">
        <f>'TX-CON-GL '!E13</f>
        <v>65345130</v>
      </c>
      <c r="H13" s="60">
        <f t="shared" ref="H13:I15" si="0">F13-D13</f>
        <v>28708483</v>
      </c>
      <c r="I13" s="38">
        <f t="shared" si="0"/>
        <v>65345130</v>
      </c>
    </row>
    <row r="14" spans="1:22" x14ac:dyDescent="0.25">
      <c r="A14" s="9">
        <v>4</v>
      </c>
      <c r="B14" s="7"/>
      <c r="C14" s="18" t="s">
        <v>31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49390269</v>
      </c>
      <c r="E16" s="39">
        <f t="shared" si="1"/>
        <v>110528661</v>
      </c>
      <c r="F16" s="61">
        <f t="shared" si="1"/>
        <v>77359394</v>
      </c>
      <c r="G16" s="39">
        <f t="shared" si="1"/>
        <v>168222669.80000001</v>
      </c>
      <c r="H16" s="61">
        <f t="shared" si="1"/>
        <v>27969125</v>
      </c>
      <c r="I16" s="39">
        <f t="shared" si="1"/>
        <v>57694008.800000019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'TX-CON-FLSH'!L19</f>
        <v>-48992665</v>
      </c>
      <c r="E19" s="66">
        <f>'TX-CON-FLSH'!M19</f>
        <v>-108038520</v>
      </c>
      <c r="F19" s="60">
        <f>'TX-CON-GL '!D19</f>
        <v>-34613267</v>
      </c>
      <c r="G19" s="38">
        <f>'TX-CON-GL '!E19</f>
        <v>-75317594.370000035</v>
      </c>
      <c r="H19" s="60">
        <f>F19-D19</f>
        <v>14379398</v>
      </c>
      <c r="I19" s="38">
        <f>G19-E19</f>
        <v>32720925.629999965</v>
      </c>
    </row>
    <row r="20" spans="1:9" x14ac:dyDescent="0.25">
      <c r="A20" s="9">
        <v>7</v>
      </c>
      <c r="B20" s="7"/>
      <c r="C20" s="18" t="s">
        <v>29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5445020.9099999992</v>
      </c>
      <c r="H20" s="60">
        <f>F20-D20</f>
        <v>0</v>
      </c>
      <c r="I20" s="38">
        <f>G20-E20</f>
        <v>5445020.9099999992</v>
      </c>
    </row>
    <row r="21" spans="1:9" x14ac:dyDescent="0.25">
      <c r="A21" s="9">
        <v>8</v>
      </c>
      <c r="B21" s="7"/>
      <c r="C21" s="18" t="s">
        <v>30</v>
      </c>
      <c r="D21" s="65">
        <f>'TX-CON-FLSH'!L21</f>
        <v>-1728732</v>
      </c>
      <c r="E21" s="66">
        <f>'TX-CON-FLSH'!M21</f>
        <v>-3845420</v>
      </c>
      <c r="F21" s="60">
        <f>'TX-CON-GL '!D21</f>
        <v>-30437214</v>
      </c>
      <c r="G21" s="38">
        <f>'TX-CON-GL '!E21</f>
        <v>-69190550</v>
      </c>
      <c r="H21" s="60">
        <f t="shared" ref="H21:I23" si="2">F21-D21</f>
        <v>-28708482</v>
      </c>
      <c r="I21" s="38">
        <f t="shared" si="2"/>
        <v>-65345130</v>
      </c>
    </row>
    <row r="22" spans="1:9" x14ac:dyDescent="0.25">
      <c r="A22" s="9">
        <v>9</v>
      </c>
      <c r="B22" s="7"/>
      <c r="C22" s="18" t="s">
        <v>31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'TX-CON-FLSH'!L23</f>
        <v>15826</v>
      </c>
      <c r="E23" s="66">
        <f>'TX-CON-FLSH'!M23</f>
        <v>35649</v>
      </c>
      <c r="F23" s="60">
        <f>'TX-CON-GL '!D23</f>
        <v>2985</v>
      </c>
      <c r="G23" s="38">
        <f>'TX-CON-GL '!E23</f>
        <v>6510.2849999999999</v>
      </c>
      <c r="H23" s="60">
        <f t="shared" si="2"/>
        <v>-12841</v>
      </c>
      <c r="I23" s="38">
        <f t="shared" si="2"/>
        <v>-29138.715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-50705571</v>
      </c>
      <c r="E24" s="39">
        <f t="shared" si="3"/>
        <v>-111848291</v>
      </c>
      <c r="F24" s="61">
        <f t="shared" si="3"/>
        <v>-65047496</v>
      </c>
      <c r="G24" s="39">
        <f t="shared" si="3"/>
        <v>-139056613.17500004</v>
      </c>
      <c r="H24" s="61">
        <f t="shared" si="3"/>
        <v>-14341925</v>
      </c>
      <c r="I24" s="39">
        <f t="shared" si="3"/>
        <v>-27208322.175000038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'TX-CON-FLSH'!L27</f>
        <v>28733492</v>
      </c>
      <c r="E27" s="66">
        <f>'TX-CON-FLSH'!M27</f>
        <v>65401152</v>
      </c>
      <c r="F27" s="60">
        <f>'TX-CON-GL '!D27</f>
        <v>253557</v>
      </c>
      <c r="G27" s="38">
        <f>'TX-CON-GL '!E27</f>
        <v>559505.26949999994</v>
      </c>
      <c r="H27" s="60">
        <f>F27-D27</f>
        <v>-28479935</v>
      </c>
      <c r="I27" s="38">
        <f>G27-E27</f>
        <v>-64841646.730499998</v>
      </c>
    </row>
    <row r="28" spans="1:9" x14ac:dyDescent="0.25">
      <c r="A28" s="9">
        <v>12</v>
      </c>
      <c r="B28" s="7"/>
      <c r="C28" s="18" t="s">
        <v>39</v>
      </c>
      <c r="D28" s="65">
        <f>'TX-CON-FLSH'!L28</f>
        <v>-28733492</v>
      </c>
      <c r="E28" s="66">
        <f>'TX-CON-FLSH'!M28</f>
        <v>-65401152</v>
      </c>
      <c r="F28" s="60">
        <f>'TX-CON-GL '!D28</f>
        <v>-14784300</v>
      </c>
      <c r="G28" s="38">
        <f>'TX-CON-GL '!E28</f>
        <v>-32989016.209999993</v>
      </c>
      <c r="H28" s="60">
        <f>F28-D28</f>
        <v>13949192</v>
      </c>
      <c r="I28" s="38">
        <f>G28-E28</f>
        <v>32412135.790000007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-14530743</v>
      </c>
      <c r="G29" s="70">
        <f t="shared" si="4"/>
        <v>-32429510.940499995</v>
      </c>
      <c r="H29" s="69">
        <f t="shared" si="4"/>
        <v>-14530743</v>
      </c>
      <c r="I29" s="70">
        <f t="shared" si="4"/>
        <v>-32429510.940499991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'TX-CON-FLSH'!L32</f>
        <v>0</v>
      </c>
      <c r="E32" s="66">
        <f>'TX-CON-FLSH'!M32</f>
        <v>0</v>
      </c>
      <c r="F32" s="60">
        <f>'TX-CON-GL '!D32</f>
        <v>-200292</v>
      </c>
      <c r="G32" s="38">
        <f>'TX-CON-GL '!E32</f>
        <v>-436837.13799999986</v>
      </c>
      <c r="H32" s="60">
        <f>F32-D32</f>
        <v>-200292</v>
      </c>
      <c r="I32" s="38">
        <f>G32-E32</f>
        <v>-436837.13799999986</v>
      </c>
    </row>
    <row r="33" spans="1:9" x14ac:dyDescent="0.25">
      <c r="A33" s="9">
        <v>14</v>
      </c>
      <c r="B33" s="7"/>
      <c r="C33" s="18" t="s">
        <v>43</v>
      </c>
      <c r="D33" s="65">
        <f>'TX-CON-FLSH'!L33</f>
        <v>134163</v>
      </c>
      <c r="E33" s="66">
        <f>'TX-CON-FLSH'!M33</f>
        <v>292663.34011893091</v>
      </c>
      <c r="F33" s="60">
        <f>'TX-CON-GL '!D33</f>
        <v>0</v>
      </c>
      <c r="G33" s="38">
        <f>'TX-CON-GL '!E33</f>
        <v>0</v>
      </c>
      <c r="H33" s="60">
        <f t="shared" ref="H33:I35" si="5">F33-D33</f>
        <v>-134163</v>
      </c>
      <c r="I33" s="38">
        <f t="shared" si="5"/>
        <v>-292663.34011893091</v>
      </c>
    </row>
    <row r="34" spans="1:9" x14ac:dyDescent="0.25">
      <c r="A34" s="9">
        <v>15</v>
      </c>
      <c r="B34" s="7"/>
      <c r="C34" s="18" t="s">
        <v>44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45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134163</v>
      </c>
      <c r="E36" s="39">
        <f t="shared" si="6"/>
        <v>292663.34011893091</v>
      </c>
      <c r="F36" s="61">
        <f t="shared" si="6"/>
        <v>-200292</v>
      </c>
      <c r="G36" s="39">
        <f t="shared" si="6"/>
        <v>-436837.12799999985</v>
      </c>
      <c r="H36" s="61">
        <f t="shared" si="6"/>
        <v>-334455</v>
      </c>
      <c r="I36" s="39">
        <f t="shared" si="6"/>
        <v>-729500.4681189307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'TX-CON-FLSH'!L39</f>
        <v>2109056</v>
      </c>
      <c r="E39" s="66">
        <f>'TX-CON-FLSH'!M39</f>
        <v>4713318</v>
      </c>
      <c r="F39" s="60">
        <f>'TX-CON-GL '!D39</f>
        <v>2198008</v>
      </c>
      <c r="G39" s="38">
        <f>'TX-CON-GL '!E39</f>
        <v>5192717.8800000008</v>
      </c>
      <c r="H39" s="60">
        <f t="shared" ref="H39:I41" si="7">F39-D39</f>
        <v>88952</v>
      </c>
      <c r="I39" s="38">
        <f t="shared" si="7"/>
        <v>479399.88000000082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'TX-CON-FLSH'!L40</f>
        <v>-927917</v>
      </c>
      <c r="E40" s="66">
        <f>'TX-CON-FLSH'!M40</f>
        <v>-2073865</v>
      </c>
      <c r="F40" s="60">
        <f>'TX-CON-GL '!D40</f>
        <v>-31648</v>
      </c>
      <c r="G40" s="38">
        <f>'TX-CON-GL '!E40</f>
        <v>-70579.3</v>
      </c>
      <c r="H40" s="60">
        <f t="shared" si="7"/>
        <v>896269</v>
      </c>
      <c r="I40" s="38">
        <f t="shared" si="7"/>
        <v>2003285.7</v>
      </c>
    </row>
    <row r="41" spans="1:9" x14ac:dyDescent="0.25">
      <c r="A41" s="9">
        <v>19</v>
      </c>
      <c r="B41" s="7"/>
      <c r="C41" s="18" t="s">
        <v>50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78532</v>
      </c>
      <c r="H41" s="60">
        <f t="shared" si="7"/>
        <v>0</v>
      </c>
      <c r="I41" s="38">
        <f t="shared" si="7"/>
        <v>78532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-927917</v>
      </c>
      <c r="E42" s="70">
        <f t="shared" si="8"/>
        <v>-2073865</v>
      </c>
      <c r="F42" s="69">
        <f t="shared" si="8"/>
        <v>-31648</v>
      </c>
      <c r="G42" s="70">
        <f t="shared" si="8"/>
        <v>7952.6999999999971</v>
      </c>
      <c r="H42" s="69">
        <f t="shared" si="8"/>
        <v>896269</v>
      </c>
      <c r="I42" s="70">
        <f t="shared" si="8"/>
        <v>2081817.7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1181139</v>
      </c>
      <c r="E43" s="39">
        <f t="shared" si="9"/>
        <v>2639453</v>
      </c>
      <c r="F43" s="61">
        <f t="shared" si="9"/>
        <v>2166360</v>
      </c>
      <c r="G43" s="39">
        <f t="shared" si="9"/>
        <v>5200670.580000001</v>
      </c>
      <c r="H43" s="61">
        <f t="shared" si="9"/>
        <v>985221</v>
      </c>
      <c r="I43" s="39">
        <f t="shared" si="9"/>
        <v>2561217.580000001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252777</v>
      </c>
      <c r="G49" s="38">
        <f>'TX-CON-GL '!E49</f>
        <v>554858.92199999979</v>
      </c>
      <c r="H49" s="60">
        <f>F49-D49</f>
        <v>252777</v>
      </c>
      <c r="I49" s="38">
        <f>G49-E49</f>
        <v>554858.92199999979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-2985</v>
      </c>
      <c r="G51" s="38">
        <f>'TX-CON-GL '!E51</f>
        <v>-6510.2849999999999</v>
      </c>
      <c r="H51" s="60">
        <f>F51-D51</f>
        <v>-2985</v>
      </c>
      <c r="I51" s="38">
        <f>G51-E51</f>
        <v>-6510.2849999999999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'TX-CON-FLSH'!L54</f>
        <v>0</v>
      </c>
      <c r="E54" s="66">
        <f>'TX-CON-FLSH'!M54</f>
        <v>-977752.72</v>
      </c>
      <c r="F54" s="60">
        <f>'TX-CON-GL '!D54</f>
        <v>-7146681</v>
      </c>
      <c r="G54" s="38">
        <f>'TX-CON-GL '!E54</f>
        <v>-400753.65</v>
      </c>
      <c r="H54" s="60">
        <f>F54-D54</f>
        <v>-7146681</v>
      </c>
      <c r="I54" s="38">
        <f>G54-E54</f>
        <v>576999.06999999995</v>
      </c>
    </row>
    <row r="55" spans="1:9" x14ac:dyDescent="0.25">
      <c r="A55" s="9">
        <v>25</v>
      </c>
      <c r="B55" s="7"/>
      <c r="C55" s="18" t="s">
        <v>59</v>
      </c>
      <c r="D55" s="65">
        <f>'TX-CON-FLSH'!L55</f>
        <v>0</v>
      </c>
      <c r="E55" s="66">
        <f>'TX-CON-FLSH'!M55</f>
        <v>-15000</v>
      </c>
      <c r="F55" s="60">
        <f>'TX-CON-GL '!D55</f>
        <v>2834</v>
      </c>
      <c r="G55" s="38">
        <f>'TX-CON-GL '!E55</f>
        <v>-642440.51</v>
      </c>
      <c r="H55" s="60">
        <f>F55-D55</f>
        <v>2834</v>
      </c>
      <c r="I55" s="38">
        <f>G55-E55</f>
        <v>-627440.51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-992752.72</v>
      </c>
      <c r="F56" s="61">
        <f t="shared" si="10"/>
        <v>-7143847</v>
      </c>
      <c r="G56" s="39">
        <f t="shared" si="10"/>
        <v>-1043194.16</v>
      </c>
      <c r="H56" s="61">
        <f t="shared" si="10"/>
        <v>-7143847</v>
      </c>
      <c r="I56" s="39">
        <f t="shared" si="10"/>
        <v>-50441.440000000061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42730.58</v>
      </c>
      <c r="H59" s="60">
        <f>F59-D59</f>
        <v>0</v>
      </c>
      <c r="I59" s="38">
        <f>G59-E59</f>
        <v>42730.58</v>
      </c>
    </row>
    <row r="60" spans="1:9" x14ac:dyDescent="0.25">
      <c r="A60" s="9">
        <v>27</v>
      </c>
      <c r="B60" s="11"/>
      <c r="C60" s="18" t="s">
        <v>63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42730.58</v>
      </c>
      <c r="H61" s="69">
        <f t="shared" si="11"/>
        <v>0</v>
      </c>
      <c r="I61" s="70">
        <f t="shared" si="11"/>
        <v>42730.58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'TX-CON-FLSH'!L64</f>
        <v>0</v>
      </c>
      <c r="E64" s="66">
        <f>'TX-CON-FLSH'!M64</f>
        <v>0</v>
      </c>
      <c r="F64" s="60">
        <f>'TX-CON-GL '!D64</f>
        <v>-45661819</v>
      </c>
      <c r="G64" s="38">
        <f>'TX-CON-GL '!E64</f>
        <v>-1212997.18</v>
      </c>
      <c r="H64" s="60">
        <f>F64-D64</f>
        <v>-45661819</v>
      </c>
      <c r="I64" s="38">
        <f>G64-E64</f>
        <v>-1212997.18</v>
      </c>
    </row>
    <row r="65" spans="1:9" x14ac:dyDescent="0.25">
      <c r="A65" s="9">
        <v>29</v>
      </c>
      <c r="B65" s="11"/>
      <c r="C65" s="18" t="s">
        <v>66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1208182</v>
      </c>
      <c r="H65" s="60">
        <f>F65-D65</f>
        <v>0</v>
      </c>
      <c r="I65" s="38">
        <f>G65-E65</f>
        <v>1208182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-45661819</v>
      </c>
      <c r="G66" s="39">
        <f t="shared" si="12"/>
        <v>-4815.1799999999348</v>
      </c>
      <c r="H66" s="61">
        <f t="shared" si="12"/>
        <v>-45661819</v>
      </c>
      <c r="I66" s="39">
        <f t="shared" si="12"/>
        <v>-4815.1799999999348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'TX-CON-FLSH'!L70</f>
        <v>0</v>
      </c>
      <c r="E70" s="66">
        <f>'TX-CON-FLSH'!M70</f>
        <v>722248.91</v>
      </c>
      <c r="F70" s="60">
        <f>'TX-CON-GL '!D70</f>
        <v>0</v>
      </c>
      <c r="G70" s="38">
        <f>'TX-CON-GL '!E70</f>
        <v>722248.91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71</v>
      </c>
      <c r="D71" s="65">
        <f>'TX-CON-FLSH'!L71</f>
        <v>0</v>
      </c>
      <c r="E71" s="66">
        <f>'TX-CON-FLSH'!M71</f>
        <v>-250999</v>
      </c>
      <c r="F71" s="60">
        <f>'TX-CON-GL '!D71</f>
        <v>0</v>
      </c>
      <c r="G71" s="38">
        <f>'TX-CON-GL '!E71</f>
        <v>-250999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471249.91000000003</v>
      </c>
      <c r="F72" s="69">
        <f t="shared" si="13"/>
        <v>0</v>
      </c>
      <c r="G72" s="70">
        <f t="shared" si="13"/>
        <v>471249.91000000003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73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'TX-CON-FLSH'!L74</f>
        <v>0</v>
      </c>
      <c r="E74" s="66">
        <f>'TX-CON-FLSH'!M74</f>
        <v>740576.15</v>
      </c>
      <c r="F74" s="60">
        <f>'TX-CON-GL '!D74</f>
        <v>0</v>
      </c>
      <c r="G74" s="38">
        <f>'TX-CON-GL '!E74</f>
        <v>787615</v>
      </c>
      <c r="H74" s="60">
        <f t="shared" ref="H74:I79" si="14">F74-D74</f>
        <v>0</v>
      </c>
      <c r="I74" s="38">
        <f t="shared" si="14"/>
        <v>47038.849999999977</v>
      </c>
    </row>
    <row r="75" spans="1:9" x14ac:dyDescent="0.25">
      <c r="A75" s="9">
        <v>34</v>
      </c>
      <c r="B75" s="3"/>
      <c r="C75" s="10" t="s">
        <v>75</v>
      </c>
      <c r="D75" s="65">
        <f>'TX-CON-FLSH'!L75</f>
        <v>0</v>
      </c>
      <c r="E75" s="66">
        <f>'TX-CON-FLSH'!M75</f>
        <v>126894</v>
      </c>
      <c r="F75" s="60">
        <f>'TX-CON-GL '!D75</f>
        <v>0</v>
      </c>
      <c r="G75" s="38">
        <f>'TX-CON-GL '!E75</f>
        <v>126900</v>
      </c>
      <c r="H75" s="60">
        <f t="shared" si="14"/>
        <v>0</v>
      </c>
      <c r="I75" s="38">
        <f t="shared" si="14"/>
        <v>6</v>
      </c>
    </row>
    <row r="76" spans="1:9" x14ac:dyDescent="0.25">
      <c r="A76" s="9">
        <v>35</v>
      </c>
      <c r="B76" s="3"/>
      <c r="C76" s="10" t="s">
        <v>76</v>
      </c>
      <c r="D76" s="65">
        <f>'TX-CON-FLSH'!L76</f>
        <v>0</v>
      </c>
      <c r="E76" s="66">
        <f>'TX-CON-FLSH'!M76</f>
        <v>-22536</v>
      </c>
      <c r="F76" s="60">
        <f>'TX-CON-GL '!D76</f>
        <v>0</v>
      </c>
      <c r="G76" s="38">
        <f>'TX-CON-GL '!E76</f>
        <v>-247584</v>
      </c>
      <c r="H76" s="60">
        <f t="shared" si="14"/>
        <v>0</v>
      </c>
      <c r="I76" s="38">
        <f t="shared" si="14"/>
        <v>-225048</v>
      </c>
    </row>
    <row r="77" spans="1:9" x14ac:dyDescent="0.25">
      <c r="A77" s="9">
        <v>36</v>
      </c>
      <c r="B77" s="3"/>
      <c r="C77" s="10" t="s">
        <v>77</v>
      </c>
      <c r="D77" s="65">
        <f>'TX-CON-FLSH'!L77</f>
        <v>0</v>
      </c>
      <c r="E77" s="66">
        <f>'TX-CON-FLSH'!M77</f>
        <v>-103300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103300</v>
      </c>
    </row>
    <row r="78" spans="1:9" x14ac:dyDescent="0.25">
      <c r="A78" s="9">
        <v>37</v>
      </c>
      <c r="B78" s="3"/>
      <c r="C78" s="10" t="s">
        <v>78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80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'TX-CON-FLSH'!L81</f>
        <v>0</v>
      </c>
      <c r="E81" s="66">
        <f>'TX-CON-FLSH'!M81</f>
        <v>166908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-166908</v>
      </c>
    </row>
    <row r="82" spans="1:63" s="2" customFormat="1" ht="20.25" customHeight="1" thickBot="1" x14ac:dyDescent="0.3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1999525.6801189331</v>
      </c>
      <c r="F82" s="111">
        <f>F16+F24+F29+F36+F43+F45+F47+F49</f>
        <v>0</v>
      </c>
      <c r="G82" s="112">
        <f>SUM(G72:G81)+G16+G24+G29+G36+G43+G45+G47+G49+G51+G56+G61+G66</f>
        <v>2181629.4834999721</v>
      </c>
      <c r="H82" s="111">
        <f>H16+H24+H29+H36+H43+H45+H47+H49</f>
        <v>0</v>
      </c>
      <c r="I82" s="112">
        <f>SUM(I72:I81)+I16+I24+I29+I36+I43+I45+I47+I49+I51+I56+I61+I66</f>
        <v>182103.80338106176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176</v>
      </c>
      <c r="D86" s="173">
        <f>'TX-CON-FLSH'!L86</f>
        <v>0</v>
      </c>
      <c r="E86" s="173">
        <f>'TX-CON-FLSH'!M86</f>
        <v>114066</v>
      </c>
      <c r="F86" s="173">
        <f>'TX-CON-GL '!D86</f>
        <v>0</v>
      </c>
      <c r="G86" s="173">
        <f>'TX-CON-GL '!E86</f>
        <v>5825473</v>
      </c>
      <c r="H86" s="173">
        <f t="shared" ref="H86:I88" si="15">F86-D86</f>
        <v>0</v>
      </c>
      <c r="I86" s="173">
        <f t="shared" si="15"/>
        <v>5711407</v>
      </c>
    </row>
    <row r="87" spans="1:63" x14ac:dyDescent="0.25">
      <c r="A87" s="172"/>
      <c r="B87" s="3"/>
      <c r="C87" s="10" t="s">
        <v>74</v>
      </c>
      <c r="D87" s="174">
        <f>'TX-CON-FLSH'!L87</f>
        <v>0</v>
      </c>
      <c r="E87" s="174">
        <f>'TX-CON-FLSH'!M87</f>
        <v>0</v>
      </c>
      <c r="F87" s="174">
        <f>'TX-CON-GL '!D87</f>
        <v>0</v>
      </c>
      <c r="G87" s="174">
        <f>'TX-CON-GL 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75</v>
      </c>
      <c r="D88" s="175">
        <f>'TX-CON-FLSH'!L88</f>
        <v>0</v>
      </c>
      <c r="E88" s="175">
        <f>'TX-CON-FLSH'!M88</f>
        <v>-113464</v>
      </c>
      <c r="F88" s="175">
        <f>'TX-CON-GL '!D88</f>
        <v>0</v>
      </c>
      <c r="G88" s="175">
        <f>'TX-CON-GL '!E88</f>
        <v>-5830400</v>
      </c>
      <c r="H88" s="175">
        <f t="shared" si="15"/>
        <v>0</v>
      </c>
      <c r="I88" s="175">
        <f t="shared" si="15"/>
        <v>-5716936</v>
      </c>
    </row>
    <row r="89" spans="1:63" ht="15" x14ac:dyDescent="0.25">
      <c r="A89" s="179"/>
      <c r="B89" s="180"/>
      <c r="C89" s="185" t="s">
        <v>179</v>
      </c>
      <c r="D89" s="183">
        <f t="shared" ref="D89:I89" si="16">SUM(D86:D88)</f>
        <v>0</v>
      </c>
      <c r="E89" s="183">
        <f t="shared" si="16"/>
        <v>602</v>
      </c>
      <c r="F89" s="183">
        <f t="shared" si="16"/>
        <v>0</v>
      </c>
      <c r="G89" s="183">
        <f t="shared" si="16"/>
        <v>-4927</v>
      </c>
      <c r="H89" s="183">
        <f t="shared" si="16"/>
        <v>0</v>
      </c>
      <c r="I89" s="183">
        <f t="shared" si="16"/>
        <v>-5529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79"/>
      <c r="B91" s="180"/>
      <c r="C91" s="185" t="s">
        <v>182</v>
      </c>
      <c r="D91" s="183">
        <f t="shared" ref="D91:I91" si="17">+D82+D89</f>
        <v>0</v>
      </c>
      <c r="E91" s="183">
        <f t="shared" si="17"/>
        <v>2000127.6801189331</v>
      </c>
      <c r="F91" s="183">
        <f t="shared" si="17"/>
        <v>0</v>
      </c>
      <c r="G91" s="183">
        <f t="shared" si="17"/>
        <v>2176702.4834999721</v>
      </c>
      <c r="H91" s="183">
        <f t="shared" si="17"/>
        <v>0</v>
      </c>
      <c r="I91" s="183">
        <f t="shared" si="17"/>
        <v>176574.80338106176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D92" sqref="D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'WE-FLSH'!L11</f>
        <v>25709008</v>
      </c>
      <c r="E11" s="66">
        <f>'WE-FLSH'!M11</f>
        <v>52991795</v>
      </c>
      <c r="F11" s="60">
        <f>'WE-GL '!D11</f>
        <v>25568174</v>
      </c>
      <c r="G11" s="38">
        <f>'WE-GL '!E11</f>
        <v>52097309.890000001</v>
      </c>
      <c r="H11" s="60">
        <f>F11-D11</f>
        <v>-140834</v>
      </c>
      <c r="I11" s="38">
        <f>G11-E11</f>
        <v>-894485.1099999994</v>
      </c>
    </row>
    <row r="12" spans="1:22" x14ac:dyDescent="0.25">
      <c r="A12" s="9">
        <v>2</v>
      </c>
      <c r="B12" s="7"/>
      <c r="C12" s="18" t="s">
        <v>29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597992.4</v>
      </c>
      <c r="H12" s="60">
        <f>F12-D12</f>
        <v>0</v>
      </c>
      <c r="I12" s="38">
        <f>G12-E12</f>
        <v>597992.4</v>
      </c>
    </row>
    <row r="13" spans="1:22" x14ac:dyDescent="0.25">
      <c r="A13" s="9">
        <v>3</v>
      </c>
      <c r="B13" s="7"/>
      <c r="C13" s="18" t="s">
        <v>30</v>
      </c>
      <c r="D13" s="65">
        <f>'WE-FLSH'!L13</f>
        <v>21934545</v>
      </c>
      <c r="E13" s="66">
        <f>'WE-FLSH'!M13</f>
        <v>46926648</v>
      </c>
      <c r="F13" s="60">
        <f>'WE-GL '!D13</f>
        <v>21435046</v>
      </c>
      <c r="G13" s="38">
        <f>'WE-GL '!E13</f>
        <v>45842195</v>
      </c>
      <c r="H13" s="60">
        <f t="shared" ref="H13:I15" si="0">F13-D13</f>
        <v>-499499</v>
      </c>
      <c r="I13" s="38">
        <f t="shared" si="0"/>
        <v>-1084453</v>
      </c>
    </row>
    <row r="14" spans="1:22" x14ac:dyDescent="0.25">
      <c r="A14" s="9">
        <v>4</v>
      </c>
      <c r="B14" s="7"/>
      <c r="C14" s="18" t="s">
        <v>31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47643553</v>
      </c>
      <c r="E16" s="39">
        <f t="shared" si="1"/>
        <v>99918443</v>
      </c>
      <c r="F16" s="61">
        <f t="shared" si="1"/>
        <v>47003220</v>
      </c>
      <c r="G16" s="39">
        <f t="shared" si="1"/>
        <v>98537497.289999992</v>
      </c>
      <c r="H16" s="61">
        <f t="shared" si="1"/>
        <v>-640333</v>
      </c>
      <c r="I16" s="39">
        <f t="shared" si="1"/>
        <v>-1380945.7099999995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'WE-FLSH'!L19</f>
        <v>-24975750</v>
      </c>
      <c r="E19" s="66">
        <f>'WE-FLSH'!M19</f>
        <v>-50478903</v>
      </c>
      <c r="F19" s="60">
        <f>'WE-GL '!D19</f>
        <v>-28036309</v>
      </c>
      <c r="G19" s="38">
        <f>'WE-GL '!E19</f>
        <v>-55959979.759999998</v>
      </c>
      <c r="H19" s="60">
        <f>F19-D19</f>
        <v>-3060559</v>
      </c>
      <c r="I19" s="38">
        <f>G19-E19</f>
        <v>-5481076.7599999979</v>
      </c>
    </row>
    <row r="20" spans="1:9" x14ac:dyDescent="0.25">
      <c r="A20" s="9">
        <v>7</v>
      </c>
      <c r="B20" s="7"/>
      <c r="C20" s="18" t="s">
        <v>29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-259121.8</v>
      </c>
      <c r="H20" s="60">
        <f>F20-D20</f>
        <v>0</v>
      </c>
      <c r="I20" s="38">
        <f>G20-E20</f>
        <v>-259121.8</v>
      </c>
    </row>
    <row r="21" spans="1:9" x14ac:dyDescent="0.25">
      <c r="A21" s="9">
        <v>8</v>
      </c>
      <c r="B21" s="7"/>
      <c r="C21" s="18" t="s">
        <v>30</v>
      </c>
      <c r="D21" s="65">
        <f>'WE-FLSH'!L21</f>
        <v>-22817932</v>
      </c>
      <c r="E21" s="66">
        <f>'WE-FLSH'!M21</f>
        <v>-48452350</v>
      </c>
      <c r="F21" s="60">
        <f>'WE-GL '!D21</f>
        <v>-19226020</v>
      </c>
      <c r="G21" s="38">
        <f>'WE-GL '!E21</f>
        <v>-41053457</v>
      </c>
      <c r="H21" s="60">
        <f t="shared" ref="H21:I23" si="2">F21-D21</f>
        <v>3591912</v>
      </c>
      <c r="I21" s="38">
        <f t="shared" si="2"/>
        <v>7398893</v>
      </c>
    </row>
    <row r="22" spans="1:9" x14ac:dyDescent="0.25">
      <c r="A22" s="9">
        <v>9</v>
      </c>
      <c r="B22" s="7"/>
      <c r="C22" s="18" t="s">
        <v>31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'WE-FLSH'!L23</f>
        <v>295007</v>
      </c>
      <c r="E23" s="66">
        <f>'WE-FLSH'!M23</f>
        <v>597680</v>
      </c>
      <c r="F23" s="60">
        <f>'WE-GL '!D23</f>
        <v>290422</v>
      </c>
      <c r="G23" s="38">
        <f>'WE-GL '!E23</f>
        <v>604077.75999999989</v>
      </c>
      <c r="H23" s="60">
        <f t="shared" si="2"/>
        <v>-4585</v>
      </c>
      <c r="I23" s="38">
        <f t="shared" si="2"/>
        <v>6397.7599999998929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-47498675</v>
      </c>
      <c r="E24" s="39">
        <f t="shared" si="3"/>
        <v>-98333573</v>
      </c>
      <c r="F24" s="61">
        <f t="shared" si="3"/>
        <v>-46971907</v>
      </c>
      <c r="G24" s="39">
        <f t="shared" si="3"/>
        <v>-96668480.799999997</v>
      </c>
      <c r="H24" s="61">
        <f t="shared" si="3"/>
        <v>526768</v>
      </c>
      <c r="I24" s="39">
        <f t="shared" si="3"/>
        <v>1665092.200000002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39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'WE-FLSH'!L32</f>
        <v>117016</v>
      </c>
      <c r="E32" s="66">
        <f>'WE-FLSH'!M32</f>
        <v>236652</v>
      </c>
      <c r="F32" s="60">
        <f>'WE-GL '!D32</f>
        <v>-16944</v>
      </c>
      <c r="G32" s="38">
        <f>'WE-GL '!E32</f>
        <v>-34566.036999999989</v>
      </c>
      <c r="H32" s="60">
        <f>F32-D32</f>
        <v>-133960</v>
      </c>
      <c r="I32" s="38">
        <f>G32-E32</f>
        <v>-271218.03700000001</v>
      </c>
    </row>
    <row r="33" spans="1:9" x14ac:dyDescent="0.25">
      <c r="A33" s="9">
        <v>14</v>
      </c>
      <c r="B33" s="7"/>
      <c r="C33" s="18" t="s">
        <v>43</v>
      </c>
      <c r="D33" s="65">
        <f>'WE-FLSH'!L33</f>
        <v>-187316</v>
      </c>
      <c r="E33" s="66">
        <f>'WE-FLSH'!M33</f>
        <v>-375003</v>
      </c>
      <c r="F33" s="60">
        <f>'WE-GL '!D33</f>
        <v>-4013</v>
      </c>
      <c r="G33" s="38">
        <f>'WE-GL '!E33</f>
        <v>-8793.2800000000007</v>
      </c>
      <c r="H33" s="60">
        <f t="shared" ref="H33:I35" si="5">F33-D33</f>
        <v>183303</v>
      </c>
      <c r="I33" s="38">
        <f t="shared" si="5"/>
        <v>366209.72</v>
      </c>
    </row>
    <row r="34" spans="1:9" x14ac:dyDescent="0.25">
      <c r="A34" s="9">
        <v>15</v>
      </c>
      <c r="B34" s="7"/>
      <c r="C34" s="18" t="s">
        <v>44</v>
      </c>
      <c r="D34" s="65">
        <f>'WE-FLSH'!L34</f>
        <v>0</v>
      </c>
      <c r="E34" s="66">
        <f>'WE-FLSH'!M34</f>
        <v>0</v>
      </c>
      <c r="F34" s="60">
        <f>'WE-GL '!D34</f>
        <v>428</v>
      </c>
      <c r="G34" s="38">
        <f>'WE-GL '!E34</f>
        <v>901.77</v>
      </c>
      <c r="H34" s="60">
        <f t="shared" si="5"/>
        <v>428</v>
      </c>
      <c r="I34" s="38">
        <f t="shared" si="5"/>
        <v>901.77</v>
      </c>
    </row>
    <row r="35" spans="1:9" x14ac:dyDescent="0.25">
      <c r="A35" s="9">
        <v>16</v>
      </c>
      <c r="B35" s="7"/>
      <c r="C35" s="18" t="s">
        <v>45</v>
      </c>
      <c r="D35" s="65">
        <f>'WE-FLSH'!L35</f>
        <v>0</v>
      </c>
      <c r="E35" s="66">
        <f>'WE-FLSH'!M35</f>
        <v>0</v>
      </c>
      <c r="F35" s="60">
        <f>'WE-GL '!D35</f>
        <v>12669</v>
      </c>
      <c r="G35" s="38">
        <f>'WE-GL '!E35</f>
        <v>26352.01</v>
      </c>
      <c r="H35" s="60">
        <f t="shared" si="5"/>
        <v>12669</v>
      </c>
      <c r="I35" s="38">
        <f t="shared" si="5"/>
        <v>26352.01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-70300</v>
      </c>
      <c r="E36" s="39">
        <f t="shared" si="6"/>
        <v>-138351</v>
      </c>
      <c r="F36" s="61">
        <f t="shared" si="6"/>
        <v>-7860</v>
      </c>
      <c r="G36" s="39">
        <f t="shared" si="6"/>
        <v>-16105.536999999993</v>
      </c>
      <c r="H36" s="61">
        <f t="shared" si="6"/>
        <v>62440</v>
      </c>
      <c r="I36" s="39">
        <f t="shared" si="6"/>
        <v>122245.46299999996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'WE-FLSH'!L39</f>
        <v>48029</v>
      </c>
      <c r="E39" s="66">
        <f>'WE-FLSH'!M39</f>
        <v>92436</v>
      </c>
      <c r="F39" s="60">
        <f>'WE-GL '!D39</f>
        <v>0</v>
      </c>
      <c r="G39" s="38">
        <f>'WE-GL '!E39</f>
        <v>0</v>
      </c>
      <c r="H39" s="60">
        <f t="shared" ref="H39:I41" si="7">F39-D39</f>
        <v>-48029</v>
      </c>
      <c r="I39" s="38">
        <f t="shared" si="7"/>
        <v>-92436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'WE-FLSH'!L40</f>
        <v>-83901</v>
      </c>
      <c r="E40" s="66">
        <f>'WE-FLSH'!M40</f>
        <v>-160416</v>
      </c>
      <c r="F40" s="60">
        <f>'WE-GL '!D40</f>
        <v>0</v>
      </c>
      <c r="G40" s="38">
        <f>'WE-GL '!E40</f>
        <v>0</v>
      </c>
      <c r="H40" s="60">
        <f t="shared" si="7"/>
        <v>83901</v>
      </c>
      <c r="I40" s="38">
        <f t="shared" si="7"/>
        <v>160416</v>
      </c>
    </row>
    <row r="41" spans="1:9" x14ac:dyDescent="0.25">
      <c r="A41" s="9">
        <v>19</v>
      </c>
      <c r="B41" s="7"/>
      <c r="C41" s="18" t="s">
        <v>50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51</v>
      </c>
      <c r="D42" s="61">
        <f t="shared" ref="D42:I42" si="8">SUM(D40:D41)</f>
        <v>-83901</v>
      </c>
      <c r="E42" s="39">
        <f t="shared" si="8"/>
        <v>-160416</v>
      </c>
      <c r="F42" s="61">
        <f t="shared" si="8"/>
        <v>0</v>
      </c>
      <c r="G42" s="39">
        <f t="shared" si="8"/>
        <v>0</v>
      </c>
      <c r="H42" s="61">
        <f t="shared" si="8"/>
        <v>83901</v>
      </c>
      <c r="I42" s="39">
        <f t="shared" si="8"/>
        <v>160416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-35872</v>
      </c>
      <c r="E43" s="39">
        <f t="shared" si="9"/>
        <v>-67980</v>
      </c>
      <c r="F43" s="61">
        <f t="shared" si="9"/>
        <v>0</v>
      </c>
      <c r="G43" s="39">
        <f t="shared" si="9"/>
        <v>0</v>
      </c>
      <c r="H43" s="61">
        <f t="shared" si="9"/>
        <v>35872</v>
      </c>
      <c r="I43" s="39">
        <f t="shared" si="9"/>
        <v>67980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'WE-FLSH'!L49</f>
        <v>-38706</v>
      </c>
      <c r="E49" s="66">
        <f>'WE-FLSH'!M49</f>
        <v>-80494.023766379614</v>
      </c>
      <c r="F49" s="60">
        <f>'WE-GL '!D49</f>
        <v>-23453</v>
      </c>
      <c r="G49" s="38">
        <f>'WE-GL '!E49</f>
        <v>-48782.640000000363</v>
      </c>
      <c r="H49" s="60">
        <f>F49-D49</f>
        <v>15253</v>
      </c>
      <c r="I49" s="38">
        <f>G49-E49</f>
        <v>31711.383766379251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'WE-FLSH'!L51</f>
        <v>-295007</v>
      </c>
      <c r="E51" s="66">
        <f>'WE-FLSH'!M51</f>
        <v>-597680</v>
      </c>
      <c r="F51" s="60">
        <f>'WE-GL '!D51</f>
        <v>-290422</v>
      </c>
      <c r="G51" s="38">
        <f>'WE-GL '!E51</f>
        <v>-604077.75999999989</v>
      </c>
      <c r="H51" s="60">
        <f>F51-D51</f>
        <v>4585</v>
      </c>
      <c r="I51" s="38">
        <f>G51-E51</f>
        <v>-6397.7599999998929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'WE-FLSH'!L54</f>
        <v>0</v>
      </c>
      <c r="E54" s="66">
        <f>'WE-FLSH'!M54</f>
        <v>-172911.24</v>
      </c>
      <c r="F54" s="60">
        <f>'WE-GL '!D54</f>
        <v>-11109229</v>
      </c>
      <c r="G54" s="38">
        <f>'WE-GL '!E54</f>
        <v>-241577.63</v>
      </c>
      <c r="H54" s="60">
        <f>F54-D54</f>
        <v>-11109229</v>
      </c>
      <c r="I54" s="38">
        <f>G54-E54</f>
        <v>-68666.390000000014</v>
      </c>
    </row>
    <row r="55" spans="1:9" x14ac:dyDescent="0.25">
      <c r="A55" s="9">
        <v>25</v>
      </c>
      <c r="B55" s="7"/>
      <c r="C55" s="18" t="s">
        <v>59</v>
      </c>
      <c r="D55" s="65">
        <f>'WE-FLSH'!L55</f>
        <v>0</v>
      </c>
      <c r="E55" s="66">
        <f>'WE-FLSH'!M55</f>
        <v>-1321394.46</v>
      </c>
      <c r="F55" s="60">
        <f>'WE-GL '!D55</f>
        <v>0</v>
      </c>
      <c r="G55" s="38">
        <f>'WE-GL '!E55</f>
        <v>-1495894.56</v>
      </c>
      <c r="H55" s="60">
        <f>F55-D55</f>
        <v>0</v>
      </c>
      <c r="I55" s="38">
        <f>G55-E55</f>
        <v>-174500.10000000009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-1494305.7</v>
      </c>
      <c r="F56" s="61">
        <f t="shared" si="10"/>
        <v>-11109229</v>
      </c>
      <c r="G56" s="39">
        <f t="shared" si="10"/>
        <v>-1737472.19</v>
      </c>
      <c r="H56" s="61">
        <f t="shared" si="10"/>
        <v>-11109229</v>
      </c>
      <c r="I56" s="39">
        <f t="shared" si="10"/>
        <v>-243166.49000000011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63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64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65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66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'WE-FLSH'!L70</f>
        <v>0</v>
      </c>
      <c r="E70" s="66">
        <f>'WE-FLSH'!M70</f>
        <v>2029682</v>
      </c>
      <c r="F70" s="60">
        <f>'WE-GL '!D70</f>
        <v>0</v>
      </c>
      <c r="G70" s="38">
        <f>'WE-GL '!E70</f>
        <v>2029682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71</v>
      </c>
      <c r="D71" s="65">
        <f>'WE-FLSH'!L71</f>
        <v>0</v>
      </c>
      <c r="E71" s="66">
        <f>'WE-FLSH'!M71</f>
        <v>-1493590</v>
      </c>
      <c r="F71" s="60">
        <f>'WE-GL '!D71</f>
        <v>0</v>
      </c>
      <c r="G71" s="38">
        <f>'WE-GL '!E71</f>
        <v>-1493640</v>
      </c>
      <c r="H71" s="60">
        <f>F71-D71</f>
        <v>0</v>
      </c>
      <c r="I71" s="38">
        <f>G71-E71</f>
        <v>-50</v>
      </c>
    </row>
    <row r="72" spans="1:9" x14ac:dyDescent="0.25">
      <c r="A72" s="9"/>
      <c r="B72" s="3"/>
      <c r="C72" s="55" t="s">
        <v>72</v>
      </c>
      <c r="D72" s="61">
        <f t="shared" ref="D72:I72" si="13">SUM(D70:D71)</f>
        <v>0</v>
      </c>
      <c r="E72" s="39">
        <f t="shared" si="13"/>
        <v>536092</v>
      </c>
      <c r="F72" s="61">
        <f t="shared" si="13"/>
        <v>0</v>
      </c>
      <c r="G72" s="39">
        <f t="shared" si="13"/>
        <v>536042</v>
      </c>
      <c r="H72" s="61">
        <f t="shared" si="13"/>
        <v>0</v>
      </c>
      <c r="I72" s="39">
        <f t="shared" si="13"/>
        <v>-50</v>
      </c>
    </row>
    <row r="73" spans="1:9" x14ac:dyDescent="0.25">
      <c r="A73" s="9">
        <v>32</v>
      </c>
      <c r="B73" s="3"/>
      <c r="C73" s="10" t="s">
        <v>73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'WE-FLSH'!L74</f>
        <v>0</v>
      </c>
      <c r="E74" s="66">
        <f>'WE-FLSH'!M74</f>
        <v>20312</v>
      </c>
      <c r="F74" s="60">
        <f>'WE-GL '!D74</f>
        <v>0</v>
      </c>
      <c r="G74" s="38">
        <f>'WE-GL '!E74</f>
        <v>-73631.049999999988</v>
      </c>
      <c r="H74" s="60">
        <f t="shared" ref="H74:I79" si="14">F74-D74</f>
        <v>0</v>
      </c>
      <c r="I74" s="38">
        <f t="shared" si="14"/>
        <v>-93943.049999999988</v>
      </c>
    </row>
    <row r="75" spans="1:9" x14ac:dyDescent="0.25">
      <c r="A75" s="9">
        <v>34</v>
      </c>
      <c r="B75" s="3"/>
      <c r="C75" s="10" t="s">
        <v>75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76</v>
      </c>
      <c r="D76" s="65">
        <f>'WE-FLSH'!L76</f>
        <v>0</v>
      </c>
      <c r="E76" s="66">
        <f>'WE-FLSH'!M76</f>
        <v>-23097</v>
      </c>
      <c r="F76" s="60">
        <f>'WE-GL '!D76</f>
        <v>0</v>
      </c>
      <c r="G76" s="38">
        <f>'WE-GL '!E76</f>
        <v>-23472.43</v>
      </c>
      <c r="H76" s="60">
        <f t="shared" si="14"/>
        <v>0</v>
      </c>
      <c r="I76" s="38">
        <f t="shared" si="14"/>
        <v>-375.43000000000029</v>
      </c>
    </row>
    <row r="77" spans="1:9" x14ac:dyDescent="0.25">
      <c r="A77" s="9">
        <v>36</v>
      </c>
      <c r="B77" s="3"/>
      <c r="C77" s="10" t="s">
        <v>77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78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80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'WE-FLSH'!L81</f>
        <v>0</v>
      </c>
      <c r="E81" s="66">
        <f>'WE-FLSH'!M81</f>
        <v>51876</v>
      </c>
      <c r="F81" s="60">
        <f>'WE-GL '!D81</f>
        <v>0</v>
      </c>
      <c r="G81" s="38">
        <f>'WE-GL '!E81</f>
        <v>61694.39</v>
      </c>
      <c r="H81" s="60">
        <f>F81-D81</f>
        <v>0</v>
      </c>
      <c r="I81" s="38">
        <f>G81-E81</f>
        <v>9818.39</v>
      </c>
    </row>
    <row r="82" spans="1:63" s="2" customFormat="1" ht="20.25" customHeight="1" thickBot="1" x14ac:dyDescent="0.3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-208757.72376637952</v>
      </c>
      <c r="F82" s="111">
        <f>F16+F24+F29+F36+F43+F45+F47+F49</f>
        <v>0</v>
      </c>
      <c r="G82" s="112">
        <f>SUM(G72:G81)+G16+G24+G29+G36+G43+G45+G47+G49+G51+G56+G61+G66</f>
        <v>-36788.727000008803</v>
      </c>
      <c r="H82" s="111">
        <f>H16+H24+H29+H36+H43+H45+H47+H49</f>
        <v>0</v>
      </c>
      <c r="I82" s="112">
        <f>SUM(I72:I81)+I16+I24+I29+I36+I43+I45+I47+I49+I51+I56+I61+I66</f>
        <v>171968.99676638172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3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29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-79467</v>
      </c>
      <c r="H12" s="60">
        <f>F12-D12</f>
        <v>0</v>
      </c>
      <c r="I12" s="38">
        <f>G12-E12</f>
        <v>-79467</v>
      </c>
    </row>
    <row r="13" spans="1:22" x14ac:dyDescent="0.25">
      <c r="A13" s="9">
        <v>3</v>
      </c>
      <c r="B13" s="7"/>
      <c r="C13" s="18" t="s">
        <v>30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-2679577</v>
      </c>
      <c r="H13" s="60">
        <f t="shared" ref="H13:I15" si="0">F13-D13</f>
        <v>0</v>
      </c>
      <c r="I13" s="38">
        <f t="shared" si="0"/>
        <v>-2679577</v>
      </c>
    </row>
    <row r="14" spans="1:22" x14ac:dyDescent="0.25">
      <c r="A14" s="9">
        <v>4</v>
      </c>
      <c r="B14" s="7"/>
      <c r="C14" s="18" t="s">
        <v>31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-2759044</v>
      </c>
      <c r="H16" s="61">
        <f t="shared" si="1"/>
        <v>0</v>
      </c>
      <c r="I16" s="39">
        <f t="shared" si="1"/>
        <v>-2759044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29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30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31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39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43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44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45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50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341873</v>
      </c>
      <c r="H41" s="60">
        <f t="shared" si="7"/>
        <v>0</v>
      </c>
      <c r="I41" s="38">
        <f t="shared" si="7"/>
        <v>341873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341873</v>
      </c>
      <c r="H42" s="69">
        <f t="shared" si="8"/>
        <v>0</v>
      </c>
      <c r="I42" s="70">
        <f t="shared" si="8"/>
        <v>341873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341873</v>
      </c>
      <c r="H43" s="61">
        <f t="shared" si="9"/>
        <v>0</v>
      </c>
      <c r="I43" s="39">
        <f t="shared" si="9"/>
        <v>341873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59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63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66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4103270</v>
      </c>
      <c r="H70" s="60">
        <f>F70-D70</f>
        <v>0</v>
      </c>
      <c r="I70" s="38">
        <f>G70-E70</f>
        <v>4103270</v>
      </c>
    </row>
    <row r="71" spans="1:9" x14ac:dyDescent="0.25">
      <c r="A71" s="9">
        <v>31</v>
      </c>
      <c r="B71" s="3"/>
      <c r="C71" s="10" t="s">
        <v>71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4103270</v>
      </c>
      <c r="H72" s="69">
        <f t="shared" si="13"/>
        <v>0</v>
      </c>
      <c r="I72" s="70">
        <f t="shared" si="13"/>
        <v>4103270</v>
      </c>
    </row>
    <row r="73" spans="1:9" x14ac:dyDescent="0.25">
      <c r="A73" s="9">
        <v>32</v>
      </c>
      <c r="B73" s="3"/>
      <c r="C73" s="10" t="s">
        <v>73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-2741516</v>
      </c>
      <c r="H74" s="60">
        <f t="shared" ref="H74:I79" si="14">F74-D74</f>
        <v>0</v>
      </c>
      <c r="I74" s="38">
        <f t="shared" si="14"/>
        <v>-2741516</v>
      </c>
    </row>
    <row r="75" spans="1:9" x14ac:dyDescent="0.25">
      <c r="A75" s="9">
        <v>34</v>
      </c>
      <c r="B75" s="3"/>
      <c r="C75" s="10" t="s">
        <v>75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1633400</v>
      </c>
      <c r="H75" s="60">
        <f t="shared" si="14"/>
        <v>0</v>
      </c>
      <c r="I75" s="38">
        <f t="shared" si="14"/>
        <v>1633400</v>
      </c>
    </row>
    <row r="76" spans="1:9" x14ac:dyDescent="0.25">
      <c r="A76" s="9">
        <v>35</v>
      </c>
      <c r="B76" s="3"/>
      <c r="C76" s="10" t="s">
        <v>76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-1075</v>
      </c>
      <c r="H76" s="60">
        <f t="shared" si="14"/>
        <v>0</v>
      </c>
      <c r="I76" s="38">
        <f t="shared" si="14"/>
        <v>-1075</v>
      </c>
    </row>
    <row r="77" spans="1:9" x14ac:dyDescent="0.25">
      <c r="A77" s="9">
        <v>36</v>
      </c>
      <c r="B77" s="3"/>
      <c r="C77" s="10" t="s">
        <v>77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78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80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STG_FLSH!L81</f>
        <v>0</v>
      </c>
      <c r="E81" s="66">
        <f>STG_FLSH!M81</f>
        <v>2386000</v>
      </c>
      <c r="F81" s="60">
        <f>STG_GL!D81</f>
        <v>0</v>
      </c>
      <c r="G81" s="38">
        <f>STG_GL!E81</f>
        <v>-550379</v>
      </c>
      <c r="H81" s="60">
        <f>F81-D81</f>
        <v>0</v>
      </c>
      <c r="I81" s="38">
        <f>G81-E81</f>
        <v>-2936379</v>
      </c>
    </row>
    <row r="82" spans="1:63" s="2" customFormat="1" ht="20.25" customHeight="1" thickBot="1" x14ac:dyDescent="0.3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2386000</v>
      </c>
      <c r="F82" s="111">
        <f>F16+F24+F29+F36+F43+F45+F47+F49</f>
        <v>0</v>
      </c>
      <c r="G82" s="112">
        <f>SUM(G72:G81)+G16+G24+G29+G36+G43+G45+G47+G49+G51+G56+G61+G66</f>
        <v>149791</v>
      </c>
      <c r="H82" s="111">
        <f>H16+H24+H29+H36+H43+H45+H47+H49</f>
        <v>0</v>
      </c>
      <c r="I82" s="112">
        <f>SUM(I72:I81)+I16+I24+I29+I36+I43+I45+I47+I49+I51+I56+I61+I66</f>
        <v>-2236209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Y12" sqref="Y12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5" width="15" customWidth="1"/>
  </cols>
  <sheetData>
    <row r="1" spans="1:25" x14ac:dyDescent="0.25">
      <c r="A1" s="46" t="s">
        <v>83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84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9906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85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86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21</v>
      </c>
      <c r="W8" s="27"/>
      <c r="X8" s="26" t="s">
        <v>116</v>
      </c>
      <c r="Y8" s="27"/>
    </row>
    <row r="9" spans="1:25" s="80" customFormat="1" x14ac:dyDescent="0.25">
      <c r="A9" s="52"/>
      <c r="B9" s="78"/>
      <c r="C9" s="79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  <c r="N9" s="77" t="s">
        <v>25</v>
      </c>
      <c r="O9" s="76" t="s">
        <v>26</v>
      </c>
      <c r="P9" s="77" t="s">
        <v>25</v>
      </c>
      <c r="Q9" s="76" t="s">
        <v>26</v>
      </c>
      <c r="R9" s="77" t="s">
        <v>25</v>
      </c>
      <c r="S9" s="76" t="s">
        <v>26</v>
      </c>
      <c r="T9" s="77" t="s">
        <v>25</v>
      </c>
      <c r="U9" s="76" t="s">
        <v>26</v>
      </c>
      <c r="V9" s="77" t="s">
        <v>25</v>
      </c>
      <c r="W9" s="76" t="s">
        <v>26</v>
      </c>
      <c r="X9" s="77" t="s">
        <v>25</v>
      </c>
      <c r="Y9" s="76" t="s">
        <v>26</v>
      </c>
    </row>
    <row r="10" spans="1:25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28</v>
      </c>
      <c r="D11" s="66">
        <f t="shared" ref="D11:E15" si="0">F11+H11+J11+L11+N11+P11+R11+T11+V11+X11</f>
        <v>0</v>
      </c>
      <c r="E11" s="66">
        <f t="shared" si="0"/>
        <v>-13547776.99</v>
      </c>
      <c r="F11" s="60"/>
      <c r="G11" s="38">
        <f>-10125-811529-631059.99-1346250-257386-1049898+47</f>
        <v>-4106200.99</v>
      </c>
      <c r="H11" s="60"/>
      <c r="I11" s="38">
        <f>-224706-15000-1362914-1362914-1362914+2725828</f>
        <v>-1602620</v>
      </c>
      <c r="J11" s="60"/>
      <c r="K11" s="38"/>
      <c r="L11" s="60"/>
      <c r="M11" s="38"/>
      <c r="N11" s="60"/>
      <c r="O11" s="38">
        <f>-3906-5403-5944-299007</f>
        <v>-314260</v>
      </c>
      <c r="P11" s="60"/>
      <c r="Q11" s="38"/>
      <c r="R11" s="60"/>
      <c r="S11" s="38">
        <v>1346250</v>
      </c>
      <c r="T11" s="60"/>
      <c r="U11" s="38"/>
      <c r="V11" s="60"/>
      <c r="W11" s="38"/>
      <c r="X11" s="60"/>
      <c r="Y11" s="38">
        <f>-9954543-279317+1362914+1362914+1362914-2725828</f>
        <v>-8870946</v>
      </c>
    </row>
    <row r="12" spans="1:25" x14ac:dyDescent="0.25">
      <c r="A12" s="9">
        <v>2</v>
      </c>
      <c r="B12" s="7"/>
      <c r="C12" s="18" t="s">
        <v>29</v>
      </c>
      <c r="D12" s="66">
        <f t="shared" si="0"/>
        <v>0</v>
      </c>
      <c r="E12" s="66">
        <f t="shared" si="0"/>
        <v>-1425717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-1346250</v>
      </c>
      <c r="T12" s="60"/>
      <c r="U12" s="38">
        <v>-79467</v>
      </c>
      <c r="V12" s="60"/>
      <c r="W12" s="38"/>
      <c r="X12" s="60"/>
      <c r="Y12" s="38"/>
    </row>
    <row r="13" spans="1:25" x14ac:dyDescent="0.25">
      <c r="A13" s="9">
        <v>3</v>
      </c>
      <c r="B13" s="7"/>
      <c r="C13" s="18" t="s">
        <v>30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31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32</v>
      </c>
      <c r="D15" s="66">
        <f t="shared" si="0"/>
        <v>0</v>
      </c>
      <c r="E15" s="66">
        <f t="shared" si="0"/>
        <v>294317</v>
      </c>
      <c r="F15" s="60"/>
      <c r="G15" s="38">
        <v>0</v>
      </c>
      <c r="H15" s="60"/>
      <c r="I15" s="38">
        <v>15000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>
        <v>279317</v>
      </c>
    </row>
    <row r="16" spans="1:25" x14ac:dyDescent="0.25">
      <c r="A16" s="9"/>
      <c r="B16" s="7" t="s">
        <v>33</v>
      </c>
      <c r="C16" s="6"/>
      <c r="D16" s="61">
        <f t="shared" ref="D16:M16" si="1">SUM(D11:D15)</f>
        <v>0</v>
      </c>
      <c r="E16" s="39">
        <f t="shared" si="1"/>
        <v>-14679176.99</v>
      </c>
      <c r="F16" s="61">
        <f t="shared" si="1"/>
        <v>0</v>
      </c>
      <c r="G16" s="39">
        <f t="shared" si="1"/>
        <v>-4106200.99</v>
      </c>
      <c r="H16" s="61">
        <f t="shared" si="1"/>
        <v>0</v>
      </c>
      <c r="I16" s="39">
        <f t="shared" si="1"/>
        <v>-1587620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-314260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-79467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-8591629</v>
      </c>
    </row>
    <row r="17" spans="1:2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28</v>
      </c>
      <c r="D19" s="66">
        <f t="shared" ref="D19:E23" si="3">F19+H19+J19+L19+N19+P19+R19+T19+V19+X19</f>
        <v>0</v>
      </c>
      <c r="E19" s="66">
        <f t="shared" si="3"/>
        <v>-196709</v>
      </c>
      <c r="F19" s="60"/>
      <c r="G19" s="38">
        <v>56264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>
        <v>-252973</v>
      </c>
    </row>
    <row r="20" spans="1:25" x14ac:dyDescent="0.25">
      <c r="A20" s="9">
        <v>7</v>
      </c>
      <c r="B20" s="7"/>
      <c r="C20" s="18" t="s">
        <v>29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5">
      <c r="A21" s="9">
        <v>8</v>
      </c>
      <c r="B21" s="7"/>
      <c r="C21" s="18" t="s">
        <v>30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31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35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36</v>
      </c>
      <c r="C24" s="6"/>
      <c r="D24" s="61">
        <f t="shared" ref="D24:M24" si="4">SUM(D19:D23)</f>
        <v>0</v>
      </c>
      <c r="E24" s="39">
        <f t="shared" si="4"/>
        <v>-196709</v>
      </c>
      <c r="F24" s="61">
        <f t="shared" si="4"/>
        <v>0</v>
      </c>
      <c r="G24" s="39">
        <f t="shared" si="4"/>
        <v>56264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-252973</v>
      </c>
    </row>
    <row r="25" spans="1:2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38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39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40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42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43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44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45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46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48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49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50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-6483</v>
      </c>
      <c r="T41" s="60"/>
      <c r="U41" s="38">
        <v>6483</v>
      </c>
      <c r="V41" s="60"/>
      <c r="W41" s="38"/>
      <c r="X41" s="60"/>
      <c r="Y41" s="38"/>
    </row>
    <row r="42" spans="1:25" x14ac:dyDescent="0.25">
      <c r="A42" s="9"/>
      <c r="B42" s="7"/>
      <c r="C42" s="53" t="s">
        <v>51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-6483</v>
      </c>
      <c r="T42" s="61">
        <f t="shared" si="13"/>
        <v>0</v>
      </c>
      <c r="U42" s="39">
        <f t="shared" si="13"/>
        <v>6483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5">
      <c r="A43" s="9"/>
      <c r="B43" s="7" t="s">
        <v>52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-6483</v>
      </c>
      <c r="T43" s="61">
        <f t="shared" si="15"/>
        <v>0</v>
      </c>
      <c r="U43" s="39">
        <f t="shared" si="15"/>
        <v>6483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53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54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55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56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58</v>
      </c>
      <c r="D54" s="66">
        <f>F54+H54+J54+L54+N54+P54+R54+T54+V54+X54</f>
        <v>0</v>
      </c>
      <c r="E54" s="66">
        <f>G54+I54+K54+M54+O54+Q54+S54+U54+W54+Y54</f>
        <v>2456635</v>
      </c>
      <c r="F54" s="60"/>
      <c r="G54" s="38">
        <f>1475+2181912+21750</f>
        <v>2205137</v>
      </c>
      <c r="H54" s="60"/>
      <c r="I54" s="38">
        <f>33000-42756</f>
        <v>-9756</v>
      </c>
      <c r="J54" s="60"/>
      <c r="K54" s="38"/>
      <c r="L54" s="60"/>
      <c r="M54" s="38"/>
      <c r="N54" s="60"/>
      <c r="O54" s="38"/>
      <c r="P54" s="60"/>
      <c r="Q54" s="38"/>
      <c r="R54" s="60"/>
      <c r="S54" s="38">
        <v>-1475</v>
      </c>
      <c r="T54" s="60"/>
      <c r="U54" s="38"/>
      <c r="V54" s="60"/>
      <c r="W54" s="38"/>
      <c r="X54" s="60"/>
      <c r="Y54" s="38">
        <f>252973-33000+42756</f>
        <v>262729</v>
      </c>
    </row>
    <row r="55" spans="1:25" x14ac:dyDescent="0.25">
      <c r="A55" s="9">
        <v>25</v>
      </c>
      <c r="B55" s="7"/>
      <c r="C55" s="18" t="s">
        <v>59</v>
      </c>
      <c r="D55" s="66">
        <f>F55+H55+J55+L55+N55+P55+R55+T55+V55+X55</f>
        <v>0</v>
      </c>
      <c r="E55" s="66">
        <f>G55+I55+K55+M55+O55+Q55+S55+U55+W55+Y55</f>
        <v>-471249.00999999978</v>
      </c>
      <c r="F55" s="60"/>
      <c r="G55" s="38">
        <f>10125-56264-47+14655-2181912</f>
        <v>-2213443</v>
      </c>
      <c r="H55" s="60"/>
      <c r="I55" s="38">
        <f>631059.99+287650+716253+52800+571644+105200+43736+32922</f>
        <v>2441264.9900000002</v>
      </c>
      <c r="J55" s="60"/>
      <c r="K55" s="38"/>
      <c r="L55" s="60"/>
      <c r="M55" s="38"/>
      <c r="N55" s="60"/>
      <c r="O55" s="38">
        <f>3906+5403+5944+299007+811529</f>
        <v>1125789</v>
      </c>
      <c r="P55" s="60"/>
      <c r="Q55" s="38"/>
      <c r="R55" s="60"/>
      <c r="S55" s="38"/>
      <c r="T55" s="60"/>
      <c r="U55" s="38"/>
      <c r="V55" s="60"/>
      <c r="W55" s="38">
        <v>-14655</v>
      </c>
      <c r="X55" s="60"/>
      <c r="Y55" s="38">
        <f>-287650-716253-52800-571644-105200-43736-32922</f>
        <v>-1810205</v>
      </c>
    </row>
    <row r="56" spans="1:25" x14ac:dyDescent="0.25">
      <c r="A56" s="9"/>
      <c r="B56" s="7" t="s">
        <v>60</v>
      </c>
      <c r="C56" s="6"/>
      <c r="D56" s="61">
        <f t="shared" ref="D56:M56" si="16">SUM(D54:D55)</f>
        <v>0</v>
      </c>
      <c r="E56" s="39">
        <f t="shared" si="16"/>
        <v>1985385.9900000002</v>
      </c>
      <c r="F56" s="61">
        <f t="shared" si="16"/>
        <v>0</v>
      </c>
      <c r="G56" s="39">
        <f t="shared" si="16"/>
        <v>-8306</v>
      </c>
      <c r="H56" s="61">
        <f t="shared" si="16"/>
        <v>0</v>
      </c>
      <c r="I56" s="39">
        <f t="shared" si="16"/>
        <v>2431508.9900000002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1125789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-1475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-14655</v>
      </c>
      <c r="X56" s="61">
        <f t="shared" si="17"/>
        <v>0</v>
      </c>
      <c r="Y56" s="39">
        <f t="shared" si="17"/>
        <v>-1547476</v>
      </c>
    </row>
    <row r="57" spans="1:2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62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5">
      <c r="A60" s="9">
        <v>27</v>
      </c>
      <c r="B60" s="11"/>
      <c r="C60" s="18" t="s">
        <v>63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5">
      <c r="A61" s="9"/>
      <c r="B61" s="62" t="s">
        <v>64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65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66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5">
      <c r="A66" s="9"/>
      <c r="B66" s="7" t="s">
        <v>67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70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5">
      <c r="A71" s="9">
        <v>31</v>
      </c>
      <c r="B71" s="3"/>
      <c r="C71" s="10" t="s">
        <v>71</v>
      </c>
      <c r="D71" s="66">
        <f>F71+H71+J71+L71+N71+P71+R71+T71+V71+X71</f>
        <v>0</v>
      </c>
      <c r="E71" s="66">
        <f>G71+I71+K71+M71+O71+Q71+S71+U71+W71+Y71</f>
        <v>-21750</v>
      </c>
      <c r="F71" s="60"/>
      <c r="G71" s="38">
        <v>-21750</v>
      </c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5">
      <c r="A72" s="9"/>
      <c r="B72" s="3"/>
      <c r="C72" s="55" t="s">
        <v>72</v>
      </c>
      <c r="D72" s="61">
        <f t="shared" ref="D72:M72" si="22">SUM(D70:D71)</f>
        <v>0</v>
      </c>
      <c r="E72" s="39">
        <f t="shared" si="22"/>
        <v>-21750</v>
      </c>
      <c r="F72" s="61">
        <f t="shared" si="22"/>
        <v>0</v>
      </c>
      <c r="G72" s="39">
        <f t="shared" si="22"/>
        <v>-21750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5">
      <c r="A73" s="9">
        <v>32</v>
      </c>
      <c r="B73" s="3"/>
      <c r="C73" s="10" t="s">
        <v>73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74</v>
      </c>
      <c r="D74" s="66">
        <f t="shared" si="24"/>
        <v>0</v>
      </c>
      <c r="E74" s="66">
        <f t="shared" si="24"/>
        <v>1425717</v>
      </c>
      <c r="F74" s="60"/>
      <c r="G74" s="38">
        <v>-100000</v>
      </c>
      <c r="H74" s="60"/>
      <c r="I74" s="38">
        <v>0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f>1346250-149614-14500</f>
        <v>1182136</v>
      </c>
      <c r="T74" s="60"/>
      <c r="U74" s="38">
        <f>149614+14500+79467+100000</f>
        <v>343581</v>
      </c>
      <c r="V74" s="60"/>
      <c r="W74" s="38"/>
      <c r="X74" s="60"/>
      <c r="Y74" s="38"/>
    </row>
    <row r="75" spans="1:25" x14ac:dyDescent="0.25">
      <c r="A75" s="9">
        <v>34</v>
      </c>
      <c r="B75" s="3"/>
      <c r="C75" s="10" t="s">
        <v>75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5">
      <c r="A76" s="9">
        <v>35</v>
      </c>
      <c r="B76" s="3"/>
      <c r="C76" s="10" t="s">
        <v>76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77</v>
      </c>
      <c r="D77" s="66">
        <f t="shared" si="24"/>
        <v>0</v>
      </c>
      <c r="E77" s="66">
        <f t="shared" si="24"/>
        <v>9954543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0</v>
      </c>
      <c r="V77" s="60"/>
      <c r="W77" s="38"/>
      <c r="X77" s="60"/>
      <c r="Y77" s="38">
        <v>9954543</v>
      </c>
    </row>
    <row r="78" spans="1:25" x14ac:dyDescent="0.25">
      <c r="A78" s="9">
        <v>37</v>
      </c>
      <c r="B78" s="3"/>
      <c r="C78" s="10" t="s">
        <v>78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79</v>
      </c>
      <c r="D79" s="66">
        <f t="shared" si="24"/>
        <v>0</v>
      </c>
      <c r="E79" s="66">
        <f t="shared" si="24"/>
        <v>1531990</v>
      </c>
      <c r="F79" s="60"/>
      <c r="G79" s="38">
        <f>257386+1049898</f>
        <v>1307284</v>
      </c>
      <c r="H79" s="60"/>
      <c r="I79" s="38">
        <v>224706</v>
      </c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80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81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3">
      <c r="A82" s="95"/>
      <c r="B82" s="30"/>
      <c r="C82" s="96" t="s">
        <v>82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-2872708.99</v>
      </c>
      <c r="H82" s="92">
        <f>H16+H24+H29+H36+H43+H45+H47+H49</f>
        <v>0</v>
      </c>
      <c r="I82" s="93">
        <f>SUM(I72:I81)+I16+I24+I29+I36+I43+I45+I47+I49+I51+I56+I61+I66</f>
        <v>1068594.9900000002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811529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1174178</v>
      </c>
      <c r="T82" s="92">
        <f>T16+T24+T29+T36+T43+T45+T47+T49</f>
        <v>0</v>
      </c>
      <c r="U82" s="93">
        <f>SUM(U72:U81)+U16+U24+U29+U36+U43+U45+U47+U49+U51+U56+U61+U66</f>
        <v>270597</v>
      </c>
      <c r="V82" s="92">
        <f>V16+V24+V29+V36+V43+V45+V47+V49</f>
        <v>0</v>
      </c>
      <c r="W82" s="93">
        <f>SUM(W72:W81)+W16+W24+W29+W36+W43+W45+W47+W49+W51+W56+W61+W66</f>
        <v>-14655</v>
      </c>
      <c r="X82" s="92">
        <f>X16+X24+X29+X36+X43+X45+X47+X49</f>
        <v>0</v>
      </c>
      <c r="Y82" s="93">
        <f>SUM(Y72:Y81)+Y16+Y24+Y29+Y36+Y43+Y45+Y47+Y49+Y51+Y56+Y61+Y66</f>
        <v>-437535</v>
      </c>
      <c r="Z82" s="97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/>
      <c r="B85" s="3"/>
      <c r="S85" s="45"/>
    </row>
    <row r="86" spans="1:26" x14ac:dyDescent="0.25">
      <c r="A86" s="4"/>
      <c r="B86" s="3"/>
    </row>
    <row r="87" spans="1:26" x14ac:dyDescent="0.25">
      <c r="A87" s="4"/>
      <c r="B87" s="3"/>
    </row>
    <row r="88" spans="1:26" x14ac:dyDescent="0.25">
      <c r="A88" s="4"/>
      <c r="B88" s="3"/>
    </row>
    <row r="89" spans="1:26" x14ac:dyDescent="0.25">
      <c r="A89" s="4"/>
      <c r="B89" s="3"/>
    </row>
    <row r="90" spans="1:26" x14ac:dyDescent="0.25">
      <c r="A90" s="4"/>
      <c r="B90" s="3"/>
    </row>
    <row r="91" spans="1:26" x14ac:dyDescent="0.25">
      <c r="A91" s="4"/>
      <c r="B91" s="3"/>
    </row>
    <row r="92" spans="1:26" x14ac:dyDescent="0.25">
      <c r="A92" s="4"/>
      <c r="B92" s="3"/>
    </row>
    <row r="93" spans="1:26" x14ac:dyDescent="0.25">
      <c r="A93" s="4"/>
      <c r="B93" s="3"/>
    </row>
    <row r="94" spans="1:26" x14ac:dyDescent="0.25">
      <c r="A94" s="4"/>
      <c r="B94" s="3"/>
    </row>
    <row r="95" spans="1:26" x14ac:dyDescent="0.25">
      <c r="A95" s="4"/>
      <c r="B95" s="3"/>
    </row>
    <row r="96" spans="1:26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3" activePane="bottomRight" state="frozen"/>
      <selection activeCell="H86" sqref="H86"/>
      <selection pane="topRight" activeCell="H86" sqref="H86"/>
      <selection pane="bottomLeft" activeCell="H86" sqref="H86"/>
      <selection pane="bottomRight" activeCell="G13" sqref="G1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ONT_FLSH!L11</f>
        <v>8282439</v>
      </c>
      <c r="E11" s="66">
        <f>ONT_FLSH!M11</f>
        <v>19073437</v>
      </c>
      <c r="F11" s="60">
        <f>'ONT_GL '!D11</f>
        <v>9403756</v>
      </c>
      <c r="G11" s="38">
        <f>'ONT_GL '!E11</f>
        <v>19810707</v>
      </c>
      <c r="H11" s="60">
        <f>F11-D11</f>
        <v>1121317</v>
      </c>
      <c r="I11" s="38">
        <f>G11-E11</f>
        <v>737270</v>
      </c>
    </row>
    <row r="12" spans="1:22" x14ac:dyDescent="0.25">
      <c r="A12" s="9">
        <v>2</v>
      </c>
      <c r="B12" s="7"/>
      <c r="C12" s="18" t="s">
        <v>29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-19375.46</v>
      </c>
      <c r="H12" s="60">
        <f>F12-D12</f>
        <v>0</v>
      </c>
      <c r="I12" s="38">
        <f>G12-E12</f>
        <v>-19375.46</v>
      </c>
    </row>
    <row r="13" spans="1:22" x14ac:dyDescent="0.25">
      <c r="A13" s="9">
        <v>3</v>
      </c>
      <c r="B13" s="7"/>
      <c r="C13" s="18" t="s">
        <v>30</v>
      </c>
      <c r="D13" s="65">
        <f>ONT_FLSH!L13</f>
        <v>3928389</v>
      </c>
      <c r="E13" s="66">
        <f>ONT_FLSH!M13</f>
        <v>9058926</v>
      </c>
      <c r="F13" s="60">
        <f>'ONT_GL '!D13</f>
        <v>2941839</v>
      </c>
      <c r="G13" s="38">
        <f>'ONT_GL '!E13</f>
        <v>6789801</v>
      </c>
      <c r="H13" s="60">
        <f t="shared" ref="H13:I15" si="0">F13-D13</f>
        <v>-986550</v>
      </c>
      <c r="I13" s="38">
        <f t="shared" si="0"/>
        <v>-2269125</v>
      </c>
    </row>
    <row r="14" spans="1:22" x14ac:dyDescent="0.25">
      <c r="A14" s="9">
        <v>4</v>
      </c>
      <c r="B14" s="7"/>
      <c r="C14" s="18" t="s">
        <v>31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12210828</v>
      </c>
      <c r="E16" s="39">
        <f t="shared" si="1"/>
        <v>28132363</v>
      </c>
      <c r="F16" s="61">
        <f t="shared" si="1"/>
        <v>12345595</v>
      </c>
      <c r="G16" s="39">
        <f t="shared" si="1"/>
        <v>26581132.539999999</v>
      </c>
      <c r="H16" s="61">
        <f t="shared" si="1"/>
        <v>134767</v>
      </c>
      <c r="I16" s="39">
        <f t="shared" si="1"/>
        <v>-1551230.46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ONT_FLSH!L19</f>
        <v>-7814436</v>
      </c>
      <c r="E19" s="66">
        <f>ONT_FLSH!M19</f>
        <v>-17970825</v>
      </c>
      <c r="F19" s="60">
        <f>'ONT_GL '!D19</f>
        <v>-10944670</v>
      </c>
      <c r="G19" s="38">
        <f>'ONT_GL '!E19</f>
        <v>-25050006</v>
      </c>
      <c r="H19" s="60">
        <f>F19-D19</f>
        <v>-3130234</v>
      </c>
      <c r="I19" s="38">
        <f>G19-E19</f>
        <v>-7079181</v>
      </c>
    </row>
    <row r="20" spans="1:9" x14ac:dyDescent="0.25">
      <c r="A20" s="9">
        <v>7</v>
      </c>
      <c r="B20" s="7"/>
      <c r="C20" s="18" t="s">
        <v>29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20976.74</v>
      </c>
      <c r="H20" s="60">
        <f>F20-D20</f>
        <v>0</v>
      </c>
      <c r="I20" s="38">
        <f>G20-E20</f>
        <v>20976.74</v>
      </c>
    </row>
    <row r="21" spans="1:9" x14ac:dyDescent="0.25">
      <c r="A21" s="9">
        <v>8</v>
      </c>
      <c r="B21" s="7"/>
      <c r="C21" s="18" t="s">
        <v>30</v>
      </c>
      <c r="D21" s="65">
        <f>ONT_FLSH!L21</f>
        <v>-4391586</v>
      </c>
      <c r="E21" s="66">
        <f>ONT_FLSH!M21</f>
        <v>-10165395</v>
      </c>
      <c r="F21" s="60">
        <f>'ONT_GL '!D21</f>
        <v>-1162000</v>
      </c>
      <c r="G21" s="38">
        <f>'ONT_GL '!E21</f>
        <v>-2684960</v>
      </c>
      <c r="H21" s="60">
        <f t="shared" ref="H21:I23" si="2">F21-D21</f>
        <v>3229586</v>
      </c>
      <c r="I21" s="38">
        <f t="shared" si="2"/>
        <v>7480435</v>
      </c>
    </row>
    <row r="22" spans="1:9" x14ac:dyDescent="0.25">
      <c r="A22" s="9">
        <v>9</v>
      </c>
      <c r="B22" s="7"/>
      <c r="C22" s="18" t="s">
        <v>31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-12206022</v>
      </c>
      <c r="E24" s="39">
        <f t="shared" si="3"/>
        <v>-28136220</v>
      </c>
      <c r="F24" s="61">
        <f t="shared" si="3"/>
        <v>-12106670</v>
      </c>
      <c r="G24" s="39">
        <f t="shared" si="3"/>
        <v>-27713989.260000002</v>
      </c>
      <c r="H24" s="61">
        <f t="shared" si="3"/>
        <v>99352</v>
      </c>
      <c r="I24" s="39">
        <f t="shared" si="3"/>
        <v>422230.74000000022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39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43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44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45</v>
      </c>
      <c r="D35" s="65">
        <f>ONT_FLSH!L35</f>
        <v>0</v>
      </c>
      <c r="E35" s="66">
        <f>ONT_FLSH!M35</f>
        <v>0</v>
      </c>
      <c r="F35" s="60">
        <f>'ONT_GL '!D35</f>
        <v>562918</v>
      </c>
      <c r="G35" s="38">
        <f>'ONT_GL '!E35</f>
        <v>72417</v>
      </c>
      <c r="H35" s="60">
        <f t="shared" si="5"/>
        <v>562918</v>
      </c>
      <c r="I35" s="38">
        <f t="shared" si="5"/>
        <v>72417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562918</v>
      </c>
      <c r="G36" s="39">
        <f t="shared" si="6"/>
        <v>72417</v>
      </c>
      <c r="H36" s="61">
        <f t="shared" si="6"/>
        <v>562918</v>
      </c>
      <c r="I36" s="39">
        <f t="shared" si="6"/>
        <v>72417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50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ONT_FLSH!L49</f>
        <v>-4806</v>
      </c>
      <c r="E49" s="66">
        <f>ONT_FLSH!M49</f>
        <v>-10957.68</v>
      </c>
      <c r="F49" s="60">
        <f>'ONT_GL '!D49</f>
        <v>-801843</v>
      </c>
      <c r="G49" s="38">
        <f>'ONT_GL '!E49</f>
        <v>-1828202</v>
      </c>
      <c r="H49" s="60">
        <f>F49-D49</f>
        <v>-797037</v>
      </c>
      <c r="I49" s="38">
        <f>G49-E49</f>
        <v>-1817244.32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59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-14655</v>
      </c>
      <c r="H55" s="60">
        <f>F55-D55</f>
        <v>0</v>
      </c>
      <c r="I55" s="38">
        <f>G55-E55</f>
        <v>-14655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-14655</v>
      </c>
      <c r="H56" s="61">
        <f t="shared" si="10"/>
        <v>0</v>
      </c>
      <c r="I56" s="39">
        <f t="shared" si="10"/>
        <v>-14655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63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66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ONT_FLSH!L70</f>
        <v>0</v>
      </c>
      <c r="E70" s="66">
        <f>ONT_FLSH!M70</f>
        <v>-832910</v>
      </c>
      <c r="F70" s="60">
        <f>'ONT_GL '!D70</f>
        <v>0</v>
      </c>
      <c r="G70" s="38">
        <f>'ONT_GL '!E70</f>
        <v>-832910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71</v>
      </c>
      <c r="D71" s="65">
        <f>ONT_FLSH!L71</f>
        <v>0</v>
      </c>
      <c r="E71" s="66">
        <f>ONT_FLSH!M71</f>
        <v>775951</v>
      </c>
      <c r="F71" s="60">
        <f>'ONT_GL '!D71</f>
        <v>0</v>
      </c>
      <c r="G71" s="38">
        <f>'ONT_GL '!E71</f>
        <v>808257</v>
      </c>
      <c r="H71" s="60">
        <f>F71-D71</f>
        <v>0</v>
      </c>
      <c r="I71" s="38">
        <f>G71-E71</f>
        <v>32306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-56959</v>
      </c>
      <c r="F72" s="69">
        <f t="shared" si="13"/>
        <v>0</v>
      </c>
      <c r="G72" s="70">
        <f t="shared" si="13"/>
        <v>-24653</v>
      </c>
      <c r="H72" s="69">
        <f t="shared" si="13"/>
        <v>0</v>
      </c>
      <c r="I72" s="70">
        <f t="shared" si="13"/>
        <v>32306</v>
      </c>
    </row>
    <row r="73" spans="1:9" x14ac:dyDescent="0.25">
      <c r="A73" s="9">
        <v>32</v>
      </c>
      <c r="B73" s="3"/>
      <c r="C73" s="10" t="s">
        <v>73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-988907</v>
      </c>
      <c r="H74" s="60">
        <f t="shared" ref="H74:I79" si="14">F74-D74</f>
        <v>0</v>
      </c>
      <c r="I74" s="38">
        <f t="shared" si="14"/>
        <v>-988907</v>
      </c>
    </row>
    <row r="75" spans="1:9" x14ac:dyDescent="0.25">
      <c r="A75" s="9">
        <v>34</v>
      </c>
      <c r="B75" s="3"/>
      <c r="C75" s="10" t="s">
        <v>75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76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-284</v>
      </c>
      <c r="H76" s="60">
        <f t="shared" si="14"/>
        <v>0</v>
      </c>
      <c r="I76" s="38">
        <f t="shared" si="14"/>
        <v>-284</v>
      </c>
    </row>
    <row r="77" spans="1:9" x14ac:dyDescent="0.25">
      <c r="A77" s="9">
        <v>36</v>
      </c>
      <c r="B77" s="3"/>
      <c r="C77" s="10" t="s">
        <v>77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78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80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-71773.679999999993</v>
      </c>
      <c r="F82" s="111">
        <f>F16+F24+F29+F36+F43+F45+F47+F49</f>
        <v>0</v>
      </c>
      <c r="G82" s="112">
        <f>SUM(G72:G81)+G16+G24+G29+G36+G43+G45+G47+G49+G51+G56+G61+G66</f>
        <v>-3917140.7200000025</v>
      </c>
      <c r="H82" s="111">
        <f>H16+H24+H29+H36+H43+H45+H47+H49</f>
        <v>0</v>
      </c>
      <c r="I82" s="112">
        <f>SUM(I72:I81)+I16+I24+I29+I36+I43+I45+I47+I49+I51+I56+I61+I66</f>
        <v>-3845367.04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172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176</v>
      </c>
      <c r="D86" s="173">
        <f>ONT_FLSH!L86</f>
        <v>0</v>
      </c>
      <c r="E86" s="173">
        <f>ONT_FLSH!M86</f>
        <v>26476</v>
      </c>
      <c r="F86" s="173">
        <f>'ONT_GL '!D86</f>
        <v>0</v>
      </c>
      <c r="G86" s="173">
        <f>'ONT_GL '!E86</f>
        <v>41420.639999999999</v>
      </c>
      <c r="H86" s="173">
        <f t="shared" ref="H86:I88" si="15">F86-D86</f>
        <v>0</v>
      </c>
      <c r="I86" s="173">
        <f t="shared" si="15"/>
        <v>14944.64</v>
      </c>
    </row>
    <row r="87" spans="1:63" x14ac:dyDescent="0.25">
      <c r="A87" s="172"/>
      <c r="B87" s="3"/>
      <c r="C87" s="10" t="s">
        <v>74</v>
      </c>
      <c r="D87" s="174">
        <f>ONT_FLSH!L87</f>
        <v>0</v>
      </c>
      <c r="E87" s="174">
        <f>ONT_FLSH!M87</f>
        <v>0</v>
      </c>
      <c r="F87" s="174">
        <f>'ONT_GL '!D87</f>
        <v>0</v>
      </c>
      <c r="G87" s="174">
        <f>'ONT_GL 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75</v>
      </c>
      <c r="D88" s="175">
        <f>ONT_FLSH!L88</f>
        <v>0</v>
      </c>
      <c r="E88" s="175">
        <f>ONT_FLSH!M88</f>
        <v>0</v>
      </c>
      <c r="F88" s="175">
        <f>'ONT_GL '!D88</f>
        <v>0</v>
      </c>
      <c r="G88" s="175">
        <f>'ONT_GL '!E88</f>
        <v>-14945</v>
      </c>
      <c r="H88" s="175">
        <f t="shared" si="15"/>
        <v>0</v>
      </c>
      <c r="I88" s="175">
        <f t="shared" si="15"/>
        <v>-14945</v>
      </c>
    </row>
    <row r="89" spans="1:63" s="143" customFormat="1" x14ac:dyDescent="0.25">
      <c r="A89" s="186"/>
      <c r="B89" s="187"/>
      <c r="C89" s="185" t="s">
        <v>179</v>
      </c>
      <c r="D89" s="188">
        <f t="shared" ref="D89:I89" si="16">SUM(D86:D88)</f>
        <v>0</v>
      </c>
      <c r="E89" s="188">
        <f t="shared" si="16"/>
        <v>26476</v>
      </c>
      <c r="F89" s="188">
        <f t="shared" si="16"/>
        <v>0</v>
      </c>
      <c r="G89" s="188">
        <f t="shared" si="16"/>
        <v>26475.64</v>
      </c>
      <c r="H89" s="188">
        <f t="shared" si="16"/>
        <v>0</v>
      </c>
      <c r="I89" s="188">
        <f t="shared" si="16"/>
        <v>-0.36000000000058208</v>
      </c>
    </row>
    <row r="90" spans="1:63" s="143" customFormat="1" x14ac:dyDescent="0.25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5">
      <c r="A91" s="186"/>
      <c r="B91" s="187"/>
      <c r="C91" s="185" t="s">
        <v>182</v>
      </c>
      <c r="D91" s="188">
        <f t="shared" ref="D91:I91" si="17">+D82+D89</f>
        <v>0</v>
      </c>
      <c r="E91" s="188">
        <f t="shared" si="17"/>
        <v>-45297.679999999993</v>
      </c>
      <c r="F91" s="188">
        <f t="shared" si="17"/>
        <v>0</v>
      </c>
      <c r="G91" s="188">
        <f t="shared" si="17"/>
        <v>-3890665.0800000024</v>
      </c>
      <c r="H91" s="188">
        <f t="shared" si="17"/>
        <v>0</v>
      </c>
      <c r="I91" s="188">
        <f t="shared" si="17"/>
        <v>-3845367.4</v>
      </c>
    </row>
    <row r="92" spans="1:63" s="143" customFormat="1" x14ac:dyDescent="0.25">
      <c r="A92" s="190"/>
      <c r="B92" s="187"/>
      <c r="D92" s="191"/>
      <c r="E92" s="191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83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9906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24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25</v>
      </c>
      <c r="E9" s="76" t="s">
        <v>26</v>
      </c>
      <c r="F9" s="77" t="s">
        <v>25</v>
      </c>
      <c r="G9" s="76" t="s">
        <v>26</v>
      </c>
      <c r="H9" s="77" t="s">
        <v>25</v>
      </c>
      <c r="I9" s="76" t="s">
        <v>26</v>
      </c>
    </row>
    <row r="10" spans="1:22" x14ac:dyDescent="0.25">
      <c r="A10" s="9"/>
      <c r="B10" s="11" t="s">
        <v>27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28</v>
      </c>
      <c r="D11" s="65">
        <f>BUG_FLSH!D11</f>
        <v>5743537</v>
      </c>
      <c r="E11" s="66">
        <f>BUG_FLSH!E11</f>
        <v>11860606</v>
      </c>
      <c r="F11" s="60">
        <f>BUG_GL!D11</f>
        <v>5798202</v>
      </c>
      <c r="G11" s="38">
        <f>BUG_GL!E11</f>
        <v>11572806</v>
      </c>
      <c r="H11" s="60">
        <f>F11-D11</f>
        <v>54665</v>
      </c>
      <c r="I11" s="38">
        <f>G11-E11</f>
        <v>-287800</v>
      </c>
    </row>
    <row r="12" spans="1:22" x14ac:dyDescent="0.25">
      <c r="A12" s="9">
        <v>2</v>
      </c>
      <c r="B12" s="7"/>
      <c r="C12" s="18" t="s">
        <v>29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30</v>
      </c>
      <c r="D13" s="65">
        <f>BUG_FLSH!D13</f>
        <v>19872754</v>
      </c>
      <c r="E13" s="66">
        <f>BUG_FLSH!E13</f>
        <v>48750519</v>
      </c>
      <c r="F13" s="60">
        <f>BUG_GL!D13</f>
        <v>19806567</v>
      </c>
      <c r="G13" s="38">
        <f>BUG_GL!E13</f>
        <v>48575377</v>
      </c>
      <c r="H13" s="60">
        <f t="shared" ref="H13:I15" si="0">F13-D13</f>
        <v>-66187</v>
      </c>
      <c r="I13" s="38">
        <f t="shared" si="0"/>
        <v>-175142</v>
      </c>
    </row>
    <row r="14" spans="1:22" x14ac:dyDescent="0.25">
      <c r="A14" s="9">
        <v>4</v>
      </c>
      <c r="B14" s="7"/>
      <c r="C14" s="18" t="s">
        <v>31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32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279317</v>
      </c>
      <c r="H15" s="60">
        <f t="shared" si="0"/>
        <v>0</v>
      </c>
      <c r="I15" s="38">
        <f t="shared" si="0"/>
        <v>279317</v>
      </c>
    </row>
    <row r="16" spans="1:22" x14ac:dyDescent="0.25">
      <c r="A16" s="9"/>
      <c r="B16" s="7" t="s">
        <v>33</v>
      </c>
      <c r="C16" s="6"/>
      <c r="D16" s="61">
        <f t="shared" ref="D16:I16" si="1">SUM(D11:D15)</f>
        <v>25616291</v>
      </c>
      <c r="E16" s="39">
        <f t="shared" si="1"/>
        <v>60611125</v>
      </c>
      <c r="F16" s="61">
        <f t="shared" si="1"/>
        <v>25604769</v>
      </c>
      <c r="G16" s="39">
        <f t="shared" si="1"/>
        <v>60427500</v>
      </c>
      <c r="H16" s="61">
        <f t="shared" si="1"/>
        <v>-11522</v>
      </c>
      <c r="I16" s="39">
        <f t="shared" si="1"/>
        <v>-183625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28</v>
      </c>
      <c r="D19" s="65">
        <f>BUG_FLSH!D19</f>
        <v>-6260114</v>
      </c>
      <c r="E19" s="66">
        <f>BUG_FLSH!E19</f>
        <v>-12400647</v>
      </c>
      <c r="F19" s="60">
        <f>BUG_GL!D19</f>
        <v>-5718634</v>
      </c>
      <c r="G19" s="38">
        <f>BUG_GL!E19</f>
        <v>-11189822</v>
      </c>
      <c r="H19" s="60">
        <f>F19-D19</f>
        <v>541480</v>
      </c>
      <c r="I19" s="38">
        <f>G19-E19</f>
        <v>1210825</v>
      </c>
    </row>
    <row r="20" spans="1:9" x14ac:dyDescent="0.25">
      <c r="A20" s="9">
        <v>7</v>
      </c>
      <c r="B20" s="7"/>
      <c r="C20" s="18" t="s">
        <v>29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30</v>
      </c>
      <c r="D21" s="65">
        <f>BUG_FLSH!D21</f>
        <v>-25524776</v>
      </c>
      <c r="E21" s="66">
        <f>BUG_FLSH!E21</f>
        <v>-60935936</v>
      </c>
      <c r="F21" s="60">
        <f>BUG_GL!D21</f>
        <v>-25428560</v>
      </c>
      <c r="G21" s="38">
        <f>BUG_GL!E21</f>
        <v>-60695726</v>
      </c>
      <c r="H21" s="60">
        <f t="shared" ref="H21:I23" si="2">F21-D21</f>
        <v>96216</v>
      </c>
      <c r="I21" s="38">
        <f t="shared" si="2"/>
        <v>240210</v>
      </c>
    </row>
    <row r="22" spans="1:9" x14ac:dyDescent="0.25">
      <c r="A22" s="9">
        <v>9</v>
      </c>
      <c r="B22" s="7"/>
      <c r="C22" s="18" t="s">
        <v>31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35</v>
      </c>
      <c r="D23" s="65">
        <f>BUG_FLSH!D23</f>
        <v>529347</v>
      </c>
      <c r="E23" s="66">
        <f>BUG_FLSH!E23</f>
        <v>1224927</v>
      </c>
      <c r="F23" s="60">
        <f>BUG_GL!D23</f>
        <v>0</v>
      </c>
      <c r="G23" s="38">
        <f>BUG_GL!E23</f>
        <v>0</v>
      </c>
      <c r="H23" s="60">
        <f t="shared" si="2"/>
        <v>-529347</v>
      </c>
      <c r="I23" s="38">
        <f t="shared" si="2"/>
        <v>-1224927</v>
      </c>
    </row>
    <row r="24" spans="1:9" x14ac:dyDescent="0.25">
      <c r="A24" s="9"/>
      <c r="B24" s="7" t="s">
        <v>36</v>
      </c>
      <c r="C24" s="6"/>
      <c r="D24" s="61">
        <f t="shared" ref="D24:I24" si="3">SUM(D19:D23)</f>
        <v>-31255543</v>
      </c>
      <c r="E24" s="39">
        <f t="shared" si="3"/>
        <v>-72111656</v>
      </c>
      <c r="F24" s="61">
        <f t="shared" si="3"/>
        <v>-31147194</v>
      </c>
      <c r="G24" s="39">
        <f t="shared" si="3"/>
        <v>-71885548</v>
      </c>
      <c r="H24" s="61">
        <f t="shared" si="3"/>
        <v>108349</v>
      </c>
      <c r="I24" s="39">
        <f t="shared" si="3"/>
        <v>226108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38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39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40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42</v>
      </c>
      <c r="D32" s="65">
        <f>BUG_FLSH!D32</f>
        <v>17100</v>
      </c>
      <c r="E32" s="66">
        <f>BUG_FLSH!E32</f>
        <v>40185</v>
      </c>
      <c r="F32" s="60">
        <f>BUG_GL!D32</f>
        <v>19059</v>
      </c>
      <c r="G32" s="38">
        <f>BUG_GL!E32</f>
        <v>42443</v>
      </c>
      <c r="H32" s="60">
        <f>F32-D32</f>
        <v>1959</v>
      </c>
      <c r="I32" s="38">
        <f>G32-E32</f>
        <v>2258</v>
      </c>
    </row>
    <row r="33" spans="1:9" x14ac:dyDescent="0.25">
      <c r="A33" s="9">
        <v>14</v>
      </c>
      <c r="B33" s="7"/>
      <c r="C33" s="18" t="s">
        <v>43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44</v>
      </c>
      <c r="D34" s="65">
        <f>BUG_FLSH!D34</f>
        <v>0</v>
      </c>
      <c r="E34" s="66">
        <f>BUG_FLSH!E34</f>
        <v>0</v>
      </c>
      <c r="F34" s="60">
        <f>BUG_GL!D34</f>
        <v>3298</v>
      </c>
      <c r="G34" s="38">
        <f>BUG_GL!E34</f>
        <v>7570</v>
      </c>
      <c r="H34" s="60">
        <f t="shared" si="5"/>
        <v>3298</v>
      </c>
      <c r="I34" s="38">
        <f t="shared" si="5"/>
        <v>7570</v>
      </c>
    </row>
    <row r="35" spans="1:9" x14ac:dyDescent="0.25">
      <c r="A35" s="9">
        <v>16</v>
      </c>
      <c r="B35" s="7"/>
      <c r="C35" s="18" t="s">
        <v>45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46</v>
      </c>
      <c r="C36" s="6"/>
      <c r="D36" s="61">
        <f t="shared" ref="D36:I36" si="6">SUM(D32:D35)</f>
        <v>17100</v>
      </c>
      <c r="E36" s="39">
        <f t="shared" si="6"/>
        <v>40185</v>
      </c>
      <c r="F36" s="61">
        <f t="shared" si="6"/>
        <v>22357</v>
      </c>
      <c r="G36" s="39">
        <f t="shared" si="6"/>
        <v>50013</v>
      </c>
      <c r="H36" s="61">
        <f t="shared" si="6"/>
        <v>5257</v>
      </c>
      <c r="I36" s="39">
        <f t="shared" si="6"/>
        <v>9828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48</v>
      </c>
      <c r="D39" s="65">
        <f>BUG_FLSH!D39</f>
        <v>5659897</v>
      </c>
      <c r="E39" s="66">
        <f>BUG_FLSH!E39</f>
        <v>13850098</v>
      </c>
      <c r="F39" s="60">
        <f>BUG_GL!D39</f>
        <v>4460329</v>
      </c>
      <c r="G39" s="38">
        <f>BUG_GL!E39</f>
        <v>10906342.789999999</v>
      </c>
      <c r="H39" s="60">
        <f t="shared" ref="H39:I41" si="7">F39-D39</f>
        <v>-1199568</v>
      </c>
      <c r="I39" s="38">
        <f t="shared" si="7"/>
        <v>-2943755.2100000009</v>
      </c>
    </row>
    <row r="40" spans="1:9" ht="22.5" customHeight="1" x14ac:dyDescent="0.25">
      <c r="A40" s="9">
        <v>18</v>
      </c>
      <c r="B40" s="7"/>
      <c r="C40" s="18" t="s">
        <v>49</v>
      </c>
      <c r="D40" s="65">
        <f>BUG_FLSH!D40</f>
        <v>0</v>
      </c>
      <c r="E40" s="66">
        <f>BUG_FLSH!E40</f>
        <v>0</v>
      </c>
      <c r="F40" s="60">
        <f>BUG_GL!D40</f>
        <v>1106981</v>
      </c>
      <c r="G40" s="38">
        <f>BUG_GL!E40</f>
        <v>2718723</v>
      </c>
      <c r="H40" s="60">
        <f t="shared" si="7"/>
        <v>1106981</v>
      </c>
      <c r="I40" s="38">
        <f t="shared" si="7"/>
        <v>2718723</v>
      </c>
    </row>
    <row r="41" spans="1:9" x14ac:dyDescent="0.25">
      <c r="A41" s="9">
        <v>19</v>
      </c>
      <c r="B41" s="7"/>
      <c r="C41" s="18" t="s">
        <v>50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51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1106981</v>
      </c>
      <c r="G42" s="70">
        <f t="shared" si="8"/>
        <v>2718723</v>
      </c>
      <c r="H42" s="69">
        <f t="shared" si="8"/>
        <v>1106981</v>
      </c>
      <c r="I42" s="70">
        <f t="shared" si="8"/>
        <v>2718723</v>
      </c>
    </row>
    <row r="43" spans="1:9" ht="21" customHeight="1" x14ac:dyDescent="0.25">
      <c r="A43" s="9"/>
      <c r="B43" s="7" t="s">
        <v>52</v>
      </c>
      <c r="C43" s="6"/>
      <c r="D43" s="61">
        <f t="shared" ref="D43:I43" si="9">D42+D39</f>
        <v>5659897</v>
      </c>
      <c r="E43" s="39">
        <f t="shared" si="9"/>
        <v>13850098</v>
      </c>
      <c r="F43" s="61">
        <f t="shared" si="9"/>
        <v>5567310</v>
      </c>
      <c r="G43" s="39">
        <f t="shared" si="9"/>
        <v>13625065.789999999</v>
      </c>
      <c r="H43" s="61">
        <f t="shared" si="9"/>
        <v>-92587</v>
      </c>
      <c r="I43" s="39">
        <f t="shared" si="9"/>
        <v>-225032.21000000089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53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54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55</v>
      </c>
      <c r="C49" s="6"/>
      <c r="D49" s="65">
        <f>BUG_FLSH!D49</f>
        <v>-37745</v>
      </c>
      <c r="E49" s="66">
        <f>BUG_FLSH!E49</f>
        <v>-84058.114999999991</v>
      </c>
      <c r="F49" s="60">
        <f>BUG_GL!D49</f>
        <v>-47242</v>
      </c>
      <c r="G49" s="38">
        <f>BUG_GL!E49</f>
        <v>-105208.01</v>
      </c>
      <c r="H49" s="60">
        <f>F49-D49</f>
        <v>-9497</v>
      </c>
      <c r="I49" s="38">
        <f>G49-E49</f>
        <v>-21149.895000000004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56</v>
      </c>
      <c r="C51" s="6"/>
      <c r="D51" s="65">
        <f>BUG_FLSH!D51</f>
        <v>-529347</v>
      </c>
      <c r="E51" s="66">
        <f>BUG_FLSH!E51</f>
        <v>-1224927</v>
      </c>
      <c r="F51" s="60">
        <f>BUG_GL!D51</f>
        <v>-514013</v>
      </c>
      <c r="G51" s="38">
        <f>BUG_GL!E51</f>
        <v>-1144707</v>
      </c>
      <c r="H51" s="60">
        <f>F51-D51</f>
        <v>15334</v>
      </c>
      <c r="I51" s="38">
        <f>G51-E51</f>
        <v>80220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58</v>
      </c>
      <c r="D54" s="65">
        <f>BUG_FLSH!D54</f>
        <v>0</v>
      </c>
      <c r="E54" s="66">
        <f>BUG_FLSH!E54</f>
        <v>-501940</v>
      </c>
      <c r="F54" s="60">
        <f>BUG_GL!D54</f>
        <v>-16652170</v>
      </c>
      <c r="G54" s="38">
        <f>BUG_GL!E54</f>
        <v>-569364</v>
      </c>
      <c r="H54" s="60">
        <f>F54-D54</f>
        <v>-16652170</v>
      </c>
      <c r="I54" s="38">
        <f>G54-E54</f>
        <v>-67424</v>
      </c>
    </row>
    <row r="55" spans="1:9" x14ac:dyDescent="0.25">
      <c r="A55" s="9">
        <v>25</v>
      </c>
      <c r="B55" s="7"/>
      <c r="C55" s="18" t="s">
        <v>59</v>
      </c>
      <c r="D55" s="65">
        <f>BUG_FLSH!D55</f>
        <v>0</v>
      </c>
      <c r="E55" s="66">
        <f>BUG_FLSH!E55</f>
        <v>0</v>
      </c>
      <c r="F55" s="60">
        <f>BUG_GL!D55</f>
        <v>0</v>
      </c>
      <c r="G55" s="38">
        <f>BUG_GL!E55</f>
        <v>-10080057</v>
      </c>
      <c r="H55" s="60">
        <f>F55-D55</f>
        <v>0</v>
      </c>
      <c r="I55" s="38">
        <f>G55-E55</f>
        <v>-10080057</v>
      </c>
    </row>
    <row r="56" spans="1:9" x14ac:dyDescent="0.25">
      <c r="A56" s="9"/>
      <c r="B56" s="7" t="s">
        <v>60</v>
      </c>
      <c r="C56" s="6"/>
      <c r="D56" s="61">
        <f t="shared" ref="D56:I56" si="10">SUM(D54:D55)</f>
        <v>0</v>
      </c>
      <c r="E56" s="39">
        <f t="shared" si="10"/>
        <v>-501940</v>
      </c>
      <c r="F56" s="61">
        <f t="shared" si="10"/>
        <v>-16652170</v>
      </c>
      <c r="G56" s="39">
        <f t="shared" si="10"/>
        <v>-10649421</v>
      </c>
      <c r="H56" s="61">
        <f t="shared" si="10"/>
        <v>-16652170</v>
      </c>
      <c r="I56" s="39">
        <f t="shared" si="10"/>
        <v>-10147481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61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62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-46</v>
      </c>
      <c r="H59" s="60">
        <f>F59-D59</f>
        <v>0</v>
      </c>
      <c r="I59" s="38">
        <f>G59-E59</f>
        <v>-46</v>
      </c>
    </row>
    <row r="60" spans="1:9" x14ac:dyDescent="0.25">
      <c r="A60" s="9">
        <v>27</v>
      </c>
      <c r="B60" s="11"/>
      <c r="C60" s="18" t="s">
        <v>63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64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-46</v>
      </c>
      <c r="H61" s="69">
        <f t="shared" si="11"/>
        <v>0</v>
      </c>
      <c r="I61" s="70">
        <f t="shared" si="11"/>
        <v>-46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37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65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66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67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69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70</v>
      </c>
      <c r="D70" s="65">
        <f>BUG_FLSH!D70</f>
        <v>0</v>
      </c>
      <c r="E70" s="66">
        <f>BUG_FLSH!E70</f>
        <v>6075072.7361008003</v>
      </c>
      <c r="F70" s="60">
        <f>BUG_GL!D70</f>
        <v>0</v>
      </c>
      <c r="G70" s="38">
        <f>BUG_GL!E70</f>
        <v>6075072.7400000002</v>
      </c>
      <c r="H70" s="60">
        <f>F70-D70</f>
        <v>0</v>
      </c>
      <c r="I70" s="38">
        <f>G70-E70</f>
        <v>3.8991998881101608E-3</v>
      </c>
    </row>
    <row r="71" spans="1:9" x14ac:dyDescent="0.25">
      <c r="A71" s="9">
        <v>31</v>
      </c>
      <c r="B71" s="3"/>
      <c r="C71" s="10" t="s">
        <v>71</v>
      </c>
      <c r="D71" s="65">
        <f>BUG_FLSH!D71</f>
        <v>0</v>
      </c>
      <c r="E71" s="66">
        <f>BUG_FLSH!E71</f>
        <v>-5981502</v>
      </c>
      <c r="F71" s="60">
        <f>BUG_GL!D71</f>
        <v>0</v>
      </c>
      <c r="G71" s="38">
        <f>BUG_GL!E71</f>
        <v>-5981501.7300000004</v>
      </c>
      <c r="H71" s="60">
        <f>F71-D71</f>
        <v>0</v>
      </c>
      <c r="I71" s="38">
        <f>G71-E71</f>
        <v>0.26999999955296516</v>
      </c>
    </row>
    <row r="72" spans="1:9" x14ac:dyDescent="0.25">
      <c r="A72" s="9"/>
      <c r="B72" s="3"/>
      <c r="C72" s="55" t="s">
        <v>72</v>
      </c>
      <c r="D72" s="69">
        <f t="shared" ref="D72:I72" si="13">SUM(D70:D71)</f>
        <v>0</v>
      </c>
      <c r="E72" s="70">
        <f t="shared" si="13"/>
        <v>93570.736100800335</v>
      </c>
      <c r="F72" s="69">
        <f t="shared" si="13"/>
        <v>0</v>
      </c>
      <c r="G72" s="70">
        <f t="shared" si="13"/>
        <v>93571.009999999776</v>
      </c>
      <c r="H72" s="69">
        <f t="shared" si="13"/>
        <v>0</v>
      </c>
      <c r="I72" s="70">
        <f t="shared" si="13"/>
        <v>0.27389919944107533</v>
      </c>
    </row>
    <row r="73" spans="1:9" x14ac:dyDescent="0.25">
      <c r="A73" s="9">
        <v>32</v>
      </c>
      <c r="B73" s="3"/>
      <c r="C73" s="10" t="s">
        <v>73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74</v>
      </c>
      <c r="D74" s="65">
        <f>BUG_FLSH!D74</f>
        <v>0</v>
      </c>
      <c r="E74" s="66">
        <f>BUG_FLSH!E74</f>
        <v>758806</v>
      </c>
      <c r="F74" s="60">
        <f>BUG_GL!D74</f>
        <v>0</v>
      </c>
      <c r="G74" s="38">
        <f>BUG_GL!E74</f>
        <v>762348</v>
      </c>
      <c r="H74" s="60">
        <f t="shared" ref="H74:I79" si="14">F74-D74</f>
        <v>0</v>
      </c>
      <c r="I74" s="38">
        <f t="shared" si="14"/>
        <v>3542</v>
      </c>
    </row>
    <row r="75" spans="1:9" x14ac:dyDescent="0.25">
      <c r="A75" s="9">
        <v>34</v>
      </c>
      <c r="B75" s="3"/>
      <c r="C75" s="10" t="s">
        <v>75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76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77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9954543</v>
      </c>
      <c r="H77" s="60">
        <f t="shared" si="14"/>
        <v>0</v>
      </c>
      <c r="I77" s="38">
        <f t="shared" si="14"/>
        <v>9954543</v>
      </c>
    </row>
    <row r="78" spans="1:9" x14ac:dyDescent="0.25">
      <c r="A78" s="9">
        <v>37</v>
      </c>
      <c r="B78" s="3"/>
      <c r="C78" s="10" t="s">
        <v>78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79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80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81</v>
      </c>
      <c r="D81" s="65">
        <f>BUG_FLSH!D81</f>
        <v>0</v>
      </c>
      <c r="E81" s="66">
        <f>BUG_FLSH!E81</f>
        <v>6418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-6418</v>
      </c>
    </row>
    <row r="82" spans="1:63" s="2" customFormat="1" ht="20.25" customHeight="1" thickBot="1" x14ac:dyDescent="0.3">
      <c r="A82" s="95"/>
      <c r="B82" s="30"/>
      <c r="C82" s="96" t="s">
        <v>82</v>
      </c>
      <c r="D82" s="111">
        <f>D16+D24+D29+D36+D43+D45+D47+D49</f>
        <v>0</v>
      </c>
      <c r="E82" s="112">
        <f>SUM(E72:E81)+E16+E24+E29+E36+E43+E45+E47+E49+E51+E56+E61+E66</f>
        <v>1437621.6211008001</v>
      </c>
      <c r="F82" s="111">
        <f>F16+F24+F29+F36+F43+F45+F47+F49</f>
        <v>0</v>
      </c>
      <c r="G82" s="112">
        <f>SUM(G72:G81)+G16+G24+G29+G36+G43+G45+G47+G49+G51+G56+G61+G66</f>
        <v>1128110.7900000047</v>
      </c>
      <c r="H82" s="111">
        <f>H16+H24+H29+H36+H43+H45+H47+H49</f>
        <v>0</v>
      </c>
      <c r="I82" s="112">
        <f>SUM(I72:I81)+I16+I24+I29+I36+I43+I45+I47+I49+I51+I56+I61+I66</f>
        <v>-309510.83110080101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AE637" activePane="bottomRight" state="frozen"/>
      <selection pane="topRight" activeCell="E1" sqref="E1"/>
      <selection pane="bottomLeft" activeCell="A4" sqref="A4"/>
      <selection pane="bottomRight" activeCell="AK641" sqref="AK641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3" customWidth="1"/>
    <col min="8" max="8" width="12.33203125" customWidth="1"/>
    <col min="9" max="9" width="11.6640625" style="123" customWidth="1"/>
    <col min="10" max="10" width="11.33203125" customWidth="1"/>
    <col min="11" max="11" width="14" customWidth="1"/>
    <col min="12" max="12" width="11.6640625" customWidth="1"/>
    <col min="14" max="14" width="12.44140625" customWidth="1"/>
    <col min="15" max="15" width="11.33203125" customWidth="1"/>
    <col min="16" max="16" width="12.33203125" customWidth="1"/>
    <col min="27" max="27" width="11.33203125" customWidth="1"/>
  </cols>
  <sheetData>
    <row r="1" spans="1:118" ht="28.5" customHeight="1" x14ac:dyDescent="0.25">
      <c r="E1" s="214">
        <v>36312</v>
      </c>
      <c r="F1" s="214"/>
      <c r="G1" s="215">
        <f>+E1+31</f>
        <v>36343</v>
      </c>
      <c r="H1" s="215"/>
      <c r="I1" s="215">
        <f>+G1+30</f>
        <v>36373</v>
      </c>
      <c r="J1" s="215"/>
      <c r="K1" s="209">
        <f>+I1+31</f>
        <v>36404</v>
      </c>
      <c r="L1" s="209"/>
      <c r="M1" s="209">
        <f>+K1+31</f>
        <v>36435</v>
      </c>
      <c r="N1" s="209"/>
      <c r="O1" s="209">
        <f>+M1+30</f>
        <v>36465</v>
      </c>
      <c r="P1" s="209"/>
      <c r="Q1" s="209">
        <f>+O1+31</f>
        <v>36496</v>
      </c>
      <c r="R1" s="209"/>
      <c r="S1" s="209">
        <f>+Q1+31</f>
        <v>36527</v>
      </c>
      <c r="T1" s="209"/>
      <c r="U1" s="209">
        <f>+S1+31</f>
        <v>36558</v>
      </c>
      <c r="V1" s="209"/>
      <c r="W1" s="209">
        <f>+U1+31</f>
        <v>36589</v>
      </c>
      <c r="X1" s="209"/>
      <c r="Y1" s="209">
        <f>+W1+31</f>
        <v>36620</v>
      </c>
      <c r="Z1" s="209"/>
      <c r="AA1" s="209">
        <f>+Y1+31</f>
        <v>36651</v>
      </c>
      <c r="AB1" s="209"/>
      <c r="AC1" s="209">
        <f>+AA1+31</f>
        <v>36682</v>
      </c>
      <c r="AD1" s="209"/>
      <c r="AE1" s="209">
        <f>+AC1+31</f>
        <v>36713</v>
      </c>
      <c r="AF1" s="209"/>
      <c r="AG1" s="209"/>
      <c r="AH1" s="209"/>
    </row>
    <row r="2" spans="1:118" x14ac:dyDescent="0.25">
      <c r="A2" s="113" t="s">
        <v>117</v>
      </c>
      <c r="B2" s="113" t="s">
        <v>118</v>
      </c>
      <c r="C2" s="113" t="s">
        <v>119</v>
      </c>
      <c r="D2" s="113" t="s">
        <v>120</v>
      </c>
      <c r="E2" s="114" t="s">
        <v>121</v>
      </c>
      <c r="F2" s="114" t="s">
        <v>122</v>
      </c>
      <c r="G2" s="123" t="s">
        <v>123</v>
      </c>
    </row>
    <row r="3" spans="1:118" s="117" customFormat="1" x14ac:dyDescent="0.25">
      <c r="A3" s="115" t="s">
        <v>124</v>
      </c>
      <c r="B3" s="115" t="s">
        <v>118</v>
      </c>
      <c r="C3" s="115" t="s">
        <v>119</v>
      </c>
      <c r="D3" s="115" t="s">
        <v>120</v>
      </c>
      <c r="E3" s="116" t="s">
        <v>188</v>
      </c>
      <c r="F3" s="117" t="s">
        <v>189</v>
      </c>
      <c r="G3" s="168" t="s">
        <v>188</v>
      </c>
      <c r="H3" s="117" t="s">
        <v>189</v>
      </c>
      <c r="I3" s="168" t="s">
        <v>188</v>
      </c>
      <c r="J3" s="117" t="s">
        <v>189</v>
      </c>
      <c r="K3" s="116" t="s">
        <v>188</v>
      </c>
      <c r="L3" s="117" t="s">
        <v>189</v>
      </c>
      <c r="M3" s="116" t="s">
        <v>188</v>
      </c>
      <c r="N3" s="117" t="s">
        <v>189</v>
      </c>
      <c r="O3" s="116" t="s">
        <v>188</v>
      </c>
      <c r="P3" s="117" t="s">
        <v>189</v>
      </c>
      <c r="Q3" s="116" t="s">
        <v>188</v>
      </c>
      <c r="R3" s="117" t="s">
        <v>189</v>
      </c>
      <c r="S3" s="116" t="s">
        <v>188</v>
      </c>
      <c r="T3" s="117" t="s">
        <v>189</v>
      </c>
      <c r="U3" s="116" t="s">
        <v>188</v>
      </c>
      <c r="V3" s="117" t="s">
        <v>189</v>
      </c>
      <c r="W3" s="116" t="s">
        <v>188</v>
      </c>
      <c r="X3" s="117" t="s">
        <v>189</v>
      </c>
      <c r="Y3" s="116" t="s">
        <v>188</v>
      </c>
      <c r="Z3" s="117" t="s">
        <v>189</v>
      </c>
      <c r="AA3" s="116" t="s">
        <v>188</v>
      </c>
      <c r="AB3" s="117" t="s">
        <v>189</v>
      </c>
      <c r="AC3" s="116" t="s">
        <v>188</v>
      </c>
      <c r="AD3" s="117" t="s">
        <v>189</v>
      </c>
      <c r="AE3" s="116" t="s">
        <v>125</v>
      </c>
    </row>
    <row r="4" spans="1:118" x14ac:dyDescent="0.25">
      <c r="A4" s="118" t="s">
        <v>126</v>
      </c>
      <c r="B4" s="118" t="s">
        <v>127</v>
      </c>
      <c r="C4" s="119">
        <v>1</v>
      </c>
      <c r="D4" s="118" t="s">
        <v>28</v>
      </c>
      <c r="E4" s="120">
        <v>964829</v>
      </c>
      <c r="F4" s="120">
        <v>2116231.87</v>
      </c>
      <c r="G4" s="124">
        <v>58775</v>
      </c>
      <c r="H4" s="121">
        <v>125431.87</v>
      </c>
      <c r="I4" s="124">
        <v>0</v>
      </c>
      <c r="J4" s="121">
        <v>0</v>
      </c>
      <c r="K4" s="121">
        <v>0</v>
      </c>
      <c r="L4" s="121">
        <v>0</v>
      </c>
      <c r="M4" s="121">
        <v>-61478</v>
      </c>
      <c r="N4" s="121">
        <v>-136788.54999999999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5">
      <c r="A5" s="118" t="s">
        <v>126</v>
      </c>
      <c r="B5" s="118" t="s">
        <v>127</v>
      </c>
      <c r="C5" s="119">
        <v>2</v>
      </c>
      <c r="D5" s="118" t="s">
        <v>29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5">
      <c r="A6" s="118" t="s">
        <v>126</v>
      </c>
      <c r="B6" s="118" t="s">
        <v>127</v>
      </c>
      <c r="C6" s="119">
        <v>3</v>
      </c>
      <c r="D6" s="118" t="s">
        <v>30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5">
      <c r="A7" s="118" t="s">
        <v>126</v>
      </c>
      <c r="B7" s="118" t="s">
        <v>127</v>
      </c>
      <c r="C7" s="119">
        <v>4</v>
      </c>
      <c r="D7" s="118" t="s">
        <v>31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5">
      <c r="A8" s="118" t="s">
        <v>126</v>
      </c>
      <c r="B8" s="118" t="s">
        <v>127</v>
      </c>
      <c r="C8" s="119">
        <v>5</v>
      </c>
      <c r="D8" s="118" t="s">
        <v>128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5">
      <c r="A9" s="118" t="s">
        <v>126</v>
      </c>
      <c r="B9" s="118" t="s">
        <v>127</v>
      </c>
      <c r="C9" s="119">
        <v>6</v>
      </c>
      <c r="D9" s="118" t="s">
        <v>28</v>
      </c>
      <c r="E9" s="120">
        <v>-983775</v>
      </c>
      <c r="F9" s="120">
        <v>-2105036.44</v>
      </c>
      <c r="G9" s="124">
        <v>-145836</v>
      </c>
      <c r="H9" s="121">
        <v>-325447.98</v>
      </c>
      <c r="I9" s="124">
        <v>2239</v>
      </c>
      <c r="J9" s="121">
        <v>5470.64</v>
      </c>
      <c r="K9" s="121">
        <v>30</v>
      </c>
      <c r="L9" s="121">
        <v>57.12</v>
      </c>
      <c r="M9" s="121">
        <v>61478</v>
      </c>
      <c r="N9" s="121">
        <v>137290.63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5">
      <c r="A10" s="118" t="s">
        <v>126</v>
      </c>
      <c r="B10" s="118" t="s">
        <v>127</v>
      </c>
      <c r="C10" s="119">
        <v>7</v>
      </c>
      <c r="D10" s="118" t="s">
        <v>29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5">
      <c r="A11" s="118" t="s">
        <v>126</v>
      </c>
      <c r="B11" s="118" t="s">
        <v>127</v>
      </c>
      <c r="C11" s="119">
        <v>8</v>
      </c>
      <c r="D11" s="118" t="s">
        <v>30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5">
      <c r="A12" s="118" t="s">
        <v>126</v>
      </c>
      <c r="B12" s="118" t="s">
        <v>127</v>
      </c>
      <c r="C12" s="119">
        <v>9</v>
      </c>
      <c r="D12" s="118" t="s">
        <v>31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5">
      <c r="A13" s="118" t="s">
        <v>126</v>
      </c>
      <c r="B13" s="118" t="s">
        <v>127</v>
      </c>
      <c r="C13" s="119">
        <v>10</v>
      </c>
      <c r="D13" s="118" t="s">
        <v>35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5">
      <c r="A14" s="118" t="s">
        <v>126</v>
      </c>
      <c r="B14" s="118" t="s">
        <v>127</v>
      </c>
      <c r="C14" s="119">
        <v>11</v>
      </c>
      <c r="D14" s="118" t="s">
        <v>38</v>
      </c>
      <c r="E14" s="120">
        <v>24320</v>
      </c>
      <c r="F14" s="120">
        <v>54476.800000000003</v>
      </c>
      <c r="G14" s="124">
        <v>61975</v>
      </c>
      <c r="H14" s="121">
        <v>132503.4675</v>
      </c>
      <c r="I14" s="124">
        <v>24463</v>
      </c>
      <c r="J14" s="121">
        <v>52649.953800000003</v>
      </c>
      <c r="K14" s="121">
        <v>-50</v>
      </c>
      <c r="L14" s="121">
        <v>-106.0718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0</v>
      </c>
      <c r="AA14" s="121">
        <v>0</v>
      </c>
      <c r="AB14" s="121">
        <v>0</v>
      </c>
      <c r="AC14" s="121">
        <v>0</v>
      </c>
      <c r="AD14" s="121">
        <v>0</v>
      </c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5">
      <c r="A15" s="118" t="s">
        <v>126</v>
      </c>
      <c r="B15" s="118" t="s">
        <v>127</v>
      </c>
      <c r="C15" s="119">
        <v>12</v>
      </c>
      <c r="D15" s="118" t="s">
        <v>39</v>
      </c>
      <c r="E15" s="120">
        <v>-5374</v>
      </c>
      <c r="F15" s="120">
        <v>-12177.94</v>
      </c>
      <c r="G15" s="124">
        <v>-1616</v>
      </c>
      <c r="H15" s="121">
        <v>-3684.34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5">
      <c r="A16" s="118" t="s">
        <v>126</v>
      </c>
      <c r="B16" s="118" t="s">
        <v>127</v>
      </c>
      <c r="C16" s="119">
        <v>13</v>
      </c>
      <c r="D16" s="118" t="s">
        <v>42</v>
      </c>
      <c r="E16" s="120">
        <v>0</v>
      </c>
      <c r="F16" s="120">
        <v>0</v>
      </c>
      <c r="G16" s="124">
        <v>26702</v>
      </c>
      <c r="H16" s="121">
        <v>58237.061999999998</v>
      </c>
      <c r="I16" s="124">
        <v>-26702</v>
      </c>
      <c r="J16" s="121">
        <v>-58237.061999999998</v>
      </c>
      <c r="K16" s="121">
        <v>20</v>
      </c>
      <c r="L16" s="121">
        <v>51.74</v>
      </c>
      <c r="M16" s="121">
        <v>0</v>
      </c>
      <c r="N16" s="121">
        <v>5.62</v>
      </c>
      <c r="O16" s="121">
        <v>0</v>
      </c>
      <c r="P16" s="121">
        <v>-14.98</v>
      </c>
      <c r="Q16" s="121">
        <v>0</v>
      </c>
      <c r="R16" s="121">
        <v>1.24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5">
      <c r="A17" s="118" t="s">
        <v>126</v>
      </c>
      <c r="B17" s="118" t="s">
        <v>127</v>
      </c>
      <c r="C17" s="119">
        <v>14</v>
      </c>
      <c r="D17" s="118" t="s">
        <v>43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5">
      <c r="A18" s="118" t="s">
        <v>126</v>
      </c>
      <c r="B18" s="118" t="s">
        <v>127</v>
      </c>
      <c r="C18" s="119">
        <v>15</v>
      </c>
      <c r="D18" s="118" t="s">
        <v>44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5">
      <c r="A19" s="118" t="s">
        <v>126</v>
      </c>
      <c r="B19" s="118" t="s">
        <v>127</v>
      </c>
      <c r="C19" s="119">
        <v>16</v>
      </c>
      <c r="D19" s="118" t="s">
        <v>45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5">
      <c r="A20" s="118" t="s">
        <v>126</v>
      </c>
      <c r="B20" s="118" t="s">
        <v>127</v>
      </c>
      <c r="C20" s="119">
        <v>17</v>
      </c>
      <c r="D20" s="118" t="s">
        <v>129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5">
      <c r="A21" s="118" t="s">
        <v>126</v>
      </c>
      <c r="B21" s="118" t="s">
        <v>127</v>
      </c>
      <c r="C21" s="119">
        <v>18</v>
      </c>
      <c r="D21" s="118" t="s">
        <v>130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5">
      <c r="A22" s="118" t="s">
        <v>126</v>
      </c>
      <c r="B22" s="118" t="s">
        <v>127</v>
      </c>
      <c r="C22" s="119">
        <v>19</v>
      </c>
      <c r="D22" s="118" t="s">
        <v>50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5">
      <c r="A23" s="118" t="s">
        <v>126</v>
      </c>
      <c r="B23" s="118" t="s">
        <v>127</v>
      </c>
      <c r="C23" s="119">
        <v>20</v>
      </c>
      <c r="D23" s="118" t="s">
        <v>131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5">
      <c r="A24" s="118" t="s">
        <v>126</v>
      </c>
      <c r="B24" s="118" t="s">
        <v>127</v>
      </c>
      <c r="C24" s="119">
        <v>21</v>
      </c>
      <c r="D24" s="118" t="s">
        <v>132</v>
      </c>
      <c r="E24" s="120">
        <v>0</v>
      </c>
      <c r="F24" s="120">
        <v>0</v>
      </c>
      <c r="G24" s="124">
        <v>0</v>
      </c>
      <c r="H24" s="121">
        <v>9717.56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5">
      <c r="A25" s="118" t="s">
        <v>126</v>
      </c>
      <c r="B25" s="118" t="s">
        <v>127</v>
      </c>
      <c r="C25" s="119">
        <v>22</v>
      </c>
      <c r="D25" s="118" t="s">
        <v>133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5">
      <c r="A26" s="118" t="s">
        <v>126</v>
      </c>
      <c r="B26" s="118" t="s">
        <v>127</v>
      </c>
      <c r="C26" s="119">
        <v>23</v>
      </c>
      <c r="D26" s="118" t="s">
        <v>134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5">
      <c r="A27" s="118" t="s">
        <v>126</v>
      </c>
      <c r="B27" s="118" t="s">
        <v>127</v>
      </c>
      <c r="C27" s="119">
        <v>24</v>
      </c>
      <c r="D27" s="118" t="s">
        <v>58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5">
      <c r="A28" s="118" t="s">
        <v>126</v>
      </c>
      <c r="B28" s="118" t="s">
        <v>127</v>
      </c>
      <c r="C28" s="119">
        <v>25</v>
      </c>
      <c r="D28" s="118" t="s">
        <v>59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5">
      <c r="A29" s="118" t="s">
        <v>126</v>
      </c>
      <c r="B29" s="118" t="s">
        <v>127</v>
      </c>
      <c r="C29" s="119">
        <v>26</v>
      </c>
      <c r="D29" s="118" t="s">
        <v>135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1949.96</v>
      </c>
      <c r="O29" s="121">
        <v>0</v>
      </c>
      <c r="P29" s="121">
        <v>0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5">
      <c r="A30" s="118" t="s">
        <v>126</v>
      </c>
      <c r="B30" s="118" t="s">
        <v>127</v>
      </c>
      <c r="C30" s="119">
        <v>27</v>
      </c>
      <c r="D30" s="118" t="s">
        <v>136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5">
      <c r="A31" s="118" t="s">
        <v>126</v>
      </c>
      <c r="B31" s="118" t="s">
        <v>127</v>
      </c>
      <c r="C31" s="119">
        <v>28</v>
      </c>
      <c r="D31" s="118" t="s">
        <v>137</v>
      </c>
      <c r="E31" s="120">
        <v>-625579</v>
      </c>
      <c r="F31" s="120">
        <v>-83203.570000000007</v>
      </c>
      <c r="G31" s="124">
        <v>-266970</v>
      </c>
      <c r="H31" s="121">
        <v>-9025.94</v>
      </c>
      <c r="I31" s="124">
        <v>-3751</v>
      </c>
      <c r="J31" s="121">
        <v>-2018.13</v>
      </c>
      <c r="K31" s="121">
        <v>3751</v>
      </c>
      <c r="L31" s="121">
        <v>0.23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0</v>
      </c>
      <c r="AB31" s="121">
        <v>0</v>
      </c>
      <c r="AC31" s="121">
        <v>0</v>
      </c>
      <c r="AD31" s="121">
        <v>1943.11</v>
      </c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5">
      <c r="A32" s="118" t="s">
        <v>126</v>
      </c>
      <c r="B32" s="118" t="s">
        <v>127</v>
      </c>
      <c r="C32" s="119">
        <v>29</v>
      </c>
      <c r="D32" s="118" t="s">
        <v>138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5">
      <c r="A33" s="118" t="s">
        <v>126</v>
      </c>
      <c r="B33" s="118" t="s">
        <v>127</v>
      </c>
      <c r="C33" s="119">
        <v>30</v>
      </c>
      <c r="D33" s="118" t="s">
        <v>139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5">
      <c r="A34" s="118" t="s">
        <v>126</v>
      </c>
      <c r="B34" s="118" t="s">
        <v>127</v>
      </c>
      <c r="C34" s="119">
        <v>31</v>
      </c>
      <c r="D34" s="118" t="s">
        <v>140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5">
      <c r="A35" s="118" t="s">
        <v>126</v>
      </c>
      <c r="B35" s="118" t="s">
        <v>127</v>
      </c>
      <c r="C35" s="119">
        <v>32</v>
      </c>
      <c r="D35" s="118" t="s">
        <v>73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5">
      <c r="A36" s="118" t="s">
        <v>126</v>
      </c>
      <c r="B36" s="118" t="s">
        <v>127</v>
      </c>
      <c r="C36" s="119">
        <v>33</v>
      </c>
      <c r="D36" s="118" t="s">
        <v>74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5">
      <c r="A37" s="118" t="s">
        <v>126</v>
      </c>
      <c r="B37" s="118" t="s">
        <v>127</v>
      </c>
      <c r="C37" s="119">
        <v>34</v>
      </c>
      <c r="D37" s="118" t="s">
        <v>75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5">
      <c r="A38" s="118" t="s">
        <v>126</v>
      </c>
      <c r="B38" s="118" t="s">
        <v>127</v>
      </c>
      <c r="C38" s="119">
        <v>35</v>
      </c>
      <c r="D38" s="118" t="s">
        <v>76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5">
      <c r="A39" s="118" t="s">
        <v>126</v>
      </c>
      <c r="B39" s="118" t="s">
        <v>127</v>
      </c>
      <c r="C39" s="119">
        <v>36</v>
      </c>
      <c r="D39" s="118" t="s">
        <v>77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5">
      <c r="A40" s="118" t="s">
        <v>126</v>
      </c>
      <c r="B40" s="118" t="s">
        <v>127</v>
      </c>
      <c r="C40" s="119">
        <v>37</v>
      </c>
      <c r="D40" s="118" t="s">
        <v>78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5">
      <c r="A41" s="118" t="s">
        <v>126</v>
      </c>
      <c r="B41" s="118" t="s">
        <v>127</v>
      </c>
      <c r="C41" s="119">
        <v>38</v>
      </c>
      <c r="D41" s="118" t="s">
        <v>79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5">
      <c r="A42" s="118" t="s">
        <v>126</v>
      </c>
      <c r="B42" s="118" t="s">
        <v>127</v>
      </c>
      <c r="C42" s="119">
        <v>39</v>
      </c>
      <c r="D42" s="118" t="s">
        <v>80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5">
      <c r="A43" s="118" t="s">
        <v>126</v>
      </c>
      <c r="B43" s="118" t="s">
        <v>127</v>
      </c>
      <c r="C43" s="119">
        <v>40</v>
      </c>
      <c r="D43" s="118" t="s">
        <v>81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5">
      <c r="A44" t="s">
        <v>141</v>
      </c>
      <c r="B44" t="s">
        <v>142</v>
      </c>
      <c r="C44">
        <v>1</v>
      </c>
      <c r="D44" t="s">
        <v>28</v>
      </c>
      <c r="E44" s="14">
        <v>8391437</v>
      </c>
      <c r="F44" s="14">
        <v>19132325.850000001</v>
      </c>
      <c r="G44" s="124">
        <v>79389</v>
      </c>
      <c r="H44" s="121">
        <v>128950.52</v>
      </c>
      <c r="I44" s="124">
        <v>-450</v>
      </c>
      <c r="J44" s="121">
        <v>-1039.5</v>
      </c>
      <c r="K44" s="121">
        <v>0</v>
      </c>
      <c r="L44" s="121">
        <v>0</v>
      </c>
      <c r="M44" s="121">
        <v>1</v>
      </c>
      <c r="N44" s="121">
        <v>-6481.38</v>
      </c>
      <c r="O44" s="121">
        <v>958</v>
      </c>
      <c r="P44" s="121">
        <v>2212.98</v>
      </c>
      <c r="Q44" s="121">
        <v>-1</v>
      </c>
      <c r="R44" s="121">
        <v>-6708.71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>
        <v>0</v>
      </c>
      <c r="Z44" s="121">
        <v>0</v>
      </c>
      <c r="AA44" s="121">
        <v>0</v>
      </c>
      <c r="AB44" s="121">
        <v>0</v>
      </c>
      <c r="AC44" s="121">
        <v>15022</v>
      </c>
      <c r="AD44" s="121">
        <v>26359.14</v>
      </c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5">
      <c r="A45" t="s">
        <v>141</v>
      </c>
      <c r="B45" t="s">
        <v>142</v>
      </c>
      <c r="C45">
        <v>2</v>
      </c>
      <c r="D45" t="s">
        <v>29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5">
      <c r="A46" t="s">
        <v>141</v>
      </c>
      <c r="B46" t="s">
        <v>142</v>
      </c>
      <c r="C46">
        <v>3</v>
      </c>
      <c r="D46" t="s">
        <v>30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5">
      <c r="A47" t="s">
        <v>141</v>
      </c>
      <c r="B47" t="s">
        <v>142</v>
      </c>
      <c r="C47">
        <v>4</v>
      </c>
      <c r="D47" t="s">
        <v>31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5">
      <c r="A48" t="s">
        <v>141</v>
      </c>
      <c r="B48" t="s">
        <v>142</v>
      </c>
      <c r="C48">
        <v>5</v>
      </c>
      <c r="D48" t="s">
        <v>128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5">
      <c r="A49" t="s">
        <v>141</v>
      </c>
      <c r="B49" t="s">
        <v>142</v>
      </c>
      <c r="C49">
        <v>6</v>
      </c>
      <c r="D49" t="s">
        <v>28</v>
      </c>
      <c r="E49" s="14">
        <v>-378086</v>
      </c>
      <c r="F49" s="14">
        <v>-810408.32</v>
      </c>
      <c r="G49" s="124">
        <v>-515342</v>
      </c>
      <c r="H49" s="121">
        <v>-1146705.24</v>
      </c>
      <c r="I49" s="124">
        <v>46427</v>
      </c>
      <c r="J49" s="121">
        <v>101881.32</v>
      </c>
      <c r="K49" s="121">
        <v>0</v>
      </c>
      <c r="L49" s="121">
        <v>0</v>
      </c>
      <c r="M49" s="121">
        <v>0</v>
      </c>
      <c r="N49" s="121">
        <v>0</v>
      </c>
      <c r="O49" s="121">
        <v>0</v>
      </c>
      <c r="P49" s="121">
        <v>69.2</v>
      </c>
      <c r="Q49" s="121">
        <v>0</v>
      </c>
      <c r="R49" s="121">
        <v>0</v>
      </c>
      <c r="S49" s="121">
        <v>0</v>
      </c>
      <c r="T49" s="121">
        <v>59.76</v>
      </c>
      <c r="U49" s="121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5">
      <c r="A50" t="s">
        <v>141</v>
      </c>
      <c r="B50" t="s">
        <v>142</v>
      </c>
      <c r="C50">
        <v>7</v>
      </c>
      <c r="D50" t="s">
        <v>29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5">
      <c r="A51" t="s">
        <v>141</v>
      </c>
      <c r="B51" t="s">
        <v>142</v>
      </c>
      <c r="C51">
        <v>8</v>
      </c>
      <c r="D51" t="s">
        <v>30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5">
      <c r="A52" t="s">
        <v>141</v>
      </c>
      <c r="B52" t="s">
        <v>142</v>
      </c>
      <c r="C52">
        <v>9</v>
      </c>
      <c r="D52" t="s">
        <v>31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5">
      <c r="A53" t="s">
        <v>141</v>
      </c>
      <c r="B53" t="s">
        <v>142</v>
      </c>
      <c r="C53">
        <v>10</v>
      </c>
      <c r="D53" t="s">
        <v>35</v>
      </c>
      <c r="E53" s="14">
        <v>0</v>
      </c>
      <c r="F53" s="14">
        <v>0</v>
      </c>
      <c r="G53" s="124">
        <v>50345</v>
      </c>
      <c r="H53" s="121">
        <v>115135.49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454.15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-16182</v>
      </c>
      <c r="X53" s="121">
        <v>-37056.78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5">
      <c r="A54" t="s">
        <v>141</v>
      </c>
      <c r="B54" t="s">
        <v>142</v>
      </c>
      <c r="C54">
        <v>11</v>
      </c>
      <c r="D54" t="s">
        <v>38</v>
      </c>
      <c r="E54" s="14">
        <v>1958491</v>
      </c>
      <c r="F54" s="14">
        <v>4344319.2699999996</v>
      </c>
      <c r="G54" s="124">
        <v>-85802</v>
      </c>
      <c r="H54" s="121">
        <v>-27391.08</v>
      </c>
      <c r="I54" s="124">
        <v>-37183</v>
      </c>
      <c r="J54" s="121">
        <v>-84537.38</v>
      </c>
      <c r="K54" s="121">
        <v>-397971</v>
      </c>
      <c r="L54" s="121">
        <v>-904940.13</v>
      </c>
      <c r="M54" s="121">
        <v>161497</v>
      </c>
      <c r="N54" s="121">
        <v>354597.16</v>
      </c>
      <c r="O54" s="121">
        <v>24504</v>
      </c>
      <c r="P54" s="121">
        <v>54019.07</v>
      </c>
      <c r="Q54" s="121">
        <v>-307682</v>
      </c>
      <c r="R54" s="121">
        <v>-713124.39</v>
      </c>
      <c r="S54" s="121">
        <v>-24474</v>
      </c>
      <c r="T54" s="121">
        <v>-53952.12</v>
      </c>
      <c r="U54" s="121">
        <v>0</v>
      </c>
      <c r="V54" s="121">
        <v>0</v>
      </c>
      <c r="W54" s="121">
        <v>0</v>
      </c>
      <c r="X54" s="121">
        <v>0</v>
      </c>
      <c r="Y54" s="121">
        <v>0</v>
      </c>
      <c r="Z54" s="121">
        <v>0</v>
      </c>
      <c r="AA54" s="121">
        <v>0</v>
      </c>
      <c r="AB54" s="121">
        <v>0</v>
      </c>
      <c r="AC54" s="121">
        <v>0</v>
      </c>
      <c r="AD54" s="121">
        <v>0</v>
      </c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5">
      <c r="A55" t="s">
        <v>141</v>
      </c>
      <c r="B55" t="s">
        <v>142</v>
      </c>
      <c r="C55">
        <v>12</v>
      </c>
      <c r="D55" t="s">
        <v>39</v>
      </c>
      <c r="E55" s="14">
        <v>-10055426</v>
      </c>
      <c r="F55" s="14">
        <v>-22938494.120000001</v>
      </c>
      <c r="G55" s="124">
        <v>44406</v>
      </c>
      <c r="H55" s="121">
        <v>-7315.9200000000419</v>
      </c>
      <c r="I55" s="124">
        <v>43227</v>
      </c>
      <c r="J55" s="121">
        <v>99691.31</v>
      </c>
      <c r="K55" s="121">
        <v>333567</v>
      </c>
      <c r="L55" s="121">
        <v>769193.52</v>
      </c>
      <c r="M55" s="121">
        <v>-113691</v>
      </c>
      <c r="N55" s="121">
        <v>-307253.01</v>
      </c>
      <c r="O55" s="121">
        <v>-24474</v>
      </c>
      <c r="P55" s="121">
        <v>-53952.94</v>
      </c>
      <c r="Q55" s="121">
        <v>307752</v>
      </c>
      <c r="R55" s="121">
        <v>713429.23</v>
      </c>
      <c r="S55" s="121">
        <v>24474</v>
      </c>
      <c r="T55" s="121">
        <v>53813.87</v>
      </c>
      <c r="U55" s="121">
        <v>0</v>
      </c>
      <c r="V55" s="121">
        <v>-0.82</v>
      </c>
      <c r="W55" s="121">
        <v>0</v>
      </c>
      <c r="X55" s="121">
        <v>0</v>
      </c>
      <c r="Y55" s="121">
        <v>0</v>
      </c>
      <c r="Z55" s="121">
        <v>0</v>
      </c>
      <c r="AA55" s="121">
        <v>0</v>
      </c>
      <c r="AB55" s="121">
        <v>0</v>
      </c>
      <c r="AC55" s="121">
        <v>0</v>
      </c>
      <c r="AD55" s="121">
        <v>0</v>
      </c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5">
      <c r="A56" t="s">
        <v>141</v>
      </c>
      <c r="B56" t="s">
        <v>142</v>
      </c>
      <c r="C56">
        <v>13</v>
      </c>
      <c r="D56" t="s">
        <v>42</v>
      </c>
      <c r="E56" s="14">
        <v>0</v>
      </c>
      <c r="F56" s="14">
        <v>0</v>
      </c>
      <c r="G56" s="124">
        <v>49053</v>
      </c>
      <c r="H56" s="121">
        <v>109339.137</v>
      </c>
      <c r="I56" s="124">
        <v>0</v>
      </c>
      <c r="J56" s="121">
        <v>1765.9079999999999</v>
      </c>
      <c r="K56" s="121">
        <v>-25893</v>
      </c>
      <c r="L56" s="121">
        <v>-50564.805</v>
      </c>
      <c r="M56" s="121">
        <v>23464</v>
      </c>
      <c r="N56" s="121">
        <v>74576.111999999994</v>
      </c>
      <c r="O56" s="121">
        <v>208</v>
      </c>
      <c r="P56" s="121">
        <v>-30727.824000000001</v>
      </c>
      <c r="Q56" s="121">
        <v>290</v>
      </c>
      <c r="R56" s="121">
        <v>646.41</v>
      </c>
      <c r="S56" s="121">
        <v>0</v>
      </c>
      <c r="T56" s="121">
        <v>0</v>
      </c>
      <c r="U56" s="121">
        <v>-27496</v>
      </c>
      <c r="V56" s="121">
        <v>-61288.584000000003</v>
      </c>
      <c r="W56" s="121">
        <v>16182</v>
      </c>
      <c r="X56" s="121">
        <v>36069.678</v>
      </c>
      <c r="Y56" s="121">
        <v>0</v>
      </c>
      <c r="Z56" s="121">
        <v>0</v>
      </c>
      <c r="AA56" s="121">
        <v>0</v>
      </c>
      <c r="AB56" s="121">
        <v>0</v>
      </c>
      <c r="AC56" s="121">
        <v>0</v>
      </c>
      <c r="AD56" s="121">
        <v>0</v>
      </c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5">
      <c r="A57" t="s">
        <v>141</v>
      </c>
      <c r="B57" t="s">
        <v>142</v>
      </c>
      <c r="C57">
        <v>14</v>
      </c>
      <c r="D57" t="s">
        <v>43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5">
      <c r="A58" t="s">
        <v>141</v>
      </c>
      <c r="B58" t="s">
        <v>142</v>
      </c>
      <c r="C58">
        <v>15</v>
      </c>
      <c r="D58" t="s">
        <v>44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5">
      <c r="A59" t="s">
        <v>141</v>
      </c>
      <c r="B59" t="s">
        <v>142</v>
      </c>
      <c r="C59">
        <v>16</v>
      </c>
      <c r="D59" t="s">
        <v>45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5">
      <c r="A60" t="s">
        <v>141</v>
      </c>
      <c r="B60" t="s">
        <v>142</v>
      </c>
      <c r="C60">
        <v>17</v>
      </c>
      <c r="D60" t="s">
        <v>129</v>
      </c>
      <c r="E60" s="14">
        <v>0</v>
      </c>
      <c r="F60" s="14">
        <v>0</v>
      </c>
      <c r="G60" s="124">
        <v>1085249</v>
      </c>
      <c r="H60" s="121">
        <v>2474367.7200000002</v>
      </c>
      <c r="I60" s="124">
        <v>-31404</v>
      </c>
      <c r="J60" s="121">
        <v>-71601.119999999995</v>
      </c>
      <c r="K60" s="121">
        <v>-73157</v>
      </c>
      <c r="L60" s="121">
        <v>-166797.96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>
        <v>0</v>
      </c>
      <c r="AD60" s="121">
        <v>0</v>
      </c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5">
      <c r="A61" t="s">
        <v>141</v>
      </c>
      <c r="B61" t="s">
        <v>142</v>
      </c>
      <c r="C61">
        <v>18</v>
      </c>
      <c r="D61" t="s">
        <v>130</v>
      </c>
      <c r="E61" s="14">
        <v>0</v>
      </c>
      <c r="F61" s="14">
        <v>0</v>
      </c>
      <c r="G61" s="124">
        <v>-683126</v>
      </c>
      <c r="H61" s="121">
        <v>-1557527.28</v>
      </c>
      <c r="I61" s="124">
        <v>25360</v>
      </c>
      <c r="J61" s="121">
        <v>57820.800000000003</v>
      </c>
      <c r="K61" s="121">
        <v>73157</v>
      </c>
      <c r="L61" s="121">
        <v>166797.96</v>
      </c>
      <c r="M61" s="121">
        <v>0</v>
      </c>
      <c r="N61" s="121">
        <v>0</v>
      </c>
      <c r="O61" s="121">
        <v>0</v>
      </c>
      <c r="P61" s="121">
        <v>0</v>
      </c>
      <c r="Q61" s="121">
        <v>-100</v>
      </c>
      <c r="R61" s="121">
        <v>-228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5">
      <c r="A62" t="s">
        <v>141</v>
      </c>
      <c r="B62" t="s">
        <v>142</v>
      </c>
      <c r="C62">
        <v>19</v>
      </c>
      <c r="D62" t="s">
        <v>50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5">
      <c r="A63" t="s">
        <v>141</v>
      </c>
      <c r="B63" t="s">
        <v>142</v>
      </c>
      <c r="C63">
        <v>20</v>
      </c>
      <c r="D63" t="s">
        <v>131</v>
      </c>
      <c r="E63" s="14">
        <v>0</v>
      </c>
      <c r="F63" s="14">
        <v>0</v>
      </c>
      <c r="G63" s="124">
        <v>-25247</v>
      </c>
      <c r="H63" s="121">
        <v>-48726.71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3182.62</v>
      </c>
      <c r="O63" s="121">
        <v>0</v>
      </c>
      <c r="P63" s="121">
        <v>0</v>
      </c>
      <c r="Q63" s="121">
        <v>0</v>
      </c>
      <c r="R63" s="121">
        <v>0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</v>
      </c>
      <c r="Y63" s="121">
        <v>0</v>
      </c>
      <c r="Z63" s="121">
        <v>0</v>
      </c>
      <c r="AA63" s="121">
        <v>0</v>
      </c>
      <c r="AB63" s="121">
        <v>0</v>
      </c>
      <c r="AC63" s="121">
        <v>0</v>
      </c>
      <c r="AD63" s="121">
        <v>0</v>
      </c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5">
      <c r="A64" t="s">
        <v>141</v>
      </c>
      <c r="B64" t="s">
        <v>142</v>
      </c>
      <c r="C64">
        <v>21</v>
      </c>
      <c r="D64" t="s">
        <v>132</v>
      </c>
      <c r="E64" s="14">
        <v>0</v>
      </c>
      <c r="F64" s="14">
        <v>0</v>
      </c>
      <c r="G64" s="124">
        <v>0</v>
      </c>
      <c r="H64" s="121">
        <v>0</v>
      </c>
      <c r="I64" s="124">
        <v>0</v>
      </c>
      <c r="J64" s="121">
        <v>0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5">
      <c r="A65" t="s">
        <v>141</v>
      </c>
      <c r="B65" t="s">
        <v>142</v>
      </c>
      <c r="C65">
        <v>22</v>
      </c>
      <c r="D65" t="s">
        <v>133</v>
      </c>
      <c r="E65" s="14">
        <v>83584</v>
      </c>
      <c r="F65" s="14">
        <v>186308.736</v>
      </c>
      <c r="G65" s="124">
        <v>1075</v>
      </c>
      <c r="H65" s="121">
        <v>2396.1709999999998</v>
      </c>
      <c r="I65" s="124">
        <v>-45977</v>
      </c>
      <c r="J65" s="121">
        <v>-102482.73299999999</v>
      </c>
      <c r="K65" s="121">
        <v>90297</v>
      </c>
      <c r="L65" s="121">
        <v>201272.01300000001</v>
      </c>
      <c r="M65" s="121">
        <v>-71271</v>
      </c>
      <c r="N65" s="121">
        <v>-158863.05900000001</v>
      </c>
      <c r="O65" s="121">
        <v>-1196</v>
      </c>
      <c r="P65" s="121">
        <v>-2665.884</v>
      </c>
      <c r="Q65" s="121">
        <v>-259</v>
      </c>
      <c r="R65" s="121">
        <v>-577.31100000000004</v>
      </c>
      <c r="S65" s="121">
        <v>0</v>
      </c>
      <c r="T65" s="121">
        <v>0</v>
      </c>
      <c r="U65" s="121">
        <v>27496</v>
      </c>
      <c r="V65" s="121">
        <v>61288.584000000003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-15022</v>
      </c>
      <c r="AD65" s="121">
        <v>-33484.038</v>
      </c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5">
      <c r="A66" t="s">
        <v>141</v>
      </c>
      <c r="B66" t="s">
        <v>142</v>
      </c>
      <c r="C66">
        <v>23</v>
      </c>
      <c r="D66" t="s">
        <v>134</v>
      </c>
      <c r="E66" s="14">
        <v>0</v>
      </c>
      <c r="F66" s="14">
        <v>0</v>
      </c>
      <c r="G66" s="124">
        <v>-50345</v>
      </c>
      <c r="H66" s="121">
        <v>-115135.49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-454.15</v>
      </c>
      <c r="O66" s="121">
        <v>0</v>
      </c>
      <c r="P66" s="121">
        <v>0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5">
      <c r="A67" t="s">
        <v>141</v>
      </c>
      <c r="B67" t="s">
        <v>142</v>
      </c>
      <c r="C67">
        <v>24</v>
      </c>
      <c r="D67" t="s">
        <v>58</v>
      </c>
      <c r="E67" s="14">
        <v>0</v>
      </c>
      <c r="F67" s="14">
        <v>20105.2</v>
      </c>
      <c r="G67" s="124">
        <v>0</v>
      </c>
      <c r="H67" s="121">
        <v>-3.05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-95813</v>
      </c>
      <c r="Z67" s="121">
        <v>-2874.39</v>
      </c>
      <c r="AA67" s="121">
        <v>0</v>
      </c>
      <c r="AB67" s="121">
        <v>0</v>
      </c>
      <c r="AC67" s="121">
        <v>0</v>
      </c>
      <c r="AD67" s="121">
        <v>0</v>
      </c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5">
      <c r="A68" t="s">
        <v>141</v>
      </c>
      <c r="B68" t="s">
        <v>142</v>
      </c>
      <c r="C68">
        <v>25</v>
      </c>
      <c r="D68" t="s">
        <v>59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5">
      <c r="A69" t="s">
        <v>141</v>
      </c>
      <c r="B69" t="s">
        <v>142</v>
      </c>
      <c r="C69">
        <v>26</v>
      </c>
      <c r="D69" t="s">
        <v>135</v>
      </c>
      <c r="E69" s="14">
        <v>2992830</v>
      </c>
      <c r="F69" s="14">
        <v>46484.87</v>
      </c>
      <c r="G69" s="124">
        <v>133968</v>
      </c>
      <c r="H69" s="121">
        <v>9520.52</v>
      </c>
      <c r="I69" s="124">
        <v>5932</v>
      </c>
      <c r="J69" s="121">
        <v>0</v>
      </c>
      <c r="K69" s="121">
        <v>0</v>
      </c>
      <c r="L69" s="121">
        <v>0</v>
      </c>
      <c r="M69" s="121">
        <v>0</v>
      </c>
      <c r="N69" s="121">
        <v>-97.16</v>
      </c>
      <c r="O69" s="121">
        <v>0</v>
      </c>
      <c r="P69" s="121">
        <v>77.75</v>
      </c>
      <c r="Q69" s="121">
        <v>115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5">
      <c r="A70" t="s">
        <v>141</v>
      </c>
      <c r="B70" t="s">
        <v>142</v>
      </c>
      <c r="C70">
        <v>27</v>
      </c>
      <c r="D70" t="s">
        <v>136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5">
      <c r="A71" t="s">
        <v>141</v>
      </c>
      <c r="B71" t="s">
        <v>142</v>
      </c>
      <c r="C71">
        <v>28</v>
      </c>
      <c r="D71" t="s">
        <v>137</v>
      </c>
      <c r="E71" s="14">
        <v>-12224792</v>
      </c>
      <c r="F71" s="14">
        <v>-1306444.3</v>
      </c>
      <c r="G71" s="124">
        <v>-7967199</v>
      </c>
      <c r="H71" s="121">
        <v>-674887.76</v>
      </c>
      <c r="I71" s="124">
        <v>31404</v>
      </c>
      <c r="J71" s="121">
        <v>0</v>
      </c>
      <c r="K71" s="121">
        <v>146314</v>
      </c>
      <c r="L71" s="121">
        <v>16866.04</v>
      </c>
      <c r="M71" s="121">
        <v>0</v>
      </c>
      <c r="N71" s="121">
        <v>277625.75</v>
      </c>
      <c r="O71" s="121">
        <v>-24474</v>
      </c>
      <c r="P71" s="121">
        <v>-284370.77</v>
      </c>
      <c r="Q71" s="121">
        <v>152365</v>
      </c>
      <c r="R71" s="121">
        <v>15236.5</v>
      </c>
      <c r="S71" s="121">
        <v>0</v>
      </c>
      <c r="T71" s="121">
        <v>-0.01</v>
      </c>
      <c r="U71" s="121">
        <v>0</v>
      </c>
      <c r="V71" s="121">
        <v>0.01</v>
      </c>
      <c r="W71" s="121">
        <v>0</v>
      </c>
      <c r="X71" s="121">
        <v>-0.01</v>
      </c>
      <c r="Y71" s="121">
        <v>0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5">
      <c r="A72" t="s">
        <v>141</v>
      </c>
      <c r="B72" t="s">
        <v>142</v>
      </c>
      <c r="C72">
        <v>29</v>
      </c>
      <c r="D72" t="s">
        <v>138</v>
      </c>
      <c r="E72" s="14">
        <v>11108431</v>
      </c>
      <c r="F72" s="14">
        <v>1306444.29</v>
      </c>
      <c r="G72" s="124">
        <v>7998311</v>
      </c>
      <c r="H72" s="121">
        <v>224887.78</v>
      </c>
      <c r="I72" s="124">
        <v>0</v>
      </c>
      <c r="J72" s="121">
        <v>0</v>
      </c>
      <c r="K72" s="121">
        <v>-73157</v>
      </c>
      <c r="L72" s="121">
        <v>-16866.060000000001</v>
      </c>
      <c r="M72" s="121">
        <v>0</v>
      </c>
      <c r="N72" s="121">
        <v>-277625.74</v>
      </c>
      <c r="O72" s="121">
        <v>24474</v>
      </c>
      <c r="P72" s="121">
        <v>284370.77</v>
      </c>
      <c r="Q72" s="121">
        <v>-152365</v>
      </c>
      <c r="R72" s="121">
        <v>-15236.5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5">
      <c r="A73" t="s">
        <v>141</v>
      </c>
      <c r="B73" t="s">
        <v>142</v>
      </c>
      <c r="C73">
        <v>30</v>
      </c>
      <c r="D73" t="s">
        <v>139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5">
      <c r="A74" t="s">
        <v>141</v>
      </c>
      <c r="B74" t="s">
        <v>142</v>
      </c>
      <c r="C74">
        <v>31</v>
      </c>
      <c r="D74" t="s">
        <v>140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5">
      <c r="A75" t="s">
        <v>141</v>
      </c>
      <c r="B75" t="s">
        <v>142</v>
      </c>
      <c r="C75">
        <v>32</v>
      </c>
      <c r="D75" t="s">
        <v>73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5">
      <c r="A76" t="s">
        <v>141</v>
      </c>
      <c r="B76" t="s">
        <v>142</v>
      </c>
      <c r="C76">
        <v>33</v>
      </c>
      <c r="D76" t="s">
        <v>74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5">
      <c r="A77" t="s">
        <v>141</v>
      </c>
      <c r="B77" t="s">
        <v>142</v>
      </c>
      <c r="C77">
        <v>34</v>
      </c>
      <c r="D77" t="s">
        <v>75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5">
      <c r="A78" t="s">
        <v>141</v>
      </c>
      <c r="B78" t="s">
        <v>142</v>
      </c>
      <c r="C78">
        <v>35</v>
      </c>
      <c r="D78" t="s">
        <v>76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5">
      <c r="A79" t="s">
        <v>141</v>
      </c>
      <c r="B79" t="s">
        <v>142</v>
      </c>
      <c r="C79">
        <v>36</v>
      </c>
      <c r="D79" t="s">
        <v>77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5">
      <c r="A80" t="s">
        <v>141</v>
      </c>
      <c r="B80" t="s">
        <v>142</v>
      </c>
      <c r="C80">
        <v>37</v>
      </c>
      <c r="D80" t="s">
        <v>78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5">
      <c r="A81" t="s">
        <v>141</v>
      </c>
      <c r="B81" t="s">
        <v>142</v>
      </c>
      <c r="C81">
        <v>38</v>
      </c>
      <c r="D81" t="s">
        <v>79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5">
      <c r="A82" t="s">
        <v>141</v>
      </c>
      <c r="B82" t="s">
        <v>142</v>
      </c>
      <c r="C82">
        <v>39</v>
      </c>
      <c r="D82" t="s">
        <v>80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5">
      <c r="A83" t="s">
        <v>141</v>
      </c>
      <c r="B83" t="s">
        <v>142</v>
      </c>
      <c r="C83">
        <v>40</v>
      </c>
      <c r="D83" t="s">
        <v>81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5">
      <c r="A84" t="s">
        <v>143</v>
      </c>
      <c r="B84" t="s">
        <v>116</v>
      </c>
      <c r="C84">
        <v>1</v>
      </c>
      <c r="D84" t="s">
        <v>28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5">
      <c r="A85" t="s">
        <v>143</v>
      </c>
      <c r="B85" t="s">
        <v>116</v>
      </c>
      <c r="C85">
        <v>2</v>
      </c>
      <c r="D85" t="s">
        <v>29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5">
      <c r="A86" t="s">
        <v>143</v>
      </c>
      <c r="B86" t="s">
        <v>116</v>
      </c>
      <c r="C86">
        <v>3</v>
      </c>
      <c r="D86" t="s">
        <v>30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5">
      <c r="A87" t="s">
        <v>143</v>
      </c>
      <c r="B87" t="s">
        <v>116</v>
      </c>
      <c r="C87">
        <v>4</v>
      </c>
      <c r="D87" t="s">
        <v>31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5">
      <c r="A88" t="s">
        <v>143</v>
      </c>
      <c r="B88" t="s">
        <v>116</v>
      </c>
      <c r="C88">
        <v>5</v>
      </c>
      <c r="D88" t="s">
        <v>128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5">
      <c r="A89" t="s">
        <v>143</v>
      </c>
      <c r="B89" t="s">
        <v>116</v>
      </c>
      <c r="C89">
        <v>6</v>
      </c>
      <c r="D89" t="s">
        <v>28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5">
      <c r="A90" t="s">
        <v>143</v>
      </c>
      <c r="B90" t="s">
        <v>116</v>
      </c>
      <c r="C90">
        <v>7</v>
      </c>
      <c r="D90" t="s">
        <v>29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5">
      <c r="A91" t="s">
        <v>143</v>
      </c>
      <c r="B91" t="s">
        <v>116</v>
      </c>
      <c r="C91">
        <v>8</v>
      </c>
      <c r="D91" t="s">
        <v>30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5">
      <c r="A92" t="s">
        <v>143</v>
      </c>
      <c r="B92" t="s">
        <v>116</v>
      </c>
      <c r="C92">
        <v>9</v>
      </c>
      <c r="D92" t="s">
        <v>31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5">
      <c r="A93" t="s">
        <v>143</v>
      </c>
      <c r="B93" t="s">
        <v>116</v>
      </c>
      <c r="C93">
        <v>10</v>
      </c>
      <c r="D93" t="s">
        <v>35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181</v>
      </c>
      <c r="N93" s="121">
        <v>403.44900000000001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5">
      <c r="A94" t="s">
        <v>143</v>
      </c>
      <c r="B94" t="s">
        <v>116</v>
      </c>
      <c r="C94">
        <v>11</v>
      </c>
      <c r="D94" t="s">
        <v>38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5">
      <c r="A95" t="s">
        <v>143</v>
      </c>
      <c r="B95" t="s">
        <v>116</v>
      </c>
      <c r="C95">
        <v>12</v>
      </c>
      <c r="D95" t="s">
        <v>39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5">
      <c r="A96" t="s">
        <v>143</v>
      </c>
      <c r="B96" t="s">
        <v>116</v>
      </c>
      <c r="C96">
        <v>13</v>
      </c>
      <c r="D96" t="s">
        <v>42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5">
      <c r="A97" t="s">
        <v>143</v>
      </c>
      <c r="B97" t="s">
        <v>116</v>
      </c>
      <c r="C97">
        <v>14</v>
      </c>
      <c r="D97" t="s">
        <v>43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5">
      <c r="A98" t="s">
        <v>143</v>
      </c>
      <c r="B98" t="s">
        <v>116</v>
      </c>
      <c r="C98">
        <v>15</v>
      </c>
      <c r="D98" t="s">
        <v>44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5">
      <c r="A99" t="s">
        <v>143</v>
      </c>
      <c r="B99" t="s">
        <v>116</v>
      </c>
      <c r="C99">
        <v>16</v>
      </c>
      <c r="D99" t="s">
        <v>45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5">
      <c r="A100" t="s">
        <v>143</v>
      </c>
      <c r="B100" t="s">
        <v>116</v>
      </c>
      <c r="C100">
        <v>17</v>
      </c>
      <c r="D100" t="s">
        <v>129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5">
      <c r="A101" t="s">
        <v>143</v>
      </c>
      <c r="B101" t="s">
        <v>116</v>
      </c>
      <c r="C101">
        <v>18</v>
      </c>
      <c r="D101" t="s">
        <v>130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5">
      <c r="A102" t="s">
        <v>143</v>
      </c>
      <c r="B102" t="s">
        <v>116</v>
      </c>
      <c r="C102">
        <v>19</v>
      </c>
      <c r="D102" t="s">
        <v>50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5">
      <c r="A103" t="s">
        <v>143</v>
      </c>
      <c r="B103" t="s">
        <v>116</v>
      </c>
      <c r="C103">
        <v>20</v>
      </c>
      <c r="D103" t="s">
        <v>131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5">
      <c r="A104" t="s">
        <v>143</v>
      </c>
      <c r="B104" t="s">
        <v>116</v>
      </c>
      <c r="C104">
        <v>21</v>
      </c>
      <c r="D104" t="s">
        <v>132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5">
      <c r="A105" t="s">
        <v>143</v>
      </c>
      <c r="B105" t="s">
        <v>116</v>
      </c>
      <c r="C105">
        <v>22</v>
      </c>
      <c r="D105" t="s">
        <v>133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-181</v>
      </c>
      <c r="N105" s="121">
        <v>-403.44900000000001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5">
      <c r="A106" t="s">
        <v>143</v>
      </c>
      <c r="B106" t="s">
        <v>116</v>
      </c>
      <c r="C106">
        <v>23</v>
      </c>
      <c r="D106" t="s">
        <v>134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-181</v>
      </c>
      <c r="N106" s="121">
        <v>-403.44900000000001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5">
      <c r="A107" t="s">
        <v>143</v>
      </c>
      <c r="B107" t="s">
        <v>116</v>
      </c>
      <c r="C107">
        <v>24</v>
      </c>
      <c r="D107" t="s">
        <v>58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5">
      <c r="A108" t="s">
        <v>143</v>
      </c>
      <c r="B108" t="s">
        <v>116</v>
      </c>
      <c r="C108">
        <v>25</v>
      </c>
      <c r="D108" t="s">
        <v>59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5">
      <c r="A109" t="s">
        <v>143</v>
      </c>
      <c r="B109" t="s">
        <v>116</v>
      </c>
      <c r="C109">
        <v>26</v>
      </c>
      <c r="D109" t="s">
        <v>135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5">
      <c r="A110" t="s">
        <v>143</v>
      </c>
      <c r="B110" t="s">
        <v>116</v>
      </c>
      <c r="C110">
        <v>27</v>
      </c>
      <c r="D110" t="s">
        <v>136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5">
      <c r="A111" t="s">
        <v>143</v>
      </c>
      <c r="B111" t="s">
        <v>116</v>
      </c>
      <c r="C111">
        <v>28</v>
      </c>
      <c r="D111" t="s">
        <v>137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5">
      <c r="A112" t="s">
        <v>143</v>
      </c>
      <c r="B112" t="s">
        <v>116</v>
      </c>
      <c r="C112">
        <v>29</v>
      </c>
      <c r="D112" t="s">
        <v>138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5">
      <c r="A113" t="s">
        <v>143</v>
      </c>
      <c r="B113" t="s">
        <v>116</v>
      </c>
      <c r="C113">
        <v>30</v>
      </c>
      <c r="D113" t="s">
        <v>139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5">
      <c r="A114" t="s">
        <v>143</v>
      </c>
      <c r="B114" t="s">
        <v>116</v>
      </c>
      <c r="C114">
        <v>31</v>
      </c>
      <c r="D114" t="s">
        <v>140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5">
      <c r="A115" t="s">
        <v>143</v>
      </c>
      <c r="B115" t="s">
        <v>116</v>
      </c>
      <c r="C115">
        <v>32</v>
      </c>
      <c r="D115" t="s">
        <v>73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5">
      <c r="A116" t="s">
        <v>143</v>
      </c>
      <c r="B116" t="s">
        <v>116</v>
      </c>
      <c r="C116">
        <v>33</v>
      </c>
      <c r="D116" t="s">
        <v>74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5">
      <c r="A117" t="s">
        <v>143</v>
      </c>
      <c r="B117" t="s">
        <v>116</v>
      </c>
      <c r="C117">
        <v>34</v>
      </c>
      <c r="D117" t="s">
        <v>75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5">
      <c r="A118" t="s">
        <v>143</v>
      </c>
      <c r="B118" t="s">
        <v>116</v>
      </c>
      <c r="C118">
        <v>35</v>
      </c>
      <c r="D118" t="s">
        <v>76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5">
      <c r="A119" t="s">
        <v>143</v>
      </c>
      <c r="B119" t="s">
        <v>116</v>
      </c>
      <c r="C119">
        <v>36</v>
      </c>
      <c r="D119" t="s">
        <v>77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5">
      <c r="A120" t="s">
        <v>143</v>
      </c>
      <c r="B120" t="s">
        <v>116</v>
      </c>
      <c r="C120">
        <v>37</v>
      </c>
      <c r="D120" t="s">
        <v>78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5">
      <c r="A121" t="s">
        <v>143</v>
      </c>
      <c r="B121" t="s">
        <v>116</v>
      </c>
      <c r="C121">
        <v>38</v>
      </c>
      <c r="D121" t="s">
        <v>79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5">
      <c r="A122" t="s">
        <v>143</v>
      </c>
      <c r="B122" t="s">
        <v>116</v>
      </c>
      <c r="C122">
        <v>39</v>
      </c>
      <c r="D122" t="s">
        <v>80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5">
      <c r="A123" t="s">
        <v>143</v>
      </c>
      <c r="B123" t="s">
        <v>116</v>
      </c>
      <c r="C123">
        <v>40</v>
      </c>
      <c r="D123" t="s">
        <v>81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5">
      <c r="A124" t="s">
        <v>143</v>
      </c>
      <c r="B124" t="s">
        <v>144</v>
      </c>
      <c r="C124">
        <v>1</v>
      </c>
      <c r="D124" t="s">
        <v>28</v>
      </c>
      <c r="E124" s="14">
        <v>47286363</v>
      </c>
      <c r="F124" s="14">
        <v>112591766.78999999</v>
      </c>
      <c r="G124" s="124">
        <v>113276</v>
      </c>
      <c r="H124" s="121">
        <v>1114369.96</v>
      </c>
      <c r="I124" s="124">
        <v>26882</v>
      </c>
      <c r="J124" s="121">
        <v>14873.01</v>
      </c>
      <c r="K124" s="121">
        <v>-20077</v>
      </c>
      <c r="L124" s="121">
        <v>-43239.74</v>
      </c>
      <c r="M124" s="121">
        <v>3723</v>
      </c>
      <c r="N124" s="121">
        <v>8479.98</v>
      </c>
      <c r="O124" s="121">
        <v>4527</v>
      </c>
      <c r="P124" s="121">
        <v>392106.29</v>
      </c>
      <c r="Q124" s="121">
        <v>0</v>
      </c>
      <c r="R124" s="121">
        <v>-370.41</v>
      </c>
      <c r="S124" s="121">
        <v>0</v>
      </c>
      <c r="T124" s="121">
        <v>0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5">
      <c r="A125" t="s">
        <v>143</v>
      </c>
      <c r="B125" t="s">
        <v>144</v>
      </c>
      <c r="C125">
        <v>2</v>
      </c>
      <c r="D125" t="s">
        <v>29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5">
      <c r="A126" t="s">
        <v>143</v>
      </c>
      <c r="B126" t="s">
        <v>144</v>
      </c>
      <c r="C126">
        <v>3</v>
      </c>
      <c r="D126" t="s">
        <v>30</v>
      </c>
      <c r="E126" s="14">
        <v>19316173</v>
      </c>
      <c r="F126" s="14">
        <v>43777409</v>
      </c>
      <c r="G126" s="124">
        <v>0</v>
      </c>
      <c r="H126" s="121">
        <v>0</v>
      </c>
      <c r="I126" s="124">
        <v>-1290653</v>
      </c>
      <c r="J126" s="121">
        <v>-2957288</v>
      </c>
      <c r="K126" s="121">
        <v>0</v>
      </c>
      <c r="L126" s="121">
        <v>0</v>
      </c>
      <c r="M126" s="121">
        <v>2104131</v>
      </c>
      <c r="N126" s="121">
        <v>4777462</v>
      </c>
      <c r="O126" s="121">
        <v>2106965</v>
      </c>
      <c r="P126" s="121">
        <v>4783866</v>
      </c>
      <c r="Q126" s="121">
        <v>-2920443</v>
      </c>
      <c r="R126" s="121">
        <v>-6604040</v>
      </c>
      <c r="S126" s="121">
        <v>0</v>
      </c>
      <c r="T126" s="121">
        <v>0</v>
      </c>
      <c r="U126" s="121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>
        <v>0</v>
      </c>
      <c r="AD126" s="121">
        <v>0</v>
      </c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5">
      <c r="A127" t="s">
        <v>143</v>
      </c>
      <c r="B127" t="s">
        <v>144</v>
      </c>
      <c r="C127">
        <v>4</v>
      </c>
      <c r="D127" t="s">
        <v>31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5">
      <c r="A128" t="s">
        <v>143</v>
      </c>
      <c r="B128" t="s">
        <v>144</v>
      </c>
      <c r="C128">
        <v>5</v>
      </c>
      <c r="D128" t="s">
        <v>128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5">
      <c r="A129" t="s">
        <v>143</v>
      </c>
      <c r="B129" t="s">
        <v>144</v>
      </c>
      <c r="C129">
        <v>6</v>
      </c>
      <c r="D129" t="s">
        <v>28</v>
      </c>
      <c r="E129" s="14">
        <v>-47185521</v>
      </c>
      <c r="F129" s="14">
        <v>-102895536.85000001</v>
      </c>
      <c r="G129" s="124">
        <v>344637</v>
      </c>
      <c r="H129" s="121">
        <v>717128.36</v>
      </c>
      <c r="I129" s="124">
        <v>-12079</v>
      </c>
      <c r="J129" s="121">
        <v>-39179.64</v>
      </c>
      <c r="K129" s="121">
        <v>19452</v>
      </c>
      <c r="L129" s="121">
        <v>189144.93</v>
      </c>
      <c r="M129" s="121">
        <v>-161037</v>
      </c>
      <c r="N129" s="121">
        <v>-354983.46</v>
      </c>
      <c r="O129" s="121">
        <v>-26689</v>
      </c>
      <c r="P129" s="121">
        <v>-57333.04</v>
      </c>
      <c r="Q129" s="121">
        <v>0</v>
      </c>
      <c r="R129" s="121">
        <v>202496.46</v>
      </c>
      <c r="S129" s="121">
        <v>0</v>
      </c>
      <c r="T129" s="121">
        <v>0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5">
      <c r="A130" t="s">
        <v>143</v>
      </c>
      <c r="B130" t="s">
        <v>144</v>
      </c>
      <c r="C130">
        <v>7</v>
      </c>
      <c r="D130" t="s">
        <v>29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5">
      <c r="A131" t="s">
        <v>143</v>
      </c>
      <c r="B131" t="s">
        <v>144</v>
      </c>
      <c r="C131">
        <v>8</v>
      </c>
      <c r="D131" t="s">
        <v>30</v>
      </c>
      <c r="E131" s="14">
        <v>-20543940</v>
      </c>
      <c r="F131" s="14">
        <v>-46460998</v>
      </c>
      <c r="G131" s="124">
        <v>0</v>
      </c>
      <c r="H131" s="121">
        <v>0</v>
      </c>
      <c r="I131" s="124">
        <v>3086211</v>
      </c>
      <c r="J131" s="121">
        <v>7038927</v>
      </c>
      <c r="K131" s="121">
        <v>0</v>
      </c>
      <c r="L131" s="121">
        <v>0</v>
      </c>
      <c r="M131" s="121">
        <v>-2104131</v>
      </c>
      <c r="N131" s="121">
        <v>-4777462</v>
      </c>
      <c r="O131" s="121">
        <v>-2106965</v>
      </c>
      <c r="P131" s="121">
        <v>-4783866</v>
      </c>
      <c r="Q131" s="121">
        <v>1124885</v>
      </c>
      <c r="R131" s="121">
        <v>2522401</v>
      </c>
      <c r="S131" s="121">
        <v>0</v>
      </c>
      <c r="T131" s="121">
        <v>0</v>
      </c>
      <c r="U131" s="121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>
        <v>0</v>
      </c>
      <c r="AD131" s="121">
        <v>0</v>
      </c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5">
      <c r="A132" t="s">
        <v>143</v>
      </c>
      <c r="B132" t="s">
        <v>144</v>
      </c>
      <c r="C132">
        <v>9</v>
      </c>
      <c r="D132" t="s">
        <v>31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5">
      <c r="A133" t="s">
        <v>143</v>
      </c>
      <c r="B133" t="s">
        <v>144</v>
      </c>
      <c r="C133">
        <v>10</v>
      </c>
      <c r="D133" t="s">
        <v>35</v>
      </c>
      <c r="E133" s="14">
        <v>546190</v>
      </c>
      <c r="F133" s="14">
        <v>1180753.54</v>
      </c>
      <c r="G133" s="124">
        <v>-32255</v>
      </c>
      <c r="H133" s="121">
        <v>-69735.31</v>
      </c>
      <c r="I133" s="124">
        <v>0</v>
      </c>
      <c r="J133" s="121">
        <v>0</v>
      </c>
      <c r="K133" s="121">
        <v>-6</v>
      </c>
      <c r="L133" s="121">
        <v>-12.970800000000001</v>
      </c>
      <c r="M133" s="121">
        <v>0</v>
      </c>
      <c r="N133" s="121">
        <v>0</v>
      </c>
      <c r="O133" s="121">
        <v>84</v>
      </c>
      <c r="P133" s="121">
        <v>181.59119999999999</v>
      </c>
      <c r="Q133" s="121">
        <v>-1</v>
      </c>
      <c r="R133" s="121">
        <v>-2.1617999999999999</v>
      </c>
      <c r="S133" s="121">
        <v>0</v>
      </c>
      <c r="T133" s="121">
        <v>0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5">
      <c r="A134" t="s">
        <v>143</v>
      </c>
      <c r="B134" t="s">
        <v>144</v>
      </c>
      <c r="C134">
        <v>11</v>
      </c>
      <c r="D134" t="s">
        <v>38</v>
      </c>
      <c r="E134" s="14">
        <v>425962</v>
      </c>
      <c r="F134" s="14">
        <v>982897.53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5">
      <c r="A135" t="s">
        <v>143</v>
      </c>
      <c r="B135" t="s">
        <v>144</v>
      </c>
      <c r="C135">
        <v>12</v>
      </c>
      <c r="D135" t="s">
        <v>39</v>
      </c>
      <c r="E135" s="14">
        <v>-2380</v>
      </c>
      <c r="F135" s="14">
        <v>-5144.6099999999997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5">
      <c r="A136" t="s">
        <v>143</v>
      </c>
      <c r="B136" t="s">
        <v>144</v>
      </c>
      <c r="C136">
        <v>13</v>
      </c>
      <c r="D136" t="s">
        <v>42</v>
      </c>
      <c r="E136" s="14">
        <v>31172</v>
      </c>
      <c r="F136" s="14">
        <v>67387.63</v>
      </c>
      <c r="G136" s="124">
        <v>-47906</v>
      </c>
      <c r="H136" s="121">
        <v>-106638.76</v>
      </c>
      <c r="I136" s="124">
        <v>59775</v>
      </c>
      <c r="J136" s="121">
        <v>149413.85</v>
      </c>
      <c r="K136" s="121">
        <v>-11863</v>
      </c>
      <c r="L136" s="121">
        <v>-42759.59</v>
      </c>
      <c r="M136" s="121">
        <v>-11173</v>
      </c>
      <c r="N136" s="121">
        <v>-24158.12</v>
      </c>
      <c r="O136" s="121">
        <v>-232566</v>
      </c>
      <c r="P136" s="121">
        <v>-502807.69400000002</v>
      </c>
      <c r="Q136" s="121">
        <v>-3209</v>
      </c>
      <c r="R136" s="121">
        <v>-6937.2161999999998</v>
      </c>
      <c r="S136" s="121">
        <v>0</v>
      </c>
      <c r="T136" s="121">
        <v>0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5">
      <c r="A137" t="s">
        <v>143</v>
      </c>
      <c r="B137" t="s">
        <v>144</v>
      </c>
      <c r="C137">
        <v>14</v>
      </c>
      <c r="D137" t="s">
        <v>43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-13885</v>
      </c>
      <c r="N137" s="121">
        <v>-31337.65</v>
      </c>
      <c r="O137" s="121">
        <v>0</v>
      </c>
      <c r="P137" s="121">
        <v>0</v>
      </c>
      <c r="Q137" s="121">
        <v>-2</v>
      </c>
      <c r="R137" s="121">
        <v>-4.43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5">
      <c r="A138" t="s">
        <v>143</v>
      </c>
      <c r="B138" t="s">
        <v>144</v>
      </c>
      <c r="C138">
        <v>15</v>
      </c>
      <c r="D138" t="s">
        <v>44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3637</v>
      </c>
      <c r="R138" s="121">
        <v>8131.28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5">
      <c r="A139" t="s">
        <v>143</v>
      </c>
      <c r="B139" t="s">
        <v>144</v>
      </c>
      <c r="C139">
        <v>16</v>
      </c>
      <c r="D139" t="s">
        <v>45</v>
      </c>
      <c r="E139" s="14">
        <v>0</v>
      </c>
      <c r="F139" s="14">
        <v>-0.01</v>
      </c>
      <c r="G139" s="124">
        <v>26915</v>
      </c>
      <c r="H139" s="121">
        <v>0</v>
      </c>
      <c r="I139" s="124">
        <v>-26915</v>
      </c>
      <c r="J139" s="121">
        <v>-0.01</v>
      </c>
      <c r="K139" s="121">
        <v>0</v>
      </c>
      <c r="L139" s="121">
        <v>0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5">
      <c r="A140" t="s">
        <v>143</v>
      </c>
      <c r="B140" t="s">
        <v>144</v>
      </c>
      <c r="C140">
        <v>17</v>
      </c>
      <c r="D140" t="s">
        <v>129</v>
      </c>
      <c r="E140" s="14">
        <v>418153</v>
      </c>
      <c r="F140" s="14">
        <v>903963.15</v>
      </c>
      <c r="G140" s="124">
        <v>8586</v>
      </c>
      <c r="H140" s="121">
        <v>18561.21</v>
      </c>
      <c r="I140" s="124">
        <v>-1</v>
      </c>
      <c r="J140" s="121">
        <v>-2.16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33630</v>
      </c>
      <c r="AB140" s="121">
        <v>94283.79</v>
      </c>
      <c r="AC140" s="121">
        <v>0</v>
      </c>
      <c r="AD140" s="121">
        <v>0</v>
      </c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5">
      <c r="A141" t="s">
        <v>143</v>
      </c>
      <c r="B141" t="s">
        <v>144</v>
      </c>
      <c r="C141">
        <v>18</v>
      </c>
      <c r="D141" t="s">
        <v>130</v>
      </c>
      <c r="E141" s="14">
        <v>-15283</v>
      </c>
      <c r="F141" s="14">
        <v>-34678.410000000003</v>
      </c>
      <c r="G141" s="124">
        <v>1237</v>
      </c>
      <c r="H141" s="121">
        <v>2850.02</v>
      </c>
      <c r="I141" s="124">
        <v>0</v>
      </c>
      <c r="J141" s="121">
        <v>0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5">
      <c r="A142" t="s">
        <v>143</v>
      </c>
      <c r="B142" t="s">
        <v>144</v>
      </c>
      <c r="C142">
        <v>19</v>
      </c>
      <c r="D142" t="s">
        <v>50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5">
      <c r="A143" t="s">
        <v>143</v>
      </c>
      <c r="B143" t="s">
        <v>144</v>
      </c>
      <c r="C143">
        <v>20</v>
      </c>
      <c r="D143" t="s">
        <v>131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5">
      <c r="A144" t="s">
        <v>143</v>
      </c>
      <c r="B144" t="s">
        <v>144</v>
      </c>
      <c r="C144">
        <v>21</v>
      </c>
      <c r="D144" t="s">
        <v>132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5">
      <c r="A145" t="s">
        <v>143</v>
      </c>
      <c r="B145" t="s">
        <v>144</v>
      </c>
      <c r="C145">
        <v>22</v>
      </c>
      <c r="D145" t="s">
        <v>133</v>
      </c>
      <c r="E145" s="14">
        <v>-276889</v>
      </c>
      <c r="F145" s="14">
        <v>-598578.64020000002</v>
      </c>
      <c r="G145" s="124">
        <v>-414490</v>
      </c>
      <c r="H145" s="121">
        <v>-896044.48200000008</v>
      </c>
      <c r="I145" s="124">
        <v>-1843220</v>
      </c>
      <c r="J145" s="121">
        <v>-3984672.9959999998</v>
      </c>
      <c r="K145" s="121">
        <v>12494</v>
      </c>
      <c r="L145" s="121">
        <v>27009.529200000001</v>
      </c>
      <c r="M145" s="121">
        <v>182372</v>
      </c>
      <c r="N145" s="121">
        <v>394251.78960000002</v>
      </c>
      <c r="O145" s="121">
        <v>254644</v>
      </c>
      <c r="P145" s="121">
        <v>550489.39919999999</v>
      </c>
      <c r="Q145" s="121">
        <v>1795133</v>
      </c>
      <c r="R145" s="121">
        <v>3880718.5194000001</v>
      </c>
      <c r="S145" s="121">
        <v>0</v>
      </c>
      <c r="T145" s="121">
        <v>0</v>
      </c>
      <c r="U145" s="121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-33630</v>
      </c>
      <c r="AB145" s="121">
        <v>-74894.009999999995</v>
      </c>
      <c r="AC145" s="121">
        <v>0</v>
      </c>
      <c r="AD145" s="121">
        <v>0</v>
      </c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5">
      <c r="A146" t="s">
        <v>143</v>
      </c>
      <c r="B146" t="s">
        <v>144</v>
      </c>
      <c r="C146">
        <v>23</v>
      </c>
      <c r="D146" t="s">
        <v>134</v>
      </c>
      <c r="E146" s="14">
        <v>-546190</v>
      </c>
      <c r="F146" s="14">
        <v>-1180753.54</v>
      </c>
      <c r="G146" s="124">
        <v>32255</v>
      </c>
      <c r="H146" s="121">
        <v>69735.31</v>
      </c>
      <c r="I146" s="124">
        <v>0</v>
      </c>
      <c r="J146" s="121">
        <v>0</v>
      </c>
      <c r="K146" s="121">
        <v>6</v>
      </c>
      <c r="L146" s="121">
        <v>12.970800000000001</v>
      </c>
      <c r="M146" s="121">
        <v>0</v>
      </c>
      <c r="N146" s="121">
        <v>0</v>
      </c>
      <c r="O146" s="121">
        <v>-84</v>
      </c>
      <c r="P146" s="121">
        <v>-181.59119999999999</v>
      </c>
      <c r="Q146" s="121">
        <v>1</v>
      </c>
      <c r="R146" s="121">
        <v>2.1617999999999999</v>
      </c>
      <c r="S146" s="121">
        <v>0</v>
      </c>
      <c r="T146" s="121">
        <v>0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5">
      <c r="A147" t="s">
        <v>143</v>
      </c>
      <c r="B147" t="s">
        <v>144</v>
      </c>
      <c r="C147">
        <v>24</v>
      </c>
      <c r="D147" t="s">
        <v>58</v>
      </c>
      <c r="E147" s="14">
        <v>-24869057</v>
      </c>
      <c r="F147" s="14">
        <v>-3311236.31</v>
      </c>
      <c r="G147" s="124">
        <v>2818026</v>
      </c>
      <c r="H147" s="121">
        <v>435152.35</v>
      </c>
      <c r="I147" s="124">
        <v>-6087407</v>
      </c>
      <c r="J147" s="121">
        <v>511807.35</v>
      </c>
      <c r="K147" s="121">
        <v>2024274</v>
      </c>
      <c r="L147" s="121">
        <v>75385.55</v>
      </c>
      <c r="M147" s="121">
        <v>-53226</v>
      </c>
      <c r="N147" s="121">
        <v>8963.2199999999993</v>
      </c>
      <c r="O147" s="121">
        <v>87928</v>
      </c>
      <c r="P147" s="121">
        <v>21509.94</v>
      </c>
      <c r="Q147" s="121">
        <v>-18058</v>
      </c>
      <c r="R147" s="121">
        <v>33.1</v>
      </c>
      <c r="S147" s="121">
        <v>0</v>
      </c>
      <c r="T147" s="121">
        <v>0</v>
      </c>
      <c r="U147" s="121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5">
      <c r="A148" t="s">
        <v>143</v>
      </c>
      <c r="B148" t="s">
        <v>144</v>
      </c>
      <c r="C148">
        <v>25</v>
      </c>
      <c r="D148" t="s">
        <v>59</v>
      </c>
      <c r="E148" s="14">
        <v>0</v>
      </c>
      <c r="F148" s="14">
        <v>0</v>
      </c>
      <c r="G148" s="124">
        <v>0</v>
      </c>
      <c r="H148" s="121">
        <v>0</v>
      </c>
      <c r="I148" s="124">
        <v>0</v>
      </c>
      <c r="J148" s="121">
        <v>0</v>
      </c>
      <c r="K148" s="121">
        <v>0</v>
      </c>
      <c r="L148" s="121">
        <v>17475</v>
      </c>
      <c r="M148" s="121">
        <v>0</v>
      </c>
      <c r="N148" s="121">
        <v>-44250</v>
      </c>
      <c r="O148" s="121">
        <v>0</v>
      </c>
      <c r="P148" s="121">
        <v>30450</v>
      </c>
      <c r="Q148" s="121">
        <v>0</v>
      </c>
      <c r="R148" s="121">
        <v>316.44</v>
      </c>
      <c r="S148" s="121">
        <v>0</v>
      </c>
      <c r="T148" s="121">
        <v>0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5">
      <c r="A149" t="s">
        <v>143</v>
      </c>
      <c r="B149" t="s">
        <v>144</v>
      </c>
      <c r="C149">
        <v>26</v>
      </c>
      <c r="D149" t="s">
        <v>135</v>
      </c>
      <c r="E149" s="14">
        <v>0</v>
      </c>
      <c r="F149" s="14">
        <v>0</v>
      </c>
      <c r="G149" s="124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5">
      <c r="A150" t="s">
        <v>143</v>
      </c>
      <c r="B150" t="s">
        <v>144</v>
      </c>
      <c r="C150">
        <v>27</v>
      </c>
      <c r="D150" t="s">
        <v>136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5">
      <c r="A151" t="s">
        <v>143</v>
      </c>
      <c r="B151" t="s">
        <v>144</v>
      </c>
      <c r="C151">
        <v>28</v>
      </c>
      <c r="D151" t="s">
        <v>137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5">
      <c r="A152" t="s">
        <v>143</v>
      </c>
      <c r="B152" t="s">
        <v>144</v>
      </c>
      <c r="C152">
        <v>29</v>
      </c>
      <c r="D152" t="s">
        <v>138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5">
      <c r="A153" t="s">
        <v>143</v>
      </c>
      <c r="B153" t="s">
        <v>144</v>
      </c>
      <c r="C153">
        <v>30</v>
      </c>
      <c r="D153" t="s">
        <v>139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5">
      <c r="A154" t="s">
        <v>143</v>
      </c>
      <c r="B154" t="s">
        <v>144</v>
      </c>
      <c r="C154">
        <v>31</v>
      </c>
      <c r="D154" t="s">
        <v>140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5">
      <c r="A155" t="s">
        <v>143</v>
      </c>
      <c r="B155" t="s">
        <v>144</v>
      </c>
      <c r="C155">
        <v>32</v>
      </c>
      <c r="D155" t="s">
        <v>73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5">
      <c r="A156" t="s">
        <v>143</v>
      </c>
      <c r="B156" t="s">
        <v>144</v>
      </c>
      <c r="C156">
        <v>33</v>
      </c>
      <c r="D156" t="s">
        <v>74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>
        <v>0</v>
      </c>
      <c r="AD156" s="121">
        <v>0</v>
      </c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5">
      <c r="A157" t="s">
        <v>143</v>
      </c>
      <c r="B157" t="s">
        <v>144</v>
      </c>
      <c r="C157">
        <v>34</v>
      </c>
      <c r="D157" t="s">
        <v>75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>
        <v>0</v>
      </c>
      <c r="AD157" s="121">
        <v>0</v>
      </c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5">
      <c r="A158" t="s">
        <v>143</v>
      </c>
      <c r="B158" t="s">
        <v>144</v>
      </c>
      <c r="C158">
        <v>35</v>
      </c>
      <c r="D158" t="s">
        <v>76</v>
      </c>
      <c r="E158" s="14">
        <v>0</v>
      </c>
      <c r="F158" s="14">
        <v>0</v>
      </c>
      <c r="G158" s="124">
        <v>0</v>
      </c>
      <c r="H158" s="121">
        <v>-31571.33</v>
      </c>
      <c r="I158" s="124">
        <v>0</v>
      </c>
      <c r="J158" s="121">
        <v>0</v>
      </c>
      <c r="K158" s="121">
        <v>0</v>
      </c>
      <c r="L158" s="121">
        <v>12302.2</v>
      </c>
      <c r="M158" s="121">
        <v>0</v>
      </c>
      <c r="N158" s="121">
        <v>0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>
        <v>0</v>
      </c>
      <c r="AD158" s="121">
        <v>0</v>
      </c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5">
      <c r="A159" t="s">
        <v>143</v>
      </c>
      <c r="B159" t="s">
        <v>144</v>
      </c>
      <c r="C159">
        <v>36</v>
      </c>
      <c r="D159" t="s">
        <v>77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>
        <v>0</v>
      </c>
      <c r="AD159" s="121">
        <v>0</v>
      </c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5">
      <c r="A160" t="s">
        <v>143</v>
      </c>
      <c r="B160" t="s">
        <v>144</v>
      </c>
      <c r="C160">
        <v>37</v>
      </c>
      <c r="D160" t="s">
        <v>78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>
        <v>0</v>
      </c>
      <c r="AD160" s="121">
        <v>0</v>
      </c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5">
      <c r="A161" t="s">
        <v>143</v>
      </c>
      <c r="B161" t="s">
        <v>144</v>
      </c>
      <c r="C161">
        <v>38</v>
      </c>
      <c r="D161" t="s">
        <v>79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5">
      <c r="A162" t="s">
        <v>143</v>
      </c>
      <c r="B162" t="s">
        <v>144</v>
      </c>
      <c r="C162">
        <v>39</v>
      </c>
      <c r="D162" t="s">
        <v>80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>
        <v>0</v>
      </c>
      <c r="AD162" s="121">
        <v>0</v>
      </c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5">
      <c r="A163" t="s">
        <v>143</v>
      </c>
      <c r="B163" t="s">
        <v>144</v>
      </c>
      <c r="C163">
        <v>40</v>
      </c>
      <c r="D163" t="s">
        <v>81</v>
      </c>
      <c r="E163" s="14">
        <v>0</v>
      </c>
      <c r="F163" s="14">
        <v>0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>
        <v>0</v>
      </c>
      <c r="AD163" s="121">
        <v>0</v>
      </c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5">
      <c r="A164" t="s">
        <v>143</v>
      </c>
      <c r="B164" t="s">
        <v>145</v>
      </c>
      <c r="C164">
        <v>1</v>
      </c>
      <c r="D164" t="s">
        <v>28</v>
      </c>
      <c r="E164" s="14">
        <v>78678516</v>
      </c>
      <c r="F164" s="14">
        <v>180535535.84999999</v>
      </c>
      <c r="G164" s="124">
        <v>66948</v>
      </c>
      <c r="H164" s="121">
        <v>20529677.590000004</v>
      </c>
      <c r="I164" s="124">
        <v>-722</v>
      </c>
      <c r="J164" s="121">
        <v>126813.9</v>
      </c>
      <c r="K164" s="121">
        <v>0</v>
      </c>
      <c r="L164" s="121">
        <v>0</v>
      </c>
      <c r="M164" s="121">
        <v>-10675</v>
      </c>
      <c r="N164" s="121">
        <v>-14646532.470000001</v>
      </c>
      <c r="O164" s="121">
        <v>0</v>
      </c>
      <c r="P164" s="121">
        <v>0</v>
      </c>
      <c r="Q164" s="121">
        <v>0</v>
      </c>
      <c r="R164" s="121">
        <v>0</v>
      </c>
      <c r="S164" s="121">
        <v>-2561</v>
      </c>
      <c r="T164" s="121">
        <v>-15111.93</v>
      </c>
      <c r="U164" s="121">
        <v>0</v>
      </c>
      <c r="V164" s="121">
        <v>703.59</v>
      </c>
      <c r="W164" s="121">
        <v>0</v>
      </c>
      <c r="X164" s="121">
        <v>0</v>
      </c>
      <c r="Y164" s="121">
        <v>0</v>
      </c>
      <c r="Z164" s="121">
        <v>0</v>
      </c>
      <c r="AA164" s="121">
        <v>0</v>
      </c>
      <c r="AB164" s="121">
        <v>0</v>
      </c>
      <c r="AC164" s="121">
        <v>0</v>
      </c>
      <c r="AD164" s="121">
        <v>0</v>
      </c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5">
      <c r="A165" t="s">
        <v>143</v>
      </c>
      <c r="B165" t="s">
        <v>145</v>
      </c>
      <c r="C165">
        <v>2</v>
      </c>
      <c r="D165" t="s">
        <v>29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>
        <v>0</v>
      </c>
      <c r="AD165" s="121">
        <v>0</v>
      </c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5">
      <c r="A166" t="s">
        <v>143</v>
      </c>
      <c r="B166" t="s">
        <v>145</v>
      </c>
      <c r="C166">
        <v>3</v>
      </c>
      <c r="D166" t="s">
        <v>30</v>
      </c>
      <c r="E166" s="14">
        <v>37219120</v>
      </c>
      <c r="F166" s="14">
        <v>85375528</v>
      </c>
      <c r="G166" s="124">
        <v>0</v>
      </c>
      <c r="H166" s="121">
        <v>0</v>
      </c>
      <c r="I166" s="124">
        <v>-146210</v>
      </c>
      <c r="J166" s="121">
        <v>-326153</v>
      </c>
      <c r="K166" s="121">
        <v>0</v>
      </c>
      <c r="L166" s="121">
        <v>0</v>
      </c>
      <c r="M166" s="121">
        <v>0</v>
      </c>
      <c r="N166" s="121">
        <v>0</v>
      </c>
      <c r="O166" s="121">
        <v>465278</v>
      </c>
      <c r="P166" s="121">
        <v>1052380</v>
      </c>
      <c r="Q166" s="121">
        <v>-319068</v>
      </c>
      <c r="R166" s="121">
        <v>-726227</v>
      </c>
      <c r="S166" s="121">
        <v>2920443</v>
      </c>
      <c r="T166" s="121">
        <v>6604040</v>
      </c>
      <c r="U166" s="121">
        <v>0</v>
      </c>
      <c r="V166" s="121">
        <v>0</v>
      </c>
      <c r="W166" s="121">
        <v>-2920443</v>
      </c>
      <c r="X166" s="121">
        <v>-6604040</v>
      </c>
      <c r="Y166" s="121">
        <v>0</v>
      </c>
      <c r="Z166" s="121">
        <v>0</v>
      </c>
      <c r="AA166" s="121">
        <v>0</v>
      </c>
      <c r="AB166" s="121">
        <v>0</v>
      </c>
      <c r="AC166" s="121">
        <v>0</v>
      </c>
      <c r="AD166" s="121">
        <v>0</v>
      </c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5">
      <c r="A167" t="s">
        <v>143</v>
      </c>
      <c r="B167" t="s">
        <v>145</v>
      </c>
      <c r="C167">
        <v>4</v>
      </c>
      <c r="D167" t="s">
        <v>31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>
        <v>0</v>
      </c>
      <c r="AD167" s="121">
        <v>0</v>
      </c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5">
      <c r="A168" t="s">
        <v>143</v>
      </c>
      <c r="B168" t="s">
        <v>145</v>
      </c>
      <c r="C168">
        <v>5</v>
      </c>
      <c r="D168" t="s">
        <v>128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-2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>
        <v>0</v>
      </c>
      <c r="AD168" s="121">
        <v>0</v>
      </c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5">
      <c r="A169" t="s">
        <v>143</v>
      </c>
      <c r="B169" t="s">
        <v>145</v>
      </c>
      <c r="C169">
        <v>6</v>
      </c>
      <c r="D169" t="s">
        <v>28</v>
      </c>
      <c r="E169" s="14">
        <v>-90815512</v>
      </c>
      <c r="F169" s="14">
        <v>-201449130.89999998</v>
      </c>
      <c r="G169" s="124">
        <v>162017</v>
      </c>
      <c r="H169" s="121">
        <v>-2413312.63</v>
      </c>
      <c r="I169" s="124">
        <v>1385179</v>
      </c>
      <c r="J169" s="121">
        <v>3050908.38</v>
      </c>
      <c r="K169" s="121">
        <v>-7794</v>
      </c>
      <c r="L169" s="121">
        <v>-150009.76999999999</v>
      </c>
      <c r="M169" s="121">
        <v>6272998</v>
      </c>
      <c r="N169" s="121">
        <v>12212774.470000001</v>
      </c>
      <c r="O169" s="121">
        <v>0</v>
      </c>
      <c r="P169" s="121">
        <v>0</v>
      </c>
      <c r="Q169" s="121">
        <v>0</v>
      </c>
      <c r="R169" s="121">
        <v>0</v>
      </c>
      <c r="S169" s="121">
        <v>13856</v>
      </c>
      <c r="T169" s="121">
        <v>80184.039999999994</v>
      </c>
      <c r="U169" s="121">
        <v>0</v>
      </c>
      <c r="V169" s="121">
        <v>7040.69</v>
      </c>
      <c r="W169" s="121">
        <v>-128</v>
      </c>
      <c r="X169" s="121">
        <v>-3525.73</v>
      </c>
      <c r="Y169" s="121">
        <v>0</v>
      </c>
      <c r="Z169" s="121">
        <v>22484.240000000002</v>
      </c>
      <c r="AA169" s="121">
        <v>0</v>
      </c>
      <c r="AB169" s="121">
        <v>12053.7</v>
      </c>
      <c r="AC169" s="121">
        <v>15</v>
      </c>
      <c r="AD169" s="121">
        <v>-12021.93</v>
      </c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5">
      <c r="A170" t="s">
        <v>143</v>
      </c>
      <c r="B170" t="s">
        <v>145</v>
      </c>
      <c r="C170">
        <v>7</v>
      </c>
      <c r="D170" t="s">
        <v>29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5">
      <c r="A171" t="s">
        <v>143</v>
      </c>
      <c r="B171" t="s">
        <v>145</v>
      </c>
      <c r="C171">
        <v>8</v>
      </c>
      <c r="D171" t="s">
        <v>30</v>
      </c>
      <c r="E171" s="14">
        <v>-32629494</v>
      </c>
      <c r="F171" s="14">
        <v>-75619749</v>
      </c>
      <c r="G171" s="124">
        <v>0</v>
      </c>
      <c r="H171" s="121">
        <v>0</v>
      </c>
      <c r="I171" s="124">
        <v>181781</v>
      </c>
      <c r="J171" s="121">
        <v>402259</v>
      </c>
      <c r="K171" s="121">
        <v>0</v>
      </c>
      <c r="L171" s="121">
        <v>0</v>
      </c>
      <c r="M171" s="121">
        <v>0</v>
      </c>
      <c r="N171" s="121">
        <v>0</v>
      </c>
      <c r="O171" s="121">
        <v>-465278</v>
      </c>
      <c r="P171" s="121">
        <v>-1052380</v>
      </c>
      <c r="Q171" s="121">
        <v>283497</v>
      </c>
      <c r="R171" s="121">
        <v>650121</v>
      </c>
      <c r="S171" s="121">
        <v>-1124885</v>
      </c>
      <c r="T171" s="121">
        <v>-2522401</v>
      </c>
      <c r="U171" s="121">
        <v>0</v>
      </c>
      <c r="V171" s="121">
        <v>0</v>
      </c>
      <c r="W171" s="121">
        <v>1124885</v>
      </c>
      <c r="X171" s="121">
        <v>2522401</v>
      </c>
      <c r="Y171" s="121">
        <v>0</v>
      </c>
      <c r="Z171" s="121">
        <v>0</v>
      </c>
      <c r="AA171" s="121">
        <v>0</v>
      </c>
      <c r="AB171" s="121">
        <v>0</v>
      </c>
      <c r="AC171" s="121">
        <v>0</v>
      </c>
      <c r="AD171" s="121">
        <v>0</v>
      </c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5">
      <c r="A172" t="s">
        <v>143</v>
      </c>
      <c r="B172" t="s">
        <v>145</v>
      </c>
      <c r="C172">
        <v>9</v>
      </c>
      <c r="D172" t="s">
        <v>31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>
        <v>0</v>
      </c>
      <c r="AD172" s="121">
        <v>0</v>
      </c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5">
      <c r="A173" t="s">
        <v>143</v>
      </c>
      <c r="B173" t="s">
        <v>145</v>
      </c>
      <c r="C173">
        <v>10</v>
      </c>
      <c r="D173" t="s">
        <v>35</v>
      </c>
      <c r="E173" s="14">
        <v>136325</v>
      </c>
      <c r="F173" s="14">
        <v>303868.43</v>
      </c>
      <c r="G173" s="124">
        <v>-23362</v>
      </c>
      <c r="H173" s="121">
        <v>-52019.326000000001</v>
      </c>
      <c r="I173" s="124">
        <v>-5455</v>
      </c>
      <c r="J173" s="121">
        <v>-12158.833000000001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-69</v>
      </c>
      <c r="T173" s="121">
        <v>-149.16419999999999</v>
      </c>
      <c r="U173" s="121">
        <v>0</v>
      </c>
      <c r="V173" s="121">
        <v>0</v>
      </c>
      <c r="W173" s="121">
        <v>24</v>
      </c>
      <c r="X173" s="121">
        <v>51.883200000000002</v>
      </c>
      <c r="Y173" s="121">
        <v>0</v>
      </c>
      <c r="Z173" s="121">
        <v>0</v>
      </c>
      <c r="AA173" s="121">
        <v>0</v>
      </c>
      <c r="AB173" s="121">
        <v>0</v>
      </c>
      <c r="AC173" s="121">
        <v>129</v>
      </c>
      <c r="AD173" s="121">
        <v>278.87220000000002</v>
      </c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5">
      <c r="A174" t="s">
        <v>143</v>
      </c>
      <c r="B174" t="s">
        <v>145</v>
      </c>
      <c r="C174">
        <v>11</v>
      </c>
      <c r="D174" t="s">
        <v>38</v>
      </c>
      <c r="E174" s="14">
        <v>0</v>
      </c>
      <c r="F174" s="14">
        <v>0</v>
      </c>
      <c r="G174" s="124">
        <v>67000</v>
      </c>
      <c r="H174" s="121">
        <v>155075.79</v>
      </c>
      <c r="I174" s="124">
        <v>0</v>
      </c>
      <c r="J174" s="121">
        <v>0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>
        <v>0</v>
      </c>
      <c r="AD174" s="121">
        <v>0</v>
      </c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5">
      <c r="A175" t="s">
        <v>143</v>
      </c>
      <c r="B175" t="s">
        <v>145</v>
      </c>
      <c r="C175">
        <v>12</v>
      </c>
      <c r="D175" t="s">
        <v>39</v>
      </c>
      <c r="E175" s="14">
        <v>-1181054</v>
      </c>
      <c r="F175" s="14">
        <v>-2726884.02</v>
      </c>
      <c r="G175" s="124">
        <v>0</v>
      </c>
      <c r="H175" s="121">
        <v>0.01</v>
      </c>
      <c r="I175" s="124">
        <v>0</v>
      </c>
      <c r="J175" s="121">
        <v>0</v>
      </c>
      <c r="K175" s="121">
        <v>0</v>
      </c>
      <c r="L175" s="121">
        <v>-124.27</v>
      </c>
      <c r="M175" s="121">
        <v>0</v>
      </c>
      <c r="N175" s="121">
        <v>0</v>
      </c>
      <c r="O175" s="121">
        <v>0</v>
      </c>
      <c r="P175" s="121">
        <v>0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>
        <v>0</v>
      </c>
      <c r="AD175" s="121">
        <v>0</v>
      </c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5">
      <c r="A176" t="s">
        <v>143</v>
      </c>
      <c r="B176" t="s">
        <v>145</v>
      </c>
      <c r="C176">
        <v>13</v>
      </c>
      <c r="D176" t="s">
        <v>42</v>
      </c>
      <c r="E176" s="14">
        <v>237412</v>
      </c>
      <c r="F176" s="14">
        <v>529191.35</v>
      </c>
      <c r="G176" s="124">
        <v>-645371</v>
      </c>
      <c r="H176" s="121">
        <v>-1453218.4850000001</v>
      </c>
      <c r="I176" s="124">
        <v>225182</v>
      </c>
      <c r="J176" s="121">
        <v>375878.91200000001</v>
      </c>
      <c r="K176" s="121">
        <v>1840</v>
      </c>
      <c r="L176" s="121">
        <v>23792.651999999998</v>
      </c>
      <c r="M176" s="121">
        <v>-7848</v>
      </c>
      <c r="N176" s="121">
        <v>-602946.25899999996</v>
      </c>
      <c r="O176" s="121">
        <v>0</v>
      </c>
      <c r="P176" s="121">
        <v>0</v>
      </c>
      <c r="Q176" s="121">
        <v>0</v>
      </c>
      <c r="R176" s="121">
        <v>0</v>
      </c>
      <c r="S176" s="121">
        <v>-6001</v>
      </c>
      <c r="T176" s="121">
        <v>-12972.961799999999</v>
      </c>
      <c r="U176" s="121">
        <v>-31172</v>
      </c>
      <c r="V176" s="121">
        <v>-67387.63</v>
      </c>
      <c r="W176" s="121">
        <v>4614</v>
      </c>
      <c r="X176" s="121">
        <v>9974.5452000000005</v>
      </c>
      <c r="Y176" s="121">
        <v>0</v>
      </c>
      <c r="Z176" s="121">
        <v>0</v>
      </c>
      <c r="AA176" s="121">
        <v>-943</v>
      </c>
      <c r="AB176" s="121">
        <v>-2038.5773999999999</v>
      </c>
      <c r="AC176" s="121">
        <v>-145</v>
      </c>
      <c r="AD176" s="121">
        <v>-313.46100000000001</v>
      </c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5">
      <c r="A177" t="s">
        <v>143</v>
      </c>
      <c r="B177" t="s">
        <v>145</v>
      </c>
      <c r="C177">
        <v>14</v>
      </c>
      <c r="D177" t="s">
        <v>43</v>
      </c>
      <c r="E177" s="14">
        <v>0</v>
      </c>
      <c r="F177" s="14">
        <v>0</v>
      </c>
      <c r="G177" s="124">
        <v>-29794</v>
      </c>
      <c r="H177" s="121">
        <v>-66068.19</v>
      </c>
      <c r="I177" s="124">
        <v>0</v>
      </c>
      <c r="J177" s="121">
        <v>0</v>
      </c>
      <c r="K177" s="121">
        <v>-301</v>
      </c>
      <c r="L177" s="121">
        <v>-676.2</v>
      </c>
      <c r="M177" s="121">
        <v>0</v>
      </c>
      <c r="N177" s="121">
        <v>0</v>
      </c>
      <c r="O177" s="121">
        <v>0</v>
      </c>
      <c r="P177" s="121">
        <v>0</v>
      </c>
      <c r="Q177" s="121">
        <v>0</v>
      </c>
      <c r="R177" s="121">
        <v>0</v>
      </c>
      <c r="S177" s="121">
        <v>0</v>
      </c>
      <c r="T177" s="121">
        <v>0</v>
      </c>
      <c r="U177" s="121">
        <v>0</v>
      </c>
      <c r="V177" s="121">
        <v>0</v>
      </c>
      <c r="W177" s="121">
        <v>-4749</v>
      </c>
      <c r="X177" s="121">
        <v>-10261.92</v>
      </c>
      <c r="Y177" s="121">
        <v>0</v>
      </c>
      <c r="Z177" s="121">
        <v>0</v>
      </c>
      <c r="AA177" s="121">
        <v>0</v>
      </c>
      <c r="AB177" s="121">
        <v>0</v>
      </c>
      <c r="AC177" s="121">
        <v>0</v>
      </c>
      <c r="AD177" s="121">
        <v>0</v>
      </c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5">
      <c r="A178" t="s">
        <v>143</v>
      </c>
      <c r="B178" t="s">
        <v>145</v>
      </c>
      <c r="C178">
        <v>15</v>
      </c>
      <c r="D178" t="s">
        <v>44</v>
      </c>
      <c r="E178" s="14">
        <v>0</v>
      </c>
      <c r="F178" s="14">
        <v>0</v>
      </c>
      <c r="G178" s="124">
        <v>318136</v>
      </c>
      <c r="H178" s="121">
        <v>710538.57</v>
      </c>
      <c r="I178" s="124">
        <v>5</v>
      </c>
      <c r="J178" s="121">
        <v>10.79</v>
      </c>
      <c r="K178" s="121">
        <v>5954</v>
      </c>
      <c r="L178" s="121">
        <v>13474.99</v>
      </c>
      <c r="M178" s="121">
        <v>4824</v>
      </c>
      <c r="N178" s="121">
        <v>10416.459999999999</v>
      </c>
      <c r="O178" s="121">
        <v>0</v>
      </c>
      <c r="P178" s="121">
        <v>0</v>
      </c>
      <c r="Q178" s="121">
        <v>0</v>
      </c>
      <c r="R178" s="121">
        <v>0</v>
      </c>
      <c r="S178" s="121">
        <v>0</v>
      </c>
      <c r="T178" s="121">
        <v>0</v>
      </c>
      <c r="U178" s="121">
        <v>0</v>
      </c>
      <c r="V178" s="121">
        <v>0</v>
      </c>
      <c r="W178" s="121">
        <v>2488</v>
      </c>
      <c r="X178" s="121">
        <v>5303.57</v>
      </c>
      <c r="Y178" s="121">
        <v>0</v>
      </c>
      <c r="Z178" s="121">
        <v>0</v>
      </c>
      <c r="AA178" s="121">
        <v>0</v>
      </c>
      <c r="AB178" s="121">
        <v>0</v>
      </c>
      <c r="AC178" s="121">
        <v>0</v>
      </c>
      <c r="AD178" s="121">
        <v>0</v>
      </c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5">
      <c r="A179" t="s">
        <v>143</v>
      </c>
      <c r="B179" t="s">
        <v>145</v>
      </c>
      <c r="C179">
        <v>16</v>
      </c>
      <c r="D179" t="s">
        <v>45</v>
      </c>
      <c r="E179" s="14">
        <v>-600000</v>
      </c>
      <c r="F179" s="14">
        <v>-0.01</v>
      </c>
      <c r="G179" s="124">
        <v>1200000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706500</v>
      </c>
      <c r="O179" s="121">
        <v>0</v>
      </c>
      <c r="P179" s="121">
        <v>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>
        <v>0</v>
      </c>
      <c r="AD179" s="121">
        <v>0</v>
      </c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5">
      <c r="A180" t="s">
        <v>143</v>
      </c>
      <c r="B180" t="s">
        <v>145</v>
      </c>
      <c r="C180">
        <v>17</v>
      </c>
      <c r="D180" t="s">
        <v>129</v>
      </c>
      <c r="E180" s="14">
        <v>0</v>
      </c>
      <c r="F180" s="14">
        <v>0</v>
      </c>
      <c r="G180" s="124">
        <v>0</v>
      </c>
      <c r="H180" s="121">
        <v>0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>
        <v>0</v>
      </c>
      <c r="AD180" s="121">
        <v>0</v>
      </c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5">
      <c r="A181" t="s">
        <v>143</v>
      </c>
      <c r="B181" t="s">
        <v>145</v>
      </c>
      <c r="C181">
        <v>18</v>
      </c>
      <c r="D181" t="s">
        <v>130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0</v>
      </c>
      <c r="L181" s="121">
        <v>0</v>
      </c>
      <c r="M181" s="121">
        <v>0</v>
      </c>
      <c r="N181" s="121">
        <v>0</v>
      </c>
      <c r="O181" s="121">
        <v>-300000</v>
      </c>
      <c r="P181" s="121">
        <v>-784200</v>
      </c>
      <c r="Q181" s="121">
        <v>0</v>
      </c>
      <c r="R181" s="121">
        <v>0</v>
      </c>
      <c r="S181" s="121">
        <v>-958</v>
      </c>
      <c r="T181" s="121">
        <v>-2170.8000000000002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>
        <v>0</v>
      </c>
      <c r="AD181" s="121">
        <v>0</v>
      </c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5">
      <c r="A182" t="s">
        <v>143</v>
      </c>
      <c r="B182" t="s">
        <v>145</v>
      </c>
      <c r="C182">
        <v>19</v>
      </c>
      <c r="D182" t="s">
        <v>50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>
        <v>0</v>
      </c>
      <c r="AD182" s="121">
        <v>0</v>
      </c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5">
      <c r="A183" t="s">
        <v>143</v>
      </c>
      <c r="B183" t="s">
        <v>145</v>
      </c>
      <c r="C183">
        <v>20</v>
      </c>
      <c r="D183" t="s">
        <v>131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>
        <v>0</v>
      </c>
      <c r="AD183" s="121">
        <v>0</v>
      </c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5">
      <c r="A184" t="s">
        <v>143</v>
      </c>
      <c r="B184" t="s">
        <v>145</v>
      </c>
      <c r="C184">
        <v>21</v>
      </c>
      <c r="D184" t="s">
        <v>132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>
        <v>0</v>
      </c>
      <c r="AD184" s="121">
        <v>0</v>
      </c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5">
      <c r="A185" t="s">
        <v>143</v>
      </c>
      <c r="B185" t="s">
        <v>145</v>
      </c>
      <c r="C185">
        <v>22</v>
      </c>
      <c r="D185" t="s">
        <v>133</v>
      </c>
      <c r="E185" s="14">
        <v>8954687</v>
      </c>
      <c r="F185" s="14">
        <v>19959997.322999999</v>
      </c>
      <c r="G185" s="124">
        <v>-1115574</v>
      </c>
      <c r="H185" s="121">
        <v>-2486614.4459999986</v>
      </c>
      <c r="I185" s="124">
        <v>-1639760</v>
      </c>
      <c r="J185" s="121">
        <v>-3655025.04</v>
      </c>
      <c r="K185" s="121">
        <v>301</v>
      </c>
      <c r="L185" s="121">
        <v>670.92899999999997</v>
      </c>
      <c r="M185" s="121">
        <v>-6259299</v>
      </c>
      <c r="N185" s="121">
        <v>-13951977.471000001</v>
      </c>
      <c r="O185" s="121">
        <v>300000</v>
      </c>
      <c r="P185" s="121">
        <v>668700</v>
      </c>
      <c r="Q185" s="121">
        <v>35571</v>
      </c>
      <c r="R185" s="121">
        <v>79287.759000000005</v>
      </c>
      <c r="S185" s="121">
        <v>-1799825</v>
      </c>
      <c r="T185" s="121">
        <v>-3890861.6850000001</v>
      </c>
      <c r="U185" s="121">
        <v>31172</v>
      </c>
      <c r="V185" s="121">
        <v>67387.6296</v>
      </c>
      <c r="W185" s="121">
        <v>1793309</v>
      </c>
      <c r="X185" s="121">
        <v>3876775.3961999998</v>
      </c>
      <c r="Y185" s="121">
        <v>0</v>
      </c>
      <c r="Z185" s="121">
        <v>0</v>
      </c>
      <c r="AA185" s="121">
        <v>943</v>
      </c>
      <c r="AB185" s="121">
        <v>2038.5773999999999</v>
      </c>
      <c r="AC185" s="121">
        <v>1</v>
      </c>
      <c r="AD185" s="121">
        <v>2.1617999999999999</v>
      </c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5">
      <c r="A186" t="s">
        <v>143</v>
      </c>
      <c r="B186" t="s">
        <v>145</v>
      </c>
      <c r="C186">
        <v>23</v>
      </c>
      <c r="D186" t="s">
        <v>134</v>
      </c>
      <c r="E186" s="14">
        <v>-136325</v>
      </c>
      <c r="F186" s="14">
        <v>-303868.43</v>
      </c>
      <c r="G186" s="124">
        <v>-3924</v>
      </c>
      <c r="H186" s="121">
        <v>-8746.5959999999995</v>
      </c>
      <c r="I186" s="124">
        <v>5274</v>
      </c>
      <c r="J186" s="121">
        <v>11755.745999999999</v>
      </c>
      <c r="K186" s="121">
        <v>0</v>
      </c>
      <c r="L186" s="121">
        <v>0</v>
      </c>
      <c r="M186" s="121">
        <v>0</v>
      </c>
      <c r="N186" s="121">
        <v>0</v>
      </c>
      <c r="O186" s="121">
        <v>0</v>
      </c>
      <c r="P186" s="121">
        <v>0</v>
      </c>
      <c r="Q186" s="121">
        <v>0</v>
      </c>
      <c r="R186" s="121">
        <v>0</v>
      </c>
      <c r="S186" s="121">
        <v>69</v>
      </c>
      <c r="T186" s="121">
        <v>149.16419999999999</v>
      </c>
      <c r="U186" s="121">
        <v>0</v>
      </c>
      <c r="V186" s="121">
        <v>0</v>
      </c>
      <c r="W186" s="121">
        <v>-24</v>
      </c>
      <c r="X186" s="121">
        <v>-51.883200000000002</v>
      </c>
      <c r="Y186" s="121">
        <v>0</v>
      </c>
      <c r="Z186" s="121">
        <v>0</v>
      </c>
      <c r="AA186" s="121">
        <v>0</v>
      </c>
      <c r="AB186" s="121">
        <v>0</v>
      </c>
      <c r="AC186" s="121">
        <v>-129</v>
      </c>
      <c r="AD186" s="121">
        <v>-278.87220000000002</v>
      </c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5">
      <c r="A187" t="s">
        <v>143</v>
      </c>
      <c r="B187" t="s">
        <v>145</v>
      </c>
      <c r="C187">
        <v>24</v>
      </c>
      <c r="D187" t="s">
        <v>58</v>
      </c>
      <c r="E187" s="14">
        <v>-16636979</v>
      </c>
      <c r="F187" s="14">
        <v>-329224.86</v>
      </c>
      <c r="G187" s="124">
        <v>-250611</v>
      </c>
      <c r="H187" s="121">
        <v>11659.77</v>
      </c>
      <c r="I187" s="124">
        <v>-137914</v>
      </c>
      <c r="J187" s="121">
        <v>-32927.17</v>
      </c>
      <c r="K187" s="121">
        <v>-42970</v>
      </c>
      <c r="L187" s="121">
        <v>2190.5700000000002</v>
      </c>
      <c r="M187" s="121">
        <v>0</v>
      </c>
      <c r="N187" s="121">
        <v>0</v>
      </c>
      <c r="O187" s="121">
        <v>0</v>
      </c>
      <c r="P187" s="121">
        <v>0</v>
      </c>
      <c r="Q187" s="121">
        <v>0</v>
      </c>
      <c r="R187" s="121">
        <v>-5348.04</v>
      </c>
      <c r="S187" s="121">
        <v>-257103</v>
      </c>
      <c r="T187" s="121">
        <v>-546.78</v>
      </c>
      <c r="U187" s="121">
        <v>0</v>
      </c>
      <c r="V187" s="121">
        <v>-180.69</v>
      </c>
      <c r="W187" s="121">
        <v>-2366</v>
      </c>
      <c r="X187" s="121">
        <v>15.93</v>
      </c>
      <c r="Y187" s="121">
        <v>-304233</v>
      </c>
      <c r="Z187" s="121">
        <v>13425.85</v>
      </c>
      <c r="AA187" s="121">
        <v>-761700</v>
      </c>
      <c r="AB187" s="121">
        <v>-13425.85</v>
      </c>
      <c r="AC187" s="121">
        <v>-2891</v>
      </c>
      <c r="AD187" s="121">
        <v>0</v>
      </c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5">
      <c r="A188" t="s">
        <v>143</v>
      </c>
      <c r="B188" t="s">
        <v>145</v>
      </c>
      <c r="C188">
        <v>25</v>
      </c>
      <c r="D188" t="s">
        <v>59</v>
      </c>
      <c r="E188" s="14">
        <v>0</v>
      </c>
      <c r="F188" s="14">
        <v>-3035948.99</v>
      </c>
      <c r="G188" s="124">
        <v>0</v>
      </c>
      <c r="H188" s="121">
        <v>132137.89000000001</v>
      </c>
      <c r="I188" s="124">
        <v>0</v>
      </c>
      <c r="J188" s="121">
        <v>921.36</v>
      </c>
      <c r="K188" s="121">
        <v>0</v>
      </c>
      <c r="L188" s="121">
        <v>13607.4</v>
      </c>
      <c r="M188" s="121">
        <v>0</v>
      </c>
      <c r="N188" s="121">
        <v>0</v>
      </c>
      <c r="O188" s="121">
        <v>0</v>
      </c>
      <c r="P188" s="121">
        <v>0</v>
      </c>
      <c r="Q188" s="121">
        <v>0</v>
      </c>
      <c r="R188" s="121">
        <v>0</v>
      </c>
      <c r="S188" s="121">
        <v>0</v>
      </c>
      <c r="T188" s="121">
        <v>11467.96</v>
      </c>
      <c r="U188" s="121">
        <v>0</v>
      </c>
      <c r="V188" s="121">
        <v>-12708</v>
      </c>
      <c r="W188" s="121">
        <v>0</v>
      </c>
      <c r="X188" s="121">
        <v>0</v>
      </c>
      <c r="Y188" s="121">
        <v>0</v>
      </c>
      <c r="Z188" s="121">
        <v>0</v>
      </c>
      <c r="AA188" s="121">
        <v>0</v>
      </c>
      <c r="AB188" s="121">
        <v>0</v>
      </c>
      <c r="AC188" s="121">
        <v>0</v>
      </c>
      <c r="AD188" s="121">
        <v>0</v>
      </c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5">
      <c r="A189" t="s">
        <v>143</v>
      </c>
      <c r="B189" t="s">
        <v>145</v>
      </c>
      <c r="C189">
        <v>26</v>
      </c>
      <c r="D189" t="s">
        <v>135</v>
      </c>
      <c r="E189" s="14">
        <v>0</v>
      </c>
      <c r="F189" s="14">
        <v>0</v>
      </c>
      <c r="G189" s="124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>
        <v>0</v>
      </c>
      <c r="AD189" s="121">
        <v>0</v>
      </c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5">
      <c r="A190" t="s">
        <v>143</v>
      </c>
      <c r="B190" t="s">
        <v>145</v>
      </c>
      <c r="C190">
        <v>27</v>
      </c>
      <c r="D190" t="s">
        <v>136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>
        <v>0</v>
      </c>
      <c r="AD190" s="121">
        <v>0</v>
      </c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5">
      <c r="A191" t="s">
        <v>143</v>
      </c>
      <c r="B191" t="s">
        <v>145</v>
      </c>
      <c r="C191">
        <v>28</v>
      </c>
      <c r="D191" t="s">
        <v>137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5">
      <c r="A192" t="s">
        <v>143</v>
      </c>
      <c r="B192" t="s">
        <v>145</v>
      </c>
      <c r="C192">
        <v>29</v>
      </c>
      <c r="D192" t="s">
        <v>138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>
        <v>0</v>
      </c>
      <c r="AD192" s="121">
        <v>0</v>
      </c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5">
      <c r="A193" t="s">
        <v>143</v>
      </c>
      <c r="B193" t="s">
        <v>145</v>
      </c>
      <c r="C193">
        <v>30</v>
      </c>
      <c r="D193" t="s">
        <v>139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>
        <v>0</v>
      </c>
      <c r="AD193" s="121">
        <v>0</v>
      </c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5">
      <c r="A194" t="s">
        <v>143</v>
      </c>
      <c r="B194" t="s">
        <v>145</v>
      </c>
      <c r="C194">
        <v>31</v>
      </c>
      <c r="D194" t="s">
        <v>140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>
        <v>0</v>
      </c>
      <c r="AD194" s="121">
        <v>0</v>
      </c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5">
      <c r="A195" t="s">
        <v>143</v>
      </c>
      <c r="B195" t="s">
        <v>145</v>
      </c>
      <c r="C195">
        <v>32</v>
      </c>
      <c r="D195" t="s">
        <v>73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>
        <v>0</v>
      </c>
      <c r="AD195" s="121">
        <v>0</v>
      </c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5">
      <c r="A196" t="s">
        <v>143</v>
      </c>
      <c r="B196" t="s">
        <v>145</v>
      </c>
      <c r="C196">
        <v>33</v>
      </c>
      <c r="D196" t="s">
        <v>74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>
        <v>0</v>
      </c>
      <c r="AD196" s="121">
        <v>0</v>
      </c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5">
      <c r="A197" t="s">
        <v>143</v>
      </c>
      <c r="B197" t="s">
        <v>145</v>
      </c>
      <c r="C197">
        <v>34</v>
      </c>
      <c r="D197" t="s">
        <v>75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5">
      <c r="A198" t="s">
        <v>143</v>
      </c>
      <c r="B198" t="s">
        <v>145</v>
      </c>
      <c r="C198">
        <v>35</v>
      </c>
      <c r="D198" t="s">
        <v>76</v>
      </c>
      <c r="E198" s="14">
        <v>0</v>
      </c>
      <c r="F198" s="14">
        <v>0</v>
      </c>
      <c r="G198" s="124">
        <v>0</v>
      </c>
      <c r="H198" s="121">
        <v>-259215.52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>
        <v>0</v>
      </c>
      <c r="AD198" s="121">
        <v>0</v>
      </c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5">
      <c r="A199" t="s">
        <v>143</v>
      </c>
      <c r="B199" t="s">
        <v>145</v>
      </c>
      <c r="C199">
        <v>36</v>
      </c>
      <c r="D199" t="s">
        <v>77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>
        <v>0</v>
      </c>
      <c r="AD199" s="121">
        <v>0</v>
      </c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5">
      <c r="A200" t="s">
        <v>143</v>
      </c>
      <c r="B200" t="s">
        <v>145</v>
      </c>
      <c r="C200">
        <v>37</v>
      </c>
      <c r="D200" t="s">
        <v>78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>
        <v>0</v>
      </c>
      <c r="AD200" s="121">
        <v>0</v>
      </c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5">
      <c r="A201" t="s">
        <v>143</v>
      </c>
      <c r="B201" t="s">
        <v>145</v>
      </c>
      <c r="C201">
        <v>38</v>
      </c>
      <c r="D201" t="s">
        <v>79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>
        <v>0</v>
      </c>
      <c r="AD201" s="121">
        <v>0</v>
      </c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5">
      <c r="A202" t="s">
        <v>143</v>
      </c>
      <c r="B202" t="s">
        <v>145</v>
      </c>
      <c r="C202">
        <v>39</v>
      </c>
      <c r="D202" t="s">
        <v>80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>
        <v>0</v>
      </c>
      <c r="AD202" s="121">
        <v>0</v>
      </c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5">
      <c r="A203" t="s">
        <v>143</v>
      </c>
      <c r="B203" t="s">
        <v>145</v>
      </c>
      <c r="C203">
        <v>40</v>
      </c>
      <c r="D203" t="s">
        <v>81</v>
      </c>
      <c r="E203" s="14">
        <v>0</v>
      </c>
      <c r="F203" s="14">
        <v>750268.76</v>
      </c>
      <c r="G203" s="124">
        <v>0</v>
      </c>
      <c r="H203" s="121">
        <v>39567.199999999997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>
        <v>0</v>
      </c>
      <c r="AD203" s="121">
        <v>0</v>
      </c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5">
      <c r="A204" t="s">
        <v>143</v>
      </c>
      <c r="B204" t="s">
        <v>142</v>
      </c>
      <c r="C204">
        <v>1</v>
      </c>
      <c r="D204" t="s">
        <v>28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>
        <v>0</v>
      </c>
      <c r="AD204" s="121">
        <v>0</v>
      </c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5">
      <c r="A205" t="s">
        <v>143</v>
      </c>
      <c r="B205" t="s">
        <v>142</v>
      </c>
      <c r="C205">
        <v>2</v>
      </c>
      <c r="D205" t="s">
        <v>29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>
        <v>0</v>
      </c>
      <c r="AD205" s="121">
        <v>0</v>
      </c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5">
      <c r="A206" t="s">
        <v>143</v>
      </c>
      <c r="B206" t="s">
        <v>142</v>
      </c>
      <c r="C206">
        <v>3</v>
      </c>
      <c r="D206" t="s">
        <v>30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>
        <v>0</v>
      </c>
      <c r="AD206" s="121">
        <v>0</v>
      </c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5">
      <c r="A207" t="s">
        <v>143</v>
      </c>
      <c r="B207" t="s">
        <v>142</v>
      </c>
      <c r="C207">
        <v>4</v>
      </c>
      <c r="D207" t="s">
        <v>31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>
        <v>0</v>
      </c>
      <c r="AD207" s="121">
        <v>0</v>
      </c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5">
      <c r="A208" t="s">
        <v>143</v>
      </c>
      <c r="B208" t="s">
        <v>142</v>
      </c>
      <c r="C208">
        <v>5</v>
      </c>
      <c r="D208" t="s">
        <v>128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>
        <v>0</v>
      </c>
      <c r="AD208" s="121">
        <v>0</v>
      </c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5">
      <c r="A209" t="s">
        <v>143</v>
      </c>
      <c r="B209" t="s">
        <v>142</v>
      </c>
      <c r="C209">
        <v>6</v>
      </c>
      <c r="D209" t="s">
        <v>28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>
        <v>0</v>
      </c>
      <c r="AD209" s="121">
        <v>0</v>
      </c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5">
      <c r="A210" t="s">
        <v>143</v>
      </c>
      <c r="B210" t="s">
        <v>142</v>
      </c>
      <c r="C210">
        <v>7</v>
      </c>
      <c r="D210" t="s">
        <v>29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>
        <v>0</v>
      </c>
      <c r="AD210" s="121">
        <v>0</v>
      </c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5">
      <c r="A211" t="s">
        <v>143</v>
      </c>
      <c r="B211" t="s">
        <v>142</v>
      </c>
      <c r="C211">
        <v>8</v>
      </c>
      <c r="D211" t="s">
        <v>30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>
        <v>0</v>
      </c>
      <c r="AD211" s="121">
        <v>0</v>
      </c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5">
      <c r="A212" t="s">
        <v>143</v>
      </c>
      <c r="B212" t="s">
        <v>142</v>
      </c>
      <c r="C212">
        <v>9</v>
      </c>
      <c r="D212" t="s">
        <v>31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>
        <v>0</v>
      </c>
      <c r="AD212" s="121">
        <v>0</v>
      </c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5">
      <c r="A213" t="s">
        <v>143</v>
      </c>
      <c r="B213" t="s">
        <v>142</v>
      </c>
      <c r="C213">
        <v>10</v>
      </c>
      <c r="D213" t="s">
        <v>35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>
        <v>0</v>
      </c>
      <c r="AD213" s="121">
        <v>0</v>
      </c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5">
      <c r="A214" t="s">
        <v>143</v>
      </c>
      <c r="B214" t="s">
        <v>142</v>
      </c>
      <c r="C214">
        <v>11</v>
      </c>
      <c r="D214" t="s">
        <v>38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>
        <v>0</v>
      </c>
      <c r="AD214" s="121">
        <v>0</v>
      </c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5">
      <c r="A215" t="s">
        <v>143</v>
      </c>
      <c r="B215" t="s">
        <v>142</v>
      </c>
      <c r="C215">
        <v>12</v>
      </c>
      <c r="D215" t="s">
        <v>39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5">
      <c r="A216" t="s">
        <v>143</v>
      </c>
      <c r="B216" t="s">
        <v>142</v>
      </c>
      <c r="C216">
        <v>13</v>
      </c>
      <c r="D216" t="s">
        <v>42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>
        <v>0</v>
      </c>
      <c r="AD216" s="121">
        <v>0</v>
      </c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5">
      <c r="A217" t="s">
        <v>143</v>
      </c>
      <c r="B217" t="s">
        <v>142</v>
      </c>
      <c r="C217">
        <v>14</v>
      </c>
      <c r="D217" t="s">
        <v>43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>
        <v>0</v>
      </c>
      <c r="AD217" s="121">
        <v>0</v>
      </c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5">
      <c r="A218" t="s">
        <v>143</v>
      </c>
      <c r="B218" t="s">
        <v>142</v>
      </c>
      <c r="C218">
        <v>15</v>
      </c>
      <c r="D218" t="s">
        <v>44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>
        <v>0</v>
      </c>
      <c r="AD218" s="121">
        <v>0</v>
      </c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5">
      <c r="A219" t="s">
        <v>143</v>
      </c>
      <c r="B219" t="s">
        <v>142</v>
      </c>
      <c r="C219">
        <v>16</v>
      </c>
      <c r="D219" t="s">
        <v>45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>
        <v>0</v>
      </c>
      <c r="AD219" s="121">
        <v>0</v>
      </c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5">
      <c r="A220" t="s">
        <v>143</v>
      </c>
      <c r="B220" t="s">
        <v>142</v>
      </c>
      <c r="C220">
        <v>17</v>
      </c>
      <c r="D220" t="s">
        <v>129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>
        <v>0</v>
      </c>
      <c r="AD220" s="121">
        <v>0</v>
      </c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5">
      <c r="A221" t="s">
        <v>143</v>
      </c>
      <c r="B221" t="s">
        <v>142</v>
      </c>
      <c r="C221">
        <v>18</v>
      </c>
      <c r="D221" t="s">
        <v>130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5">
      <c r="A222" t="s">
        <v>143</v>
      </c>
      <c r="B222" t="s">
        <v>142</v>
      </c>
      <c r="C222">
        <v>19</v>
      </c>
      <c r="D222" t="s">
        <v>50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>
        <v>0</v>
      </c>
      <c r="AD222" s="121">
        <v>0</v>
      </c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5">
      <c r="A223" t="s">
        <v>143</v>
      </c>
      <c r="B223" t="s">
        <v>142</v>
      </c>
      <c r="C223">
        <v>20</v>
      </c>
      <c r="D223" t="s">
        <v>131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>
        <v>0</v>
      </c>
      <c r="AD223" s="121">
        <v>0</v>
      </c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5">
      <c r="A224" t="s">
        <v>143</v>
      </c>
      <c r="B224" t="s">
        <v>142</v>
      </c>
      <c r="C224">
        <v>21</v>
      </c>
      <c r="D224" t="s">
        <v>132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>
        <v>0</v>
      </c>
      <c r="AD224" s="121">
        <v>0</v>
      </c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5">
      <c r="A225" t="s">
        <v>143</v>
      </c>
      <c r="B225" t="s">
        <v>142</v>
      </c>
      <c r="C225">
        <v>22</v>
      </c>
      <c r="D225" t="s">
        <v>133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>
        <v>0</v>
      </c>
      <c r="AD225" s="121">
        <v>0</v>
      </c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5">
      <c r="A226" t="s">
        <v>143</v>
      </c>
      <c r="B226" t="s">
        <v>142</v>
      </c>
      <c r="C226">
        <v>23</v>
      </c>
      <c r="D226" t="s">
        <v>134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>
        <v>0</v>
      </c>
      <c r="AD226" s="121">
        <v>0</v>
      </c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5">
      <c r="A227" t="s">
        <v>143</v>
      </c>
      <c r="B227" t="s">
        <v>142</v>
      </c>
      <c r="C227">
        <v>24</v>
      </c>
      <c r="D227" t="s">
        <v>58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>
        <v>0</v>
      </c>
      <c r="AD227" s="121">
        <v>0</v>
      </c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5">
      <c r="A228" t="s">
        <v>143</v>
      </c>
      <c r="B228" t="s">
        <v>142</v>
      </c>
      <c r="C228">
        <v>25</v>
      </c>
      <c r="D228" t="s">
        <v>59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>
        <v>0</v>
      </c>
      <c r="AD228" s="121">
        <v>0</v>
      </c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5">
      <c r="A229" t="s">
        <v>143</v>
      </c>
      <c r="B229" t="s">
        <v>142</v>
      </c>
      <c r="C229">
        <v>26</v>
      </c>
      <c r="D229" t="s">
        <v>135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>
        <v>0</v>
      </c>
      <c r="AD229" s="121">
        <v>0</v>
      </c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5">
      <c r="A230" t="s">
        <v>143</v>
      </c>
      <c r="B230" t="s">
        <v>142</v>
      </c>
      <c r="C230">
        <v>27</v>
      </c>
      <c r="D230" t="s">
        <v>136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0</v>
      </c>
      <c r="AD230" s="121">
        <v>0</v>
      </c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5">
      <c r="A231" t="s">
        <v>143</v>
      </c>
      <c r="B231" t="s">
        <v>142</v>
      </c>
      <c r="C231">
        <v>28</v>
      </c>
      <c r="D231" t="s">
        <v>137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>
        <v>0</v>
      </c>
      <c r="AD231" s="121">
        <v>0</v>
      </c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5">
      <c r="A232" t="s">
        <v>143</v>
      </c>
      <c r="B232" t="s">
        <v>142</v>
      </c>
      <c r="C232">
        <v>29</v>
      </c>
      <c r="D232" t="s">
        <v>138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>
        <v>0</v>
      </c>
      <c r="AD232" s="121">
        <v>0</v>
      </c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5">
      <c r="A233" t="s">
        <v>143</v>
      </c>
      <c r="B233" t="s">
        <v>142</v>
      </c>
      <c r="C233">
        <v>30</v>
      </c>
      <c r="D233" t="s">
        <v>139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>
        <v>0</v>
      </c>
      <c r="AD233" s="121">
        <v>0</v>
      </c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5">
      <c r="A234" t="s">
        <v>143</v>
      </c>
      <c r="B234" t="s">
        <v>142</v>
      </c>
      <c r="C234">
        <v>31</v>
      </c>
      <c r="D234" t="s">
        <v>140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>
        <v>0</v>
      </c>
      <c r="AD234" s="121">
        <v>0</v>
      </c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5">
      <c r="A235" t="s">
        <v>143</v>
      </c>
      <c r="B235" t="s">
        <v>142</v>
      </c>
      <c r="C235">
        <v>32</v>
      </c>
      <c r="D235" t="s">
        <v>73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>
        <v>0</v>
      </c>
      <c r="AD235" s="121">
        <v>0</v>
      </c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5">
      <c r="A236" t="s">
        <v>143</v>
      </c>
      <c r="B236" t="s">
        <v>142</v>
      </c>
      <c r="C236">
        <v>33</v>
      </c>
      <c r="D236" t="s">
        <v>74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>
        <v>0</v>
      </c>
      <c r="AD236" s="121">
        <v>0</v>
      </c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5">
      <c r="A237" t="s">
        <v>143</v>
      </c>
      <c r="B237" t="s">
        <v>142</v>
      </c>
      <c r="C237">
        <v>34</v>
      </c>
      <c r="D237" t="s">
        <v>75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>
        <v>0</v>
      </c>
      <c r="AD237" s="121">
        <v>0</v>
      </c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5">
      <c r="A238" t="s">
        <v>143</v>
      </c>
      <c r="B238" t="s">
        <v>142</v>
      </c>
      <c r="C238">
        <v>35</v>
      </c>
      <c r="D238" t="s">
        <v>76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>
        <v>0</v>
      </c>
      <c r="AD238" s="121">
        <v>0</v>
      </c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5">
      <c r="A239" t="s">
        <v>143</v>
      </c>
      <c r="B239" t="s">
        <v>142</v>
      </c>
      <c r="C239">
        <v>36</v>
      </c>
      <c r="D239" t="s">
        <v>77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>
        <v>0</v>
      </c>
      <c r="AD239" s="121">
        <v>0</v>
      </c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5">
      <c r="A240" t="s">
        <v>143</v>
      </c>
      <c r="B240" t="s">
        <v>142</v>
      </c>
      <c r="C240">
        <v>37</v>
      </c>
      <c r="D240" t="s">
        <v>78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</v>
      </c>
      <c r="AD240" s="121">
        <v>0</v>
      </c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5">
      <c r="A241" t="s">
        <v>143</v>
      </c>
      <c r="B241" t="s">
        <v>142</v>
      </c>
      <c r="C241">
        <v>38</v>
      </c>
      <c r="D241" t="s">
        <v>79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>
        <v>0</v>
      </c>
      <c r="AD241" s="121">
        <v>0</v>
      </c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5">
      <c r="A242" t="s">
        <v>143</v>
      </c>
      <c r="B242" t="s">
        <v>142</v>
      </c>
      <c r="C242">
        <v>39</v>
      </c>
      <c r="D242" t="s">
        <v>80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>
        <v>0</v>
      </c>
      <c r="AD242" s="121">
        <v>0</v>
      </c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5">
      <c r="A243" t="s">
        <v>143</v>
      </c>
      <c r="B243" t="s">
        <v>142</v>
      </c>
      <c r="C243">
        <v>40</v>
      </c>
      <c r="D243" t="s">
        <v>81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>
        <v>0</v>
      </c>
      <c r="AD243" s="121">
        <v>0</v>
      </c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5">
      <c r="A244" t="s">
        <v>143</v>
      </c>
      <c r="B244" t="s">
        <v>146</v>
      </c>
      <c r="C244">
        <v>1</v>
      </c>
      <c r="D244" t="s">
        <v>28</v>
      </c>
      <c r="E244" s="14">
        <v>48159423</v>
      </c>
      <c r="F244" s="14">
        <v>109500227.32000001</v>
      </c>
      <c r="G244" s="124">
        <v>1633872</v>
      </c>
      <c r="H244" s="121">
        <v>-2224726.25</v>
      </c>
      <c r="I244" s="124">
        <v>-1308754</v>
      </c>
      <c r="J244" s="121">
        <v>-2828581.08</v>
      </c>
      <c r="K244" s="121">
        <v>-22790</v>
      </c>
      <c r="L244" s="121">
        <v>-58647.72</v>
      </c>
      <c r="M244" s="121">
        <v>-522399</v>
      </c>
      <c r="N244" s="121">
        <v>-1200987.27</v>
      </c>
      <c r="O244" s="121">
        <v>-20492</v>
      </c>
      <c r="P244" s="121">
        <v>-55936.83</v>
      </c>
      <c r="Q244" s="121">
        <v>0</v>
      </c>
      <c r="R244" s="121">
        <v>-2131.31</v>
      </c>
      <c r="S244" s="121">
        <v>0</v>
      </c>
      <c r="T244" s="121">
        <v>0</v>
      </c>
      <c r="U244" s="121">
        <v>0</v>
      </c>
      <c r="V244" s="121">
        <v>0</v>
      </c>
      <c r="W244" s="121">
        <v>0</v>
      </c>
      <c r="X244" s="121">
        <v>0</v>
      </c>
      <c r="Y244" s="121">
        <v>0</v>
      </c>
      <c r="Z244" s="121">
        <v>0</v>
      </c>
      <c r="AA244" s="121">
        <v>5875</v>
      </c>
      <c r="AB244" s="121">
        <v>21630.2</v>
      </c>
      <c r="AC244" s="121">
        <v>0</v>
      </c>
      <c r="AD244" s="121">
        <v>-4450.2</v>
      </c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5">
      <c r="A245" t="s">
        <v>143</v>
      </c>
      <c r="B245" t="s">
        <v>146</v>
      </c>
      <c r="C245">
        <v>2</v>
      </c>
      <c r="D245" t="s">
        <v>29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>
        <v>0</v>
      </c>
      <c r="AD245" s="121">
        <v>0</v>
      </c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5">
      <c r="A246" t="s">
        <v>143</v>
      </c>
      <c r="B246" t="s">
        <v>146</v>
      </c>
      <c r="C246">
        <v>3</v>
      </c>
      <c r="D246" t="s">
        <v>30</v>
      </c>
      <c r="E246" s="14">
        <v>28708483</v>
      </c>
      <c r="F246" s="14">
        <v>65345130</v>
      </c>
      <c r="G246" s="124">
        <v>0</v>
      </c>
      <c r="H246" s="121">
        <v>0</v>
      </c>
      <c r="I246" s="124">
        <v>0</v>
      </c>
      <c r="J246" s="121">
        <v>0</v>
      </c>
      <c r="K246" s="121">
        <v>0</v>
      </c>
      <c r="L246" s="121">
        <v>0</v>
      </c>
      <c r="M246" s="121">
        <v>1457527</v>
      </c>
      <c r="N246" s="121">
        <v>3236246</v>
      </c>
      <c r="O246" s="121">
        <v>1457527</v>
      </c>
      <c r="P246" s="121">
        <v>3236246</v>
      </c>
      <c r="Q246" s="121">
        <v>-2915054</v>
      </c>
      <c r="R246" s="121">
        <v>-6472492</v>
      </c>
      <c r="S246" s="121">
        <v>319068</v>
      </c>
      <c r="T246" s="121">
        <v>726227</v>
      </c>
      <c r="U246" s="121">
        <v>0</v>
      </c>
      <c r="V246" s="121">
        <v>0</v>
      </c>
      <c r="W246" s="121">
        <v>-319068</v>
      </c>
      <c r="X246" s="121">
        <v>-726227</v>
      </c>
      <c r="Y246" s="121">
        <v>0</v>
      </c>
      <c r="Z246" s="121">
        <v>0</v>
      </c>
      <c r="AA246" s="121">
        <v>0</v>
      </c>
      <c r="AB246" s="121">
        <v>0</v>
      </c>
      <c r="AC246" s="121">
        <v>0</v>
      </c>
      <c r="AD246" s="121">
        <v>0</v>
      </c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5">
      <c r="A247" t="s">
        <v>143</v>
      </c>
      <c r="B247" t="s">
        <v>146</v>
      </c>
      <c r="C247">
        <v>4</v>
      </c>
      <c r="D247" t="s">
        <v>31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>
        <v>0</v>
      </c>
      <c r="AD247" s="121">
        <v>0</v>
      </c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5">
      <c r="A248" t="s">
        <v>143</v>
      </c>
      <c r="B248" t="s">
        <v>146</v>
      </c>
      <c r="C248">
        <v>5</v>
      </c>
      <c r="D248" t="s">
        <v>128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>
        <v>0</v>
      </c>
      <c r="AD248" s="121">
        <v>0</v>
      </c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5">
      <c r="A249" t="s">
        <v>143</v>
      </c>
      <c r="B249" t="s">
        <v>146</v>
      </c>
      <c r="C249">
        <v>6</v>
      </c>
      <c r="D249" t="s">
        <v>28</v>
      </c>
      <c r="E249" s="14">
        <v>-33064835</v>
      </c>
      <c r="F249" s="14">
        <v>-71967617.620000005</v>
      </c>
      <c r="G249" s="124">
        <v>-351128</v>
      </c>
      <c r="H249" s="121">
        <v>-786601.65</v>
      </c>
      <c r="I249" s="124">
        <v>158900</v>
      </c>
      <c r="J249" s="121">
        <v>357534.6</v>
      </c>
      <c r="K249" s="121">
        <v>-2649</v>
      </c>
      <c r="L249" s="121">
        <v>-5476.77</v>
      </c>
      <c r="M249" s="121">
        <v>17202</v>
      </c>
      <c r="N249" s="121">
        <v>37236.22</v>
      </c>
      <c r="O249" s="121">
        <v>-8719</v>
      </c>
      <c r="P249" s="121">
        <v>-17400.810000000001</v>
      </c>
      <c r="Q249" s="121">
        <v>0</v>
      </c>
      <c r="R249" s="121">
        <v>828.66</v>
      </c>
      <c r="S249" s="121">
        <v>-1598</v>
      </c>
      <c r="T249" s="121">
        <v>-3607.64</v>
      </c>
      <c r="U249" s="121">
        <v>0</v>
      </c>
      <c r="V249" s="121">
        <v>0</v>
      </c>
      <c r="W249" s="121">
        <v>0</v>
      </c>
      <c r="X249" s="121">
        <v>0</v>
      </c>
      <c r="Y249" s="121">
        <v>0</v>
      </c>
      <c r="Z249" s="121">
        <v>0</v>
      </c>
      <c r="AA249" s="121">
        <v>-328</v>
      </c>
      <c r="AB249" s="121">
        <v>-1396.96</v>
      </c>
      <c r="AC249" s="121">
        <v>0</v>
      </c>
      <c r="AD249" s="121">
        <v>0</v>
      </c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5">
      <c r="A250" t="s">
        <v>143</v>
      </c>
      <c r="B250" t="s">
        <v>146</v>
      </c>
      <c r="C250">
        <v>7</v>
      </c>
      <c r="D250" t="s">
        <v>29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>
        <v>0</v>
      </c>
      <c r="AD250" s="121">
        <v>0</v>
      </c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5">
      <c r="A251" t="s">
        <v>143</v>
      </c>
      <c r="B251" t="s">
        <v>146</v>
      </c>
      <c r="C251">
        <v>8</v>
      </c>
      <c r="D251" t="s">
        <v>30</v>
      </c>
      <c r="E251" s="14">
        <v>-30437214</v>
      </c>
      <c r="F251" s="14">
        <v>-69190550</v>
      </c>
      <c r="G251" s="124">
        <v>0</v>
      </c>
      <c r="H251" s="121">
        <v>0</v>
      </c>
      <c r="I251" s="124">
        <v>271205</v>
      </c>
      <c r="J251" s="121">
        <v>609175</v>
      </c>
      <c r="K251" s="121">
        <v>0</v>
      </c>
      <c r="L251" s="121">
        <v>0</v>
      </c>
      <c r="M251" s="121">
        <v>-1457527</v>
      </c>
      <c r="N251" s="121">
        <v>-3236246</v>
      </c>
      <c r="O251" s="121">
        <v>-1457527</v>
      </c>
      <c r="P251" s="121">
        <v>-3236246</v>
      </c>
      <c r="Q251" s="121">
        <v>2643849</v>
      </c>
      <c r="R251" s="121">
        <v>5863317</v>
      </c>
      <c r="S251" s="121">
        <v>-283497</v>
      </c>
      <c r="T251" s="121">
        <v>-650121</v>
      </c>
      <c r="U251" s="121">
        <v>0</v>
      </c>
      <c r="V251" s="121">
        <v>0</v>
      </c>
      <c r="W251" s="121">
        <v>283497</v>
      </c>
      <c r="X251" s="121">
        <v>650121</v>
      </c>
      <c r="Y251" s="121">
        <v>0</v>
      </c>
      <c r="Z251" s="121">
        <v>0</v>
      </c>
      <c r="AA251" s="121">
        <v>0</v>
      </c>
      <c r="AB251" s="121">
        <v>0</v>
      </c>
      <c r="AC251" s="121">
        <v>0</v>
      </c>
      <c r="AD251" s="121">
        <v>0</v>
      </c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5">
      <c r="A252" t="s">
        <v>143</v>
      </c>
      <c r="B252" t="s">
        <v>146</v>
      </c>
      <c r="C252">
        <v>9</v>
      </c>
      <c r="D252" t="s">
        <v>31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>
        <v>0</v>
      </c>
      <c r="AD252" s="121">
        <v>0</v>
      </c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5">
      <c r="A253" t="s">
        <v>143</v>
      </c>
      <c r="B253" t="s">
        <v>146</v>
      </c>
      <c r="C253">
        <v>10</v>
      </c>
      <c r="D253" t="s">
        <v>35</v>
      </c>
      <c r="E253" s="14">
        <v>60</v>
      </c>
      <c r="F253" s="14">
        <v>130.86000000000001</v>
      </c>
      <c r="G253" s="124">
        <v>2920</v>
      </c>
      <c r="H253" s="121">
        <v>6368.52</v>
      </c>
      <c r="I253" s="124">
        <v>0</v>
      </c>
      <c r="J253" s="121">
        <v>0</v>
      </c>
      <c r="K253" s="121">
        <v>0</v>
      </c>
      <c r="L253" s="121">
        <v>0</v>
      </c>
      <c r="M253" s="121">
        <v>0</v>
      </c>
      <c r="N253" s="121">
        <v>0</v>
      </c>
      <c r="O253" s="121">
        <v>0</v>
      </c>
      <c r="P253" s="121">
        <v>0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>
        <v>0</v>
      </c>
      <c r="AD253" s="121">
        <v>0</v>
      </c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5">
      <c r="A254" t="s">
        <v>143</v>
      </c>
      <c r="B254" t="s">
        <v>146</v>
      </c>
      <c r="C254">
        <v>11</v>
      </c>
      <c r="D254" t="s">
        <v>38</v>
      </c>
      <c r="E254" s="14">
        <v>145650</v>
      </c>
      <c r="F254" s="14">
        <v>326256</v>
      </c>
      <c r="G254" s="124">
        <v>8086</v>
      </c>
      <c r="H254" s="121">
        <v>18112</v>
      </c>
      <c r="I254" s="124">
        <v>0</v>
      </c>
      <c r="J254" s="121">
        <v>0</v>
      </c>
      <c r="K254" s="121">
        <v>0</v>
      </c>
      <c r="L254" s="121">
        <v>0</v>
      </c>
      <c r="M254" s="121">
        <v>0</v>
      </c>
      <c r="N254" s="121">
        <v>0</v>
      </c>
      <c r="O254" s="121">
        <v>-10890</v>
      </c>
      <c r="P254" s="121">
        <v>-24393.599999999999</v>
      </c>
      <c r="Q254" s="121">
        <v>0</v>
      </c>
      <c r="R254" s="121">
        <v>0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>
        <v>0</v>
      </c>
      <c r="AD254" s="121">
        <v>0</v>
      </c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5">
      <c r="A255" t="s">
        <v>143</v>
      </c>
      <c r="B255" t="s">
        <v>146</v>
      </c>
      <c r="C255">
        <v>12</v>
      </c>
      <c r="D255" t="s">
        <v>39</v>
      </c>
      <c r="E255" s="14">
        <v>-14769361</v>
      </c>
      <c r="F255" s="14">
        <v>-32954915.649999999</v>
      </c>
      <c r="G255" s="124">
        <v>-1051471</v>
      </c>
      <c r="H255" s="121">
        <v>-748386.51</v>
      </c>
      <c r="I255" s="124">
        <v>1015204</v>
      </c>
      <c r="J255" s="121">
        <v>666719.51</v>
      </c>
      <c r="K255" s="121">
        <v>0</v>
      </c>
      <c r="L255" s="121">
        <v>0</v>
      </c>
      <c r="M255" s="121">
        <v>12899</v>
      </c>
      <c r="N255" s="121">
        <v>28893.759999999998</v>
      </c>
      <c r="O255" s="121">
        <v>15492</v>
      </c>
      <c r="P255" s="121">
        <v>34702.080000000002</v>
      </c>
      <c r="Q255" s="121">
        <v>0</v>
      </c>
      <c r="R255" s="121">
        <v>0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>
        <v>0</v>
      </c>
      <c r="AD255" s="121">
        <v>0</v>
      </c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5">
      <c r="A256" t="s">
        <v>143</v>
      </c>
      <c r="B256" t="s">
        <v>146</v>
      </c>
      <c r="C256">
        <v>13</v>
      </c>
      <c r="D256" t="s">
        <v>42</v>
      </c>
      <c r="E256" s="14">
        <v>783989</v>
      </c>
      <c r="F256" s="14">
        <v>1709880.01</v>
      </c>
      <c r="G256" s="124">
        <v>-1076701</v>
      </c>
      <c r="H256" s="121">
        <v>-2422577.25</v>
      </c>
      <c r="I256" s="124">
        <v>864790</v>
      </c>
      <c r="J256" s="121">
        <v>1788550.524</v>
      </c>
      <c r="K256" s="121">
        <v>240532</v>
      </c>
      <c r="L256" s="121">
        <v>716297.09</v>
      </c>
      <c r="M256" s="121">
        <v>-74490</v>
      </c>
      <c r="N256" s="121">
        <v>-182331.64</v>
      </c>
      <c r="O256" s="121">
        <v>-426283</v>
      </c>
      <c r="P256" s="121">
        <v>-929723.21799999999</v>
      </c>
      <c r="Q256" s="121">
        <v>0</v>
      </c>
      <c r="R256" s="121">
        <v>0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5">
      <c r="A257" t="s">
        <v>143</v>
      </c>
      <c r="B257" t="s">
        <v>146</v>
      </c>
      <c r="C257">
        <v>14</v>
      </c>
      <c r="D257" t="s">
        <v>43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>
        <v>0</v>
      </c>
      <c r="AD257" s="121">
        <v>0</v>
      </c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5">
      <c r="A258" t="s">
        <v>143</v>
      </c>
      <c r="B258" t="s">
        <v>146</v>
      </c>
      <c r="C258">
        <v>15</v>
      </c>
      <c r="D258" t="s">
        <v>44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>
        <v>0</v>
      </c>
      <c r="AD258" s="121">
        <v>0</v>
      </c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5">
      <c r="A259" t="s">
        <v>143</v>
      </c>
      <c r="B259" t="s">
        <v>146</v>
      </c>
      <c r="C259">
        <v>16</v>
      </c>
      <c r="D259" t="s">
        <v>45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>
        <v>0</v>
      </c>
      <c r="AD259" s="121">
        <v>0</v>
      </c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5">
      <c r="A260" t="s">
        <v>143</v>
      </c>
      <c r="B260" t="s">
        <v>146</v>
      </c>
      <c r="C260">
        <v>17</v>
      </c>
      <c r="D260" t="s">
        <v>129</v>
      </c>
      <c r="E260" s="14">
        <v>0</v>
      </c>
      <c r="F260" s="14">
        <v>0</v>
      </c>
      <c r="G260" s="124">
        <v>2006264</v>
      </c>
      <c r="H260" s="121">
        <v>4473968.72</v>
      </c>
      <c r="I260" s="124">
        <v>-100803</v>
      </c>
      <c r="J260" s="121">
        <v>67448.86</v>
      </c>
      <c r="K260" s="121">
        <v>-28760</v>
      </c>
      <c r="L260" s="121">
        <v>-69409.38</v>
      </c>
      <c r="M260" s="121">
        <v>-10353</v>
      </c>
      <c r="N260" s="121">
        <v>-24985.93</v>
      </c>
      <c r="O260" s="121">
        <v>0</v>
      </c>
      <c r="P260" s="121">
        <v>0</v>
      </c>
      <c r="Q260" s="121">
        <v>0</v>
      </c>
      <c r="R260" s="121">
        <v>-45015</v>
      </c>
      <c r="S260" s="121">
        <v>0</v>
      </c>
      <c r="T260" s="121">
        <v>0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>
        <v>0</v>
      </c>
      <c r="AD260" s="121">
        <v>0</v>
      </c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5">
      <c r="A261" t="s">
        <v>143</v>
      </c>
      <c r="B261" t="s">
        <v>146</v>
      </c>
      <c r="C261">
        <v>18</v>
      </c>
      <c r="D261" t="s">
        <v>130</v>
      </c>
      <c r="E261" s="14">
        <v>-30000</v>
      </c>
      <c r="F261" s="14">
        <v>-60534.6</v>
      </c>
      <c r="G261" s="124">
        <v>-1648</v>
      </c>
      <c r="H261" s="121">
        <v>-3325.37</v>
      </c>
      <c r="I261" s="124">
        <v>0</v>
      </c>
      <c r="J261" s="121">
        <v>-6715.07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>
        <v>0</v>
      </c>
      <c r="AD261" s="121">
        <v>0</v>
      </c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5">
      <c r="A262" t="s">
        <v>143</v>
      </c>
      <c r="B262" t="s">
        <v>146</v>
      </c>
      <c r="C262">
        <v>19</v>
      </c>
      <c r="D262" t="s">
        <v>50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>
        <v>0</v>
      </c>
      <c r="AD262" s="121">
        <v>0</v>
      </c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5">
      <c r="A263" t="s">
        <v>143</v>
      </c>
      <c r="B263" t="s">
        <v>146</v>
      </c>
      <c r="C263">
        <v>20</v>
      </c>
      <c r="D263" t="s">
        <v>131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>
        <v>0</v>
      </c>
      <c r="AD263" s="121">
        <v>0</v>
      </c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5">
      <c r="A264" t="s">
        <v>143</v>
      </c>
      <c r="B264" t="s">
        <v>146</v>
      </c>
      <c r="C264">
        <v>21</v>
      </c>
      <c r="D264" t="s">
        <v>132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>
        <v>0</v>
      </c>
      <c r="AD264" s="121">
        <v>0</v>
      </c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5">
      <c r="A265" t="s">
        <v>143</v>
      </c>
      <c r="B265" t="s">
        <v>146</v>
      </c>
      <c r="C265">
        <v>22</v>
      </c>
      <c r="D265" t="s">
        <v>133</v>
      </c>
      <c r="E265" s="14">
        <v>503805</v>
      </c>
      <c r="F265" s="14">
        <v>1098798.7050000001</v>
      </c>
      <c r="G265" s="124">
        <v>-1170194</v>
      </c>
      <c r="H265" s="121">
        <v>-2552193.1140000001</v>
      </c>
      <c r="I265" s="124">
        <v>-900542</v>
      </c>
      <c r="J265" s="121">
        <v>-1964082.102</v>
      </c>
      <c r="K265" s="121">
        <v>-186333</v>
      </c>
      <c r="L265" s="121">
        <v>-406392.27299999999</v>
      </c>
      <c r="M265" s="121">
        <v>577141</v>
      </c>
      <c r="N265" s="121">
        <v>1258744.5209999999</v>
      </c>
      <c r="O265" s="121">
        <v>450892</v>
      </c>
      <c r="P265" s="121">
        <v>983395.45200000005</v>
      </c>
      <c r="Q265" s="121">
        <v>271205</v>
      </c>
      <c r="R265" s="121">
        <v>591498.10499999998</v>
      </c>
      <c r="S265" s="121">
        <v>-33973</v>
      </c>
      <c r="T265" s="121">
        <v>-75725.816999999995</v>
      </c>
      <c r="U265" s="121">
        <v>0</v>
      </c>
      <c r="V265" s="121">
        <v>0</v>
      </c>
      <c r="W265" s="121">
        <v>35571</v>
      </c>
      <c r="X265" s="121">
        <v>79287.759000000005</v>
      </c>
      <c r="Y265" s="121">
        <v>0</v>
      </c>
      <c r="Z265" s="121">
        <v>0</v>
      </c>
      <c r="AA265" s="121">
        <v>-5547</v>
      </c>
      <c r="AB265" s="121">
        <v>-12364.263000000001</v>
      </c>
      <c r="AC265" s="121">
        <v>0</v>
      </c>
      <c r="AD265" s="121">
        <v>0</v>
      </c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5">
      <c r="A266" t="s">
        <v>143</v>
      </c>
      <c r="B266" t="s">
        <v>146</v>
      </c>
      <c r="C266">
        <v>23</v>
      </c>
      <c r="D266" t="s">
        <v>134</v>
      </c>
      <c r="E266" s="14">
        <v>-60</v>
      </c>
      <c r="F266" s="14">
        <v>-130.86000000000001</v>
      </c>
      <c r="G266" s="124">
        <v>-2920</v>
      </c>
      <c r="H266" s="121">
        <v>-6368.52</v>
      </c>
      <c r="I266" s="124">
        <v>0</v>
      </c>
      <c r="J266" s="121">
        <v>0</v>
      </c>
      <c r="K266" s="121">
        <v>0</v>
      </c>
      <c r="L266" s="121">
        <v>0</v>
      </c>
      <c r="M266" s="121">
        <v>0</v>
      </c>
      <c r="N266" s="121">
        <v>0</v>
      </c>
      <c r="O266" s="121">
        <v>0</v>
      </c>
      <c r="P266" s="121">
        <v>0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</v>
      </c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5">
      <c r="A267" t="s">
        <v>143</v>
      </c>
      <c r="B267" t="s">
        <v>146</v>
      </c>
      <c r="C267">
        <v>24</v>
      </c>
      <c r="D267" t="s">
        <v>58</v>
      </c>
      <c r="E267" s="14">
        <v>-6560291</v>
      </c>
      <c r="F267" s="14">
        <v>-518841.77</v>
      </c>
      <c r="G267" s="124">
        <v>-516106</v>
      </c>
      <c r="H267" s="121">
        <v>124435</v>
      </c>
      <c r="I267" s="124">
        <v>222564</v>
      </c>
      <c r="J267" s="121">
        <v>7178</v>
      </c>
      <c r="K267" s="121">
        <v>42868</v>
      </c>
      <c r="L267" s="121">
        <v>882.6</v>
      </c>
      <c r="M267" s="121">
        <v>-8457</v>
      </c>
      <c r="N267" s="121">
        <v>26680.5</v>
      </c>
      <c r="O267" s="121">
        <v>-48936</v>
      </c>
      <c r="P267" s="121">
        <v>-29367.75</v>
      </c>
      <c r="Q267" s="121">
        <v>-166459</v>
      </c>
      <c r="R267" s="121">
        <v>-658.85</v>
      </c>
      <c r="S267" s="121">
        <v>0</v>
      </c>
      <c r="T267" s="121">
        <v>0</v>
      </c>
      <c r="U267" s="121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-64261.98</v>
      </c>
      <c r="AC267" s="121">
        <v>0</v>
      </c>
      <c r="AD267" s="121">
        <v>0</v>
      </c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5">
      <c r="A268" t="s">
        <v>143</v>
      </c>
      <c r="B268" t="s">
        <v>146</v>
      </c>
      <c r="C268">
        <v>25</v>
      </c>
      <c r="D268" t="s">
        <v>59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-93300</v>
      </c>
      <c r="S268" s="121">
        <v>0</v>
      </c>
      <c r="T268" s="121">
        <v>0</v>
      </c>
      <c r="U268" s="121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5">
      <c r="A269" t="s">
        <v>143</v>
      </c>
      <c r="B269" t="s">
        <v>146</v>
      </c>
      <c r="C269">
        <v>26</v>
      </c>
      <c r="D269" t="s">
        <v>135</v>
      </c>
      <c r="E269" s="14">
        <v>0</v>
      </c>
      <c r="F269" s="14">
        <v>35662.5</v>
      </c>
      <c r="G269" s="124">
        <v>0</v>
      </c>
      <c r="H269" s="121">
        <v>0</v>
      </c>
      <c r="I269" s="124">
        <v>0</v>
      </c>
      <c r="J269" s="121">
        <v>200</v>
      </c>
      <c r="K269" s="121">
        <v>0</v>
      </c>
      <c r="L269" s="121">
        <v>-200</v>
      </c>
      <c r="M269" s="121">
        <v>0</v>
      </c>
      <c r="N269" s="121">
        <v>0</v>
      </c>
      <c r="O269" s="121">
        <v>0</v>
      </c>
      <c r="P269" s="121">
        <v>5118.12</v>
      </c>
      <c r="Q269" s="121">
        <v>0</v>
      </c>
      <c r="R269" s="121">
        <v>0</v>
      </c>
      <c r="S269" s="121">
        <v>0</v>
      </c>
      <c r="T269" s="121">
        <v>0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>
        <v>0</v>
      </c>
      <c r="AD269" s="121">
        <v>0</v>
      </c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5">
      <c r="A270" t="s">
        <v>143</v>
      </c>
      <c r="B270" t="s">
        <v>146</v>
      </c>
      <c r="C270">
        <v>27</v>
      </c>
      <c r="D270" t="s">
        <v>136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</v>
      </c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5">
      <c r="A271" t="s">
        <v>143</v>
      </c>
      <c r="B271" t="s">
        <v>146</v>
      </c>
      <c r="C271">
        <v>28</v>
      </c>
      <c r="D271" t="s">
        <v>137</v>
      </c>
      <c r="E271" s="14">
        <v>-26120781</v>
      </c>
      <c r="F271" s="14">
        <v>-981470.29</v>
      </c>
      <c r="G271" s="124">
        <v>-15911713</v>
      </c>
      <c r="H271" s="121">
        <v>-137390</v>
      </c>
      <c r="I271" s="124">
        <v>-2771326</v>
      </c>
      <c r="J271" s="121">
        <v>128</v>
      </c>
      <c r="K271" s="121">
        <v>34550</v>
      </c>
      <c r="L271" s="121">
        <v>0.27</v>
      </c>
      <c r="M271" s="121">
        <v>0</v>
      </c>
      <c r="N271" s="121">
        <v>0</v>
      </c>
      <c r="O271" s="121">
        <v>0</v>
      </c>
      <c r="P271" s="121">
        <v>0</v>
      </c>
      <c r="Q271" s="121">
        <v>0</v>
      </c>
      <c r="R271" s="121">
        <v>0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>
        <v>0</v>
      </c>
      <c r="AD271" s="121">
        <v>0</v>
      </c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5">
      <c r="A272" t="s">
        <v>143</v>
      </c>
      <c r="B272" t="s">
        <v>146</v>
      </c>
      <c r="C272">
        <v>29</v>
      </c>
      <c r="D272" t="s">
        <v>138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>
        <v>0</v>
      </c>
      <c r="AD272" s="121">
        <v>0</v>
      </c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5">
      <c r="A273" t="s">
        <v>143</v>
      </c>
      <c r="B273" t="s">
        <v>146</v>
      </c>
      <c r="C273">
        <v>30</v>
      </c>
      <c r="D273" t="s">
        <v>139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5">
      <c r="A274" t="s">
        <v>143</v>
      </c>
      <c r="B274" t="s">
        <v>146</v>
      </c>
      <c r="C274">
        <v>31</v>
      </c>
      <c r="D274" t="s">
        <v>140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>
        <v>0</v>
      </c>
      <c r="AD274" s="121">
        <v>0</v>
      </c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5">
      <c r="A275" t="s">
        <v>143</v>
      </c>
      <c r="B275" t="s">
        <v>146</v>
      </c>
      <c r="C275">
        <v>32</v>
      </c>
      <c r="D275" t="s">
        <v>73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>
        <v>0</v>
      </c>
      <c r="AD275" s="121">
        <v>0</v>
      </c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5">
      <c r="A276" t="s">
        <v>143</v>
      </c>
      <c r="B276" t="s">
        <v>146</v>
      </c>
      <c r="C276">
        <v>33</v>
      </c>
      <c r="D276" t="s">
        <v>74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>
        <v>0</v>
      </c>
      <c r="AD276" s="121">
        <v>0</v>
      </c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5">
      <c r="A277" t="s">
        <v>143</v>
      </c>
      <c r="B277" t="s">
        <v>146</v>
      </c>
      <c r="C277">
        <v>34</v>
      </c>
      <c r="D277" t="s">
        <v>75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>
        <v>0</v>
      </c>
      <c r="AD277" s="121">
        <v>0</v>
      </c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5">
      <c r="A278" t="s">
        <v>143</v>
      </c>
      <c r="B278" t="s">
        <v>146</v>
      </c>
      <c r="C278">
        <v>35</v>
      </c>
      <c r="D278" t="s">
        <v>76</v>
      </c>
      <c r="E278" s="14">
        <v>0</v>
      </c>
      <c r="F278" s="14">
        <v>-245622.75</v>
      </c>
      <c r="G278" s="124">
        <v>0</v>
      </c>
      <c r="H278" s="121">
        <v>-1961.25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>
        <v>0</v>
      </c>
      <c r="AD278" s="121">
        <v>0</v>
      </c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5">
      <c r="A279" t="s">
        <v>143</v>
      </c>
      <c r="B279" t="s">
        <v>146</v>
      </c>
      <c r="C279">
        <v>36</v>
      </c>
      <c r="D279" t="s">
        <v>77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>
        <v>0</v>
      </c>
      <c r="AD279" s="121">
        <v>0</v>
      </c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5">
      <c r="A280" t="s">
        <v>143</v>
      </c>
      <c r="B280" t="s">
        <v>146</v>
      </c>
      <c r="C280">
        <v>37</v>
      </c>
      <c r="D280" t="s">
        <v>78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5">
      <c r="A281" t="s">
        <v>143</v>
      </c>
      <c r="B281" t="s">
        <v>146</v>
      </c>
      <c r="C281">
        <v>38</v>
      </c>
      <c r="D281" t="s">
        <v>79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5">
      <c r="A282" t="s">
        <v>143</v>
      </c>
      <c r="B282" t="s">
        <v>146</v>
      </c>
      <c r="C282">
        <v>39</v>
      </c>
      <c r="D282" t="s">
        <v>80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5">
      <c r="A283" t="s">
        <v>143</v>
      </c>
      <c r="B283" t="s">
        <v>146</v>
      </c>
      <c r="C283">
        <v>40</v>
      </c>
      <c r="D283" t="s">
        <v>81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5">
      <c r="A284" t="s">
        <v>143</v>
      </c>
      <c r="B284" t="s">
        <v>147</v>
      </c>
      <c r="C284">
        <v>1</v>
      </c>
      <c r="D284" t="s">
        <v>28</v>
      </c>
      <c r="E284" s="14">
        <v>25705617</v>
      </c>
      <c r="F284" s="14">
        <v>52794559.859999999</v>
      </c>
      <c r="G284" s="124">
        <v>-145812</v>
      </c>
      <c r="H284" s="121">
        <v>-396140.9</v>
      </c>
      <c r="I284" s="124">
        <v>46693</v>
      </c>
      <c r="J284" s="121">
        <v>109655.92</v>
      </c>
      <c r="K284" s="121">
        <v>-23051</v>
      </c>
      <c r="L284" s="121">
        <v>-68727.95</v>
      </c>
      <c r="M284" s="121">
        <v>903</v>
      </c>
      <c r="N284" s="121">
        <v>1336.4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>
        <v>0</v>
      </c>
      <c r="AD284" s="121">
        <v>0</v>
      </c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5">
      <c r="A285" t="s">
        <v>143</v>
      </c>
      <c r="B285" t="s">
        <v>147</v>
      </c>
      <c r="C285">
        <v>2</v>
      </c>
      <c r="D285" t="s">
        <v>29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>
        <v>0</v>
      </c>
      <c r="AD285" s="121">
        <v>0</v>
      </c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5">
      <c r="A286" t="s">
        <v>143</v>
      </c>
      <c r="B286" t="s">
        <v>147</v>
      </c>
      <c r="C286">
        <v>3</v>
      </c>
      <c r="D286" t="s">
        <v>30</v>
      </c>
      <c r="E286" s="14">
        <v>21435046</v>
      </c>
      <c r="F286" s="14">
        <v>45842195</v>
      </c>
      <c r="G286" s="124">
        <v>0</v>
      </c>
      <c r="H286" s="121">
        <v>0</v>
      </c>
      <c r="I286" s="124">
        <v>-516638</v>
      </c>
      <c r="J286" s="121">
        <v>-1112067</v>
      </c>
      <c r="K286" s="121">
        <v>0</v>
      </c>
      <c r="L286" s="121">
        <v>0</v>
      </c>
      <c r="M286" s="121">
        <v>0</v>
      </c>
      <c r="N286" s="121">
        <v>0</v>
      </c>
      <c r="O286" s="121">
        <v>1667833</v>
      </c>
      <c r="P286" s="121">
        <v>3622693</v>
      </c>
      <c r="Q286" s="121">
        <v>-1151195</v>
      </c>
      <c r="R286" s="121">
        <v>-2510626</v>
      </c>
      <c r="S286" s="121">
        <v>-2232590</v>
      </c>
      <c r="T286" s="121">
        <v>-5136259</v>
      </c>
      <c r="U286" s="121">
        <v>0</v>
      </c>
      <c r="V286" s="121">
        <v>0</v>
      </c>
      <c r="W286" s="121">
        <v>2232590</v>
      </c>
      <c r="X286" s="121">
        <v>5136259</v>
      </c>
      <c r="Y286" s="121">
        <v>0</v>
      </c>
      <c r="Z286" s="121">
        <v>0</v>
      </c>
      <c r="AA286" s="121">
        <v>0</v>
      </c>
      <c r="AB286" s="121">
        <v>0</v>
      </c>
      <c r="AC286" s="121">
        <v>0</v>
      </c>
      <c r="AD286" s="121">
        <v>0</v>
      </c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5">
      <c r="A287" t="s">
        <v>143</v>
      </c>
      <c r="B287" t="s">
        <v>147</v>
      </c>
      <c r="C287">
        <v>4</v>
      </c>
      <c r="D287" t="s">
        <v>31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>
        <v>0</v>
      </c>
      <c r="AD287" s="121">
        <v>0</v>
      </c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5">
      <c r="A288" t="s">
        <v>143</v>
      </c>
      <c r="B288" t="s">
        <v>147</v>
      </c>
      <c r="C288">
        <v>5</v>
      </c>
      <c r="D288" t="s">
        <v>128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>
        <v>0</v>
      </c>
      <c r="AD288" s="121">
        <v>0</v>
      </c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5">
      <c r="A289" t="s">
        <v>143</v>
      </c>
      <c r="B289" t="s">
        <v>147</v>
      </c>
      <c r="C289">
        <v>6</v>
      </c>
      <c r="D289" t="s">
        <v>28</v>
      </c>
      <c r="E289" s="14">
        <v>-28173061</v>
      </c>
      <c r="F289" s="14">
        <v>-56629110.519999996</v>
      </c>
      <c r="G289" s="124">
        <v>229888</v>
      </c>
      <c r="H289" s="121">
        <v>865422.15</v>
      </c>
      <c r="I289" s="124">
        <v>-89018</v>
      </c>
      <c r="J289" s="121">
        <v>-187918.46</v>
      </c>
      <c r="K289" s="121">
        <v>0</v>
      </c>
      <c r="L289" s="121">
        <v>0</v>
      </c>
      <c r="M289" s="121">
        <v>-1000</v>
      </c>
      <c r="N289" s="121">
        <v>-2053.0100000000002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5">
      <c r="A290" t="s">
        <v>143</v>
      </c>
      <c r="B290" t="s">
        <v>147</v>
      </c>
      <c r="C290">
        <v>7</v>
      </c>
      <c r="D290" t="s">
        <v>29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>
        <v>0</v>
      </c>
      <c r="AD290" s="121">
        <v>0</v>
      </c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5">
      <c r="A291" t="s">
        <v>143</v>
      </c>
      <c r="B291" t="s">
        <v>147</v>
      </c>
      <c r="C291">
        <v>8</v>
      </c>
      <c r="D291" t="s">
        <v>30</v>
      </c>
      <c r="E291" s="14">
        <v>-19226020</v>
      </c>
      <c r="F291" s="14">
        <v>-41053457</v>
      </c>
      <c r="G291" s="124">
        <v>0</v>
      </c>
      <c r="H291" s="121">
        <v>0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0</v>
      </c>
      <c r="O291" s="121">
        <v>-1667833</v>
      </c>
      <c r="P291" s="121">
        <v>-3622693</v>
      </c>
      <c r="Q291" s="121">
        <v>1667833</v>
      </c>
      <c r="R291" s="121">
        <v>3622693</v>
      </c>
      <c r="S291" s="121">
        <v>646894</v>
      </c>
      <c r="T291" s="121">
        <v>1481406</v>
      </c>
      <c r="U291" s="121">
        <v>0</v>
      </c>
      <c r="V291" s="121">
        <v>0</v>
      </c>
      <c r="W291" s="121">
        <v>-646894</v>
      </c>
      <c r="X291" s="121">
        <v>-1481406</v>
      </c>
      <c r="Y291" s="121">
        <v>0</v>
      </c>
      <c r="Z291" s="121">
        <v>0</v>
      </c>
      <c r="AA291" s="121">
        <v>0</v>
      </c>
      <c r="AB291" s="121">
        <v>0</v>
      </c>
      <c r="AC291" s="121">
        <v>0</v>
      </c>
      <c r="AD291" s="121">
        <v>0</v>
      </c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5">
      <c r="A292" t="s">
        <v>143</v>
      </c>
      <c r="B292" t="s">
        <v>147</v>
      </c>
      <c r="C292">
        <v>9</v>
      </c>
      <c r="D292" t="s">
        <v>31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5">
      <c r="A293" t="s">
        <v>143</v>
      </c>
      <c r="B293" t="s">
        <v>147</v>
      </c>
      <c r="C293">
        <v>10</v>
      </c>
      <c r="D293" t="s">
        <v>35</v>
      </c>
      <c r="E293" s="14">
        <v>279890</v>
      </c>
      <c r="F293" s="14">
        <v>582171.19999999995</v>
      </c>
      <c r="G293" s="124">
        <v>10545</v>
      </c>
      <c r="H293" s="121">
        <v>21933.599999999999</v>
      </c>
      <c r="I293" s="124">
        <v>0</v>
      </c>
      <c r="J293" s="121">
        <v>0</v>
      </c>
      <c r="K293" s="121">
        <v>-13</v>
      </c>
      <c r="L293" s="121">
        <v>-27.04</v>
      </c>
      <c r="M293" s="121">
        <v>0</v>
      </c>
      <c r="N293" s="121">
        <v>0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>
        <v>0</v>
      </c>
      <c r="AD293" s="121">
        <v>0</v>
      </c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5">
      <c r="A294" t="s">
        <v>143</v>
      </c>
      <c r="B294" t="s">
        <v>147</v>
      </c>
      <c r="C294">
        <v>11</v>
      </c>
      <c r="D294" t="s">
        <v>38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>
        <v>0</v>
      </c>
      <c r="AD294" s="121">
        <v>0</v>
      </c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5">
      <c r="A295" t="s">
        <v>143</v>
      </c>
      <c r="B295" t="s">
        <v>147</v>
      </c>
      <c r="C295">
        <v>12</v>
      </c>
      <c r="D295" t="s">
        <v>39</v>
      </c>
      <c r="E295" s="14">
        <v>0</v>
      </c>
      <c r="F295" s="14">
        <v>0</v>
      </c>
      <c r="G295" s="124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5">
      <c r="A296" t="s">
        <v>143</v>
      </c>
      <c r="B296" t="s">
        <v>147</v>
      </c>
      <c r="C296">
        <v>13</v>
      </c>
      <c r="D296" t="s">
        <v>42</v>
      </c>
      <c r="E296" s="14">
        <v>27555</v>
      </c>
      <c r="F296" s="14">
        <v>57314.39</v>
      </c>
      <c r="G296" s="124">
        <v>-79572</v>
      </c>
      <c r="H296" s="121">
        <v>-165873.87899999999</v>
      </c>
      <c r="I296" s="124">
        <v>-71682</v>
      </c>
      <c r="J296" s="121">
        <v>-206378.17499999999</v>
      </c>
      <c r="K296" s="121">
        <v>105958</v>
      </c>
      <c r="L296" s="121">
        <v>294524.511</v>
      </c>
      <c r="M296" s="121">
        <v>797</v>
      </c>
      <c r="N296" s="121">
        <v>-14152.884</v>
      </c>
      <c r="O296" s="121">
        <v>0</v>
      </c>
      <c r="P296" s="121">
        <v>0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>
        <v>0</v>
      </c>
      <c r="AD296" s="121">
        <v>0</v>
      </c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5">
      <c r="A297" t="s">
        <v>143</v>
      </c>
      <c r="B297" t="s">
        <v>147</v>
      </c>
      <c r="C297">
        <v>14</v>
      </c>
      <c r="D297" t="s">
        <v>43</v>
      </c>
      <c r="E297" s="14">
        <v>0</v>
      </c>
      <c r="F297" s="14">
        <v>0</v>
      </c>
      <c r="G297" s="124">
        <v>-4011</v>
      </c>
      <c r="H297" s="121">
        <v>-8789.42</v>
      </c>
      <c r="I297" s="124">
        <v>-2</v>
      </c>
      <c r="J297" s="121">
        <v>-3.86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>
        <v>0</v>
      </c>
      <c r="AD297" s="121">
        <v>0</v>
      </c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5">
      <c r="A298" t="s">
        <v>143</v>
      </c>
      <c r="B298" t="s">
        <v>147</v>
      </c>
      <c r="C298">
        <v>15</v>
      </c>
      <c r="D298" t="s">
        <v>44</v>
      </c>
      <c r="E298" s="14">
        <v>0</v>
      </c>
      <c r="F298" s="14">
        <v>0</v>
      </c>
      <c r="G298" s="124">
        <v>86</v>
      </c>
      <c r="H298" s="121">
        <v>191.09</v>
      </c>
      <c r="I298" s="124">
        <v>342</v>
      </c>
      <c r="J298" s="121">
        <v>710.68</v>
      </c>
      <c r="K298" s="121">
        <v>0</v>
      </c>
      <c r="L298" s="121">
        <v>0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5">
      <c r="A299" t="s">
        <v>143</v>
      </c>
      <c r="B299" t="s">
        <v>147</v>
      </c>
      <c r="C299">
        <v>16</v>
      </c>
      <c r="D299" t="s">
        <v>45</v>
      </c>
      <c r="E299" s="14">
        <v>-16411</v>
      </c>
      <c r="F299" s="14">
        <v>0.01</v>
      </c>
      <c r="G299" s="124">
        <v>29080</v>
      </c>
      <c r="H299" s="121">
        <v>0</v>
      </c>
      <c r="I299" s="124">
        <v>0</v>
      </c>
      <c r="J299" s="121">
        <v>0</v>
      </c>
      <c r="K299" s="121">
        <v>0</v>
      </c>
      <c r="L299" s="121">
        <v>0</v>
      </c>
      <c r="M299" s="121">
        <v>0</v>
      </c>
      <c r="N299" s="121">
        <v>26352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>
        <v>0</v>
      </c>
      <c r="AD299" s="121">
        <v>0</v>
      </c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5">
      <c r="A300" t="s">
        <v>143</v>
      </c>
      <c r="B300" t="s">
        <v>147</v>
      </c>
      <c r="C300">
        <v>17</v>
      </c>
      <c r="D300" t="s">
        <v>129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>
        <v>0</v>
      </c>
      <c r="AD300" s="121">
        <v>0</v>
      </c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5">
      <c r="A301" t="s">
        <v>143</v>
      </c>
      <c r="B301" t="s">
        <v>147</v>
      </c>
      <c r="C301">
        <v>18</v>
      </c>
      <c r="D301" t="s">
        <v>130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5">
      <c r="A302" t="s">
        <v>143</v>
      </c>
      <c r="B302" t="s">
        <v>147</v>
      </c>
      <c r="C302">
        <v>19</v>
      </c>
      <c r="D302" t="s">
        <v>50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>
        <v>0</v>
      </c>
      <c r="AD302" s="121">
        <v>0</v>
      </c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5">
      <c r="A303" t="s">
        <v>143</v>
      </c>
      <c r="B303" t="s">
        <v>147</v>
      </c>
      <c r="C303">
        <v>20</v>
      </c>
      <c r="D303" t="s">
        <v>131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>
        <v>0</v>
      </c>
      <c r="AD303" s="121">
        <v>0</v>
      </c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5">
      <c r="A304" t="s">
        <v>143</v>
      </c>
      <c r="B304" t="s">
        <v>147</v>
      </c>
      <c r="C304">
        <v>21</v>
      </c>
      <c r="D304" t="s">
        <v>132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5">
      <c r="A305" t="s">
        <v>143</v>
      </c>
      <c r="B305" t="s">
        <v>147</v>
      </c>
      <c r="C305">
        <v>22</v>
      </c>
      <c r="D305" t="s">
        <v>133</v>
      </c>
      <c r="E305" s="14">
        <v>-32616</v>
      </c>
      <c r="F305" s="14">
        <v>-67841.279999999999</v>
      </c>
      <c r="G305" s="124">
        <v>-40204</v>
      </c>
      <c r="H305" s="121">
        <v>-83624.320000000007</v>
      </c>
      <c r="I305" s="124">
        <v>630305</v>
      </c>
      <c r="J305" s="121">
        <v>1311034.3999999999</v>
      </c>
      <c r="K305" s="121">
        <v>-82894</v>
      </c>
      <c r="L305" s="121">
        <v>-172419.52</v>
      </c>
      <c r="M305" s="121">
        <v>-700</v>
      </c>
      <c r="N305" s="121">
        <v>-1456</v>
      </c>
      <c r="O305" s="121">
        <v>0</v>
      </c>
      <c r="P305" s="121">
        <v>0</v>
      </c>
      <c r="Q305" s="121">
        <v>-516638</v>
      </c>
      <c r="R305" s="121">
        <v>-1074607.04</v>
      </c>
      <c r="S305" s="121">
        <v>1585696</v>
      </c>
      <c r="T305" s="121">
        <v>3615386.88</v>
      </c>
      <c r="U305" s="121">
        <v>0</v>
      </c>
      <c r="V305" s="121">
        <v>0</v>
      </c>
      <c r="W305" s="121">
        <v>-1585696</v>
      </c>
      <c r="X305" s="121">
        <v>-3615386.88</v>
      </c>
      <c r="Y305" s="121">
        <v>0</v>
      </c>
      <c r="Z305" s="121">
        <v>0</v>
      </c>
      <c r="AA305" s="121">
        <v>0</v>
      </c>
      <c r="AB305" s="121">
        <v>0</v>
      </c>
      <c r="AC305" s="121">
        <v>0</v>
      </c>
      <c r="AD305" s="121">
        <v>0</v>
      </c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5">
      <c r="A306" t="s">
        <v>143</v>
      </c>
      <c r="B306" t="s">
        <v>147</v>
      </c>
      <c r="C306">
        <v>23</v>
      </c>
      <c r="D306" t="s">
        <v>134</v>
      </c>
      <c r="E306" s="14">
        <v>-279890</v>
      </c>
      <c r="F306" s="14">
        <v>-582171.19999999995</v>
      </c>
      <c r="G306" s="124">
        <v>-10545</v>
      </c>
      <c r="H306" s="121">
        <v>-21933.599999999999</v>
      </c>
      <c r="I306" s="124">
        <v>0</v>
      </c>
      <c r="J306" s="121">
        <v>0</v>
      </c>
      <c r="K306" s="121">
        <v>13</v>
      </c>
      <c r="L306" s="121">
        <v>27.04</v>
      </c>
      <c r="M306" s="121">
        <v>0</v>
      </c>
      <c r="N306" s="121">
        <v>0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>
        <v>0</v>
      </c>
      <c r="AD306" s="121">
        <v>0</v>
      </c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5">
      <c r="A307" t="s">
        <v>143</v>
      </c>
      <c r="B307" t="s">
        <v>147</v>
      </c>
      <c r="C307">
        <v>24</v>
      </c>
      <c r="D307" t="s">
        <v>58</v>
      </c>
      <c r="E307" s="14">
        <v>-11109229</v>
      </c>
      <c r="F307" s="14">
        <v>-232774.96</v>
      </c>
      <c r="G307" s="124">
        <v>0</v>
      </c>
      <c r="H307" s="121">
        <v>-18014.919999999998</v>
      </c>
      <c r="I307" s="124">
        <v>0</v>
      </c>
      <c r="J307" s="121">
        <v>7201.25</v>
      </c>
      <c r="K307" s="121">
        <v>0</v>
      </c>
      <c r="L307" s="121">
        <v>4.83</v>
      </c>
      <c r="M307" s="121">
        <v>0</v>
      </c>
      <c r="N307" s="121">
        <v>0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5">
      <c r="A308" t="s">
        <v>143</v>
      </c>
      <c r="B308" t="s">
        <v>147</v>
      </c>
      <c r="C308">
        <v>25</v>
      </c>
      <c r="D308" t="s">
        <v>59</v>
      </c>
      <c r="E308" s="14">
        <v>0</v>
      </c>
      <c r="F308" s="14">
        <v>-2630767.09</v>
      </c>
      <c r="G308" s="124">
        <v>0</v>
      </c>
      <c r="H308" s="121">
        <v>18802.64</v>
      </c>
      <c r="I308" s="124">
        <v>0</v>
      </c>
      <c r="J308" s="121">
        <v>-0.01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>
        <v>0</v>
      </c>
      <c r="AD308" s="121">
        <v>0</v>
      </c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5">
      <c r="A309" t="s">
        <v>143</v>
      </c>
      <c r="B309" t="s">
        <v>147</v>
      </c>
      <c r="C309">
        <v>26</v>
      </c>
      <c r="D309" t="s">
        <v>135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>
        <v>0</v>
      </c>
      <c r="AD309" s="121">
        <v>0</v>
      </c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5">
      <c r="A310" t="s">
        <v>143</v>
      </c>
      <c r="B310" t="s">
        <v>147</v>
      </c>
      <c r="C310">
        <v>27</v>
      </c>
      <c r="D310" t="s">
        <v>136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>
        <v>0</v>
      </c>
      <c r="AD310" s="121">
        <v>0</v>
      </c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5">
      <c r="A311" t="s">
        <v>143</v>
      </c>
      <c r="B311" t="s">
        <v>147</v>
      </c>
      <c r="C311">
        <v>28</v>
      </c>
      <c r="D311" t="s">
        <v>137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5">
      <c r="A312" t="s">
        <v>143</v>
      </c>
      <c r="B312" t="s">
        <v>147</v>
      </c>
      <c r="C312">
        <v>29</v>
      </c>
      <c r="D312" t="s">
        <v>138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>
        <v>0</v>
      </c>
      <c r="AD312" s="121">
        <v>0</v>
      </c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5">
      <c r="A313" t="s">
        <v>143</v>
      </c>
      <c r="B313" t="s">
        <v>147</v>
      </c>
      <c r="C313">
        <v>30</v>
      </c>
      <c r="D313" t="s">
        <v>139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>
        <v>0</v>
      </c>
      <c r="AD313" s="121">
        <v>0</v>
      </c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5">
      <c r="A314" t="s">
        <v>143</v>
      </c>
      <c r="B314" t="s">
        <v>147</v>
      </c>
      <c r="C314">
        <v>31</v>
      </c>
      <c r="D314" t="s">
        <v>140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>
        <v>0</v>
      </c>
      <c r="AD314" s="121">
        <v>0</v>
      </c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5">
      <c r="A315" t="s">
        <v>143</v>
      </c>
      <c r="B315" t="s">
        <v>147</v>
      </c>
      <c r="C315">
        <v>32</v>
      </c>
      <c r="D315" t="s">
        <v>73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>
        <v>0</v>
      </c>
      <c r="AD315" s="121">
        <v>0</v>
      </c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5">
      <c r="A316" t="s">
        <v>143</v>
      </c>
      <c r="B316" t="s">
        <v>147</v>
      </c>
      <c r="C316">
        <v>33</v>
      </c>
      <c r="D316" t="s">
        <v>74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>
        <v>0</v>
      </c>
      <c r="AD316" s="121">
        <v>0</v>
      </c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5">
      <c r="A317" t="s">
        <v>143</v>
      </c>
      <c r="B317" t="s">
        <v>147</v>
      </c>
      <c r="C317">
        <v>34</v>
      </c>
      <c r="D317" t="s">
        <v>75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>
        <v>0</v>
      </c>
      <c r="AD317" s="121">
        <v>0</v>
      </c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5">
      <c r="A318" t="s">
        <v>143</v>
      </c>
      <c r="B318" t="s">
        <v>147</v>
      </c>
      <c r="C318">
        <v>35</v>
      </c>
      <c r="D318" t="s">
        <v>76</v>
      </c>
      <c r="E318" s="14">
        <v>0</v>
      </c>
      <c r="F318" s="14">
        <v>0</v>
      </c>
      <c r="G318" s="124">
        <v>0</v>
      </c>
      <c r="H318" s="121">
        <v>-23472.43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>
        <v>0</v>
      </c>
      <c r="AD318" s="121">
        <v>0</v>
      </c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5">
      <c r="A319" t="s">
        <v>143</v>
      </c>
      <c r="B319" t="s">
        <v>147</v>
      </c>
      <c r="C319">
        <v>36</v>
      </c>
      <c r="D319" t="s">
        <v>77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>
        <v>0</v>
      </c>
      <c r="AD319" s="121">
        <v>0</v>
      </c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5">
      <c r="A320" t="s">
        <v>143</v>
      </c>
      <c r="B320" t="s">
        <v>147</v>
      </c>
      <c r="C320">
        <v>37</v>
      </c>
      <c r="D320" t="s">
        <v>78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>
        <v>0</v>
      </c>
      <c r="AD320" s="121">
        <v>0</v>
      </c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5">
      <c r="A321" t="s">
        <v>143</v>
      </c>
      <c r="B321" t="s">
        <v>147</v>
      </c>
      <c r="C321">
        <v>38</v>
      </c>
      <c r="D321" t="s">
        <v>79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>
        <v>0</v>
      </c>
      <c r="AD321" s="121">
        <v>0</v>
      </c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5">
      <c r="A322" t="s">
        <v>143</v>
      </c>
      <c r="B322" t="s">
        <v>147</v>
      </c>
      <c r="C322">
        <v>39</v>
      </c>
      <c r="D322" t="s">
        <v>80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>
        <v>0</v>
      </c>
      <c r="AD322" s="121">
        <v>0</v>
      </c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5">
      <c r="A323" t="s">
        <v>143</v>
      </c>
      <c r="B323" t="s">
        <v>147</v>
      </c>
      <c r="C323">
        <v>40</v>
      </c>
      <c r="D323" t="s">
        <v>81</v>
      </c>
      <c r="E323" s="14">
        <v>0</v>
      </c>
      <c r="F323" s="14">
        <v>59668.86</v>
      </c>
      <c r="G323" s="124">
        <v>0</v>
      </c>
      <c r="H323" s="121">
        <v>-4319</v>
      </c>
      <c r="I323" s="124">
        <v>0</v>
      </c>
      <c r="J323" s="121">
        <v>0</v>
      </c>
      <c r="K323" s="121">
        <v>0</v>
      </c>
      <c r="L323" s="121">
        <v>6344.53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>
        <v>0</v>
      </c>
      <c r="AD323" s="121">
        <v>0</v>
      </c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5">
      <c r="A324" t="s">
        <v>148</v>
      </c>
      <c r="B324" t="s">
        <v>149</v>
      </c>
      <c r="C324">
        <v>1</v>
      </c>
      <c r="D324" t="s">
        <v>28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>
        <v>0</v>
      </c>
      <c r="AD324" s="121">
        <v>0</v>
      </c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5">
      <c r="A325" t="s">
        <v>148</v>
      </c>
      <c r="B325" t="s">
        <v>149</v>
      </c>
      <c r="C325">
        <v>2</v>
      </c>
      <c r="D325" t="s">
        <v>29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>
        <v>0</v>
      </c>
      <c r="AD325" s="121">
        <v>0</v>
      </c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5">
      <c r="A326" t="s">
        <v>148</v>
      </c>
      <c r="B326" t="s">
        <v>149</v>
      </c>
      <c r="C326">
        <v>3</v>
      </c>
      <c r="D326" t="s">
        <v>30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>
        <v>0</v>
      </c>
      <c r="AD326" s="121">
        <v>0</v>
      </c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5">
      <c r="A327" t="s">
        <v>148</v>
      </c>
      <c r="B327" t="s">
        <v>149</v>
      </c>
      <c r="C327">
        <v>4</v>
      </c>
      <c r="D327" t="s">
        <v>31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>
        <v>0</v>
      </c>
      <c r="AD327" s="121">
        <v>0</v>
      </c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5">
      <c r="A328" t="s">
        <v>148</v>
      </c>
      <c r="B328" t="s">
        <v>149</v>
      </c>
      <c r="C328">
        <v>5</v>
      </c>
      <c r="D328" t="s">
        <v>128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>
        <v>0</v>
      </c>
      <c r="AD328" s="121">
        <v>0</v>
      </c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5">
      <c r="A329" t="s">
        <v>148</v>
      </c>
      <c r="B329" t="s">
        <v>149</v>
      </c>
      <c r="C329">
        <v>6</v>
      </c>
      <c r="D329" t="s">
        <v>28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>
        <v>0</v>
      </c>
      <c r="AD329" s="121">
        <v>0</v>
      </c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5">
      <c r="A330" t="s">
        <v>148</v>
      </c>
      <c r="B330" t="s">
        <v>149</v>
      </c>
      <c r="C330">
        <v>7</v>
      </c>
      <c r="D330" t="s">
        <v>29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>
        <v>0</v>
      </c>
      <c r="AD330" s="121">
        <v>0</v>
      </c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5">
      <c r="A331" t="s">
        <v>148</v>
      </c>
      <c r="B331" t="s">
        <v>149</v>
      </c>
      <c r="C331">
        <v>8</v>
      </c>
      <c r="D331" t="s">
        <v>30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>
        <v>0</v>
      </c>
      <c r="AD331" s="121">
        <v>0</v>
      </c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5">
      <c r="A332" t="s">
        <v>148</v>
      </c>
      <c r="B332" t="s">
        <v>149</v>
      </c>
      <c r="C332">
        <v>9</v>
      </c>
      <c r="D332" t="s">
        <v>31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>
        <v>0</v>
      </c>
      <c r="AD332" s="121">
        <v>0</v>
      </c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5">
      <c r="A333" t="s">
        <v>148</v>
      </c>
      <c r="B333" t="s">
        <v>149</v>
      </c>
      <c r="C333">
        <v>10</v>
      </c>
      <c r="D333" t="s">
        <v>35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>
        <v>0</v>
      </c>
      <c r="AD333" s="121">
        <v>0</v>
      </c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5">
      <c r="A334" t="s">
        <v>148</v>
      </c>
      <c r="B334" t="s">
        <v>149</v>
      </c>
      <c r="C334">
        <v>11</v>
      </c>
      <c r="D334" t="s">
        <v>38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>
        <v>0</v>
      </c>
      <c r="AD334" s="121">
        <v>0</v>
      </c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5">
      <c r="A335" t="s">
        <v>148</v>
      </c>
      <c r="B335" t="s">
        <v>149</v>
      </c>
      <c r="C335">
        <v>12</v>
      </c>
      <c r="D335" t="s">
        <v>39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>
        <v>0</v>
      </c>
      <c r="AD335" s="121">
        <v>0</v>
      </c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5">
      <c r="A336" t="s">
        <v>148</v>
      </c>
      <c r="B336" t="s">
        <v>149</v>
      </c>
      <c r="C336">
        <v>13</v>
      </c>
      <c r="D336" t="s">
        <v>42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>
        <v>0</v>
      </c>
      <c r="AD336" s="121">
        <v>0</v>
      </c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5">
      <c r="A337" t="s">
        <v>148</v>
      </c>
      <c r="B337" t="s">
        <v>149</v>
      </c>
      <c r="C337">
        <v>14</v>
      </c>
      <c r="D337" t="s">
        <v>43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>
        <v>0</v>
      </c>
      <c r="AD337" s="121">
        <v>0</v>
      </c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5">
      <c r="A338" t="s">
        <v>148</v>
      </c>
      <c r="B338" t="s">
        <v>149</v>
      </c>
      <c r="C338">
        <v>15</v>
      </c>
      <c r="D338" t="s">
        <v>44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>
        <v>0</v>
      </c>
      <c r="AD338" s="121">
        <v>0</v>
      </c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5">
      <c r="A339" t="s">
        <v>148</v>
      </c>
      <c r="B339" t="s">
        <v>149</v>
      </c>
      <c r="C339">
        <v>16</v>
      </c>
      <c r="D339" t="s">
        <v>45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>
        <v>0</v>
      </c>
      <c r="AD339" s="121">
        <v>0</v>
      </c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5">
      <c r="A340" t="s">
        <v>148</v>
      </c>
      <c r="B340" t="s">
        <v>149</v>
      </c>
      <c r="C340">
        <v>17</v>
      </c>
      <c r="D340" t="s">
        <v>129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>
        <v>0</v>
      </c>
      <c r="AD340" s="121">
        <v>0</v>
      </c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5">
      <c r="A341" s="123" t="s">
        <v>148</v>
      </c>
      <c r="B341" s="123" t="s">
        <v>149</v>
      </c>
      <c r="C341" s="123">
        <v>18</v>
      </c>
      <c r="D341" s="123" t="s">
        <v>130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5">
      <c r="A342" t="s">
        <v>148</v>
      </c>
      <c r="B342" t="s">
        <v>149</v>
      </c>
      <c r="C342">
        <v>19</v>
      </c>
      <c r="D342" t="s">
        <v>50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>
        <v>0</v>
      </c>
      <c r="AD342" s="121">
        <v>0</v>
      </c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5">
      <c r="A343" t="s">
        <v>148</v>
      </c>
      <c r="B343" t="s">
        <v>149</v>
      </c>
      <c r="C343">
        <v>20</v>
      </c>
      <c r="D343" t="s">
        <v>131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5">
      <c r="A344" t="s">
        <v>148</v>
      </c>
      <c r="B344" t="s">
        <v>149</v>
      </c>
      <c r="C344">
        <v>21</v>
      </c>
      <c r="D344" t="s">
        <v>132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>
        <v>0</v>
      </c>
      <c r="AD344" s="121">
        <v>0</v>
      </c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5">
      <c r="A345" t="s">
        <v>148</v>
      </c>
      <c r="B345" t="s">
        <v>149</v>
      </c>
      <c r="C345">
        <v>22</v>
      </c>
      <c r="D345" t="s">
        <v>133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>
        <v>0</v>
      </c>
      <c r="AD345" s="121">
        <v>0</v>
      </c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5">
      <c r="A346" t="s">
        <v>148</v>
      </c>
      <c r="B346" t="s">
        <v>149</v>
      </c>
      <c r="C346">
        <v>23</v>
      </c>
      <c r="D346" t="s">
        <v>134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>
        <v>0</v>
      </c>
      <c r="AD346" s="121">
        <v>0</v>
      </c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5">
      <c r="A347" t="s">
        <v>148</v>
      </c>
      <c r="B347" t="s">
        <v>149</v>
      </c>
      <c r="C347">
        <v>24</v>
      </c>
      <c r="D347" t="s">
        <v>58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>
        <v>0</v>
      </c>
      <c r="AD347" s="121">
        <v>0</v>
      </c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5">
      <c r="A348" t="s">
        <v>148</v>
      </c>
      <c r="B348" t="s">
        <v>149</v>
      </c>
      <c r="C348">
        <v>25</v>
      </c>
      <c r="D348" t="s">
        <v>59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>
        <v>0</v>
      </c>
      <c r="AD348" s="121">
        <v>0</v>
      </c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5">
      <c r="A349" t="s">
        <v>148</v>
      </c>
      <c r="B349" t="s">
        <v>149</v>
      </c>
      <c r="C349">
        <v>26</v>
      </c>
      <c r="D349" t="s">
        <v>135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>
        <v>0</v>
      </c>
      <c r="AD349" s="121">
        <v>0</v>
      </c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5">
      <c r="A350" t="s">
        <v>148</v>
      </c>
      <c r="B350" t="s">
        <v>149</v>
      </c>
      <c r="C350">
        <v>27</v>
      </c>
      <c r="D350" t="s">
        <v>136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>
        <v>0</v>
      </c>
      <c r="AD350" s="121">
        <v>0</v>
      </c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5">
      <c r="A351" t="s">
        <v>148</v>
      </c>
      <c r="B351" t="s">
        <v>149</v>
      </c>
      <c r="C351">
        <v>28</v>
      </c>
      <c r="D351" t="s">
        <v>137</v>
      </c>
      <c r="E351" s="125">
        <v>0</v>
      </c>
      <c r="F351" s="125">
        <v>0</v>
      </c>
      <c r="G351" s="169">
        <v>0</v>
      </c>
      <c r="H351" s="126">
        <v>0</v>
      </c>
      <c r="I351" s="169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>
        <v>0</v>
      </c>
      <c r="AD351" s="121">
        <v>0</v>
      </c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5">
      <c r="A352" t="s">
        <v>148</v>
      </c>
      <c r="B352" t="s">
        <v>149</v>
      </c>
      <c r="C352">
        <v>29</v>
      </c>
      <c r="D352" t="s">
        <v>138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>
        <v>0</v>
      </c>
      <c r="AD352" s="121">
        <v>0</v>
      </c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5">
      <c r="A353" t="s">
        <v>148</v>
      </c>
      <c r="B353" t="s">
        <v>149</v>
      </c>
      <c r="C353">
        <v>30</v>
      </c>
      <c r="D353" t="s">
        <v>139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>
        <v>0</v>
      </c>
      <c r="AD353" s="121">
        <v>0</v>
      </c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5">
      <c r="A354" t="s">
        <v>148</v>
      </c>
      <c r="B354" t="s">
        <v>149</v>
      </c>
      <c r="C354">
        <v>31</v>
      </c>
      <c r="D354" t="s">
        <v>140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>
        <v>0</v>
      </c>
      <c r="AD354" s="121">
        <v>0</v>
      </c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5">
      <c r="A355" t="s">
        <v>148</v>
      </c>
      <c r="B355" t="s">
        <v>149</v>
      </c>
      <c r="C355">
        <v>32</v>
      </c>
      <c r="D355" t="s">
        <v>73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>
        <v>0</v>
      </c>
      <c r="AD355" s="121">
        <v>0</v>
      </c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5">
      <c r="A356" t="s">
        <v>148</v>
      </c>
      <c r="B356" t="s">
        <v>149</v>
      </c>
      <c r="C356">
        <v>33</v>
      </c>
      <c r="D356" t="s">
        <v>74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>
        <v>0</v>
      </c>
      <c r="AD356" s="121">
        <v>0</v>
      </c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5">
      <c r="A357" t="s">
        <v>148</v>
      </c>
      <c r="B357" t="s">
        <v>149</v>
      </c>
      <c r="C357">
        <v>34</v>
      </c>
      <c r="D357" t="s">
        <v>75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>
        <v>0</v>
      </c>
      <c r="AD357" s="121">
        <v>0</v>
      </c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5">
      <c r="A358" t="s">
        <v>148</v>
      </c>
      <c r="B358" t="s">
        <v>149</v>
      </c>
      <c r="C358">
        <v>35</v>
      </c>
      <c r="D358" t="s">
        <v>76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>
        <v>0</v>
      </c>
      <c r="AD358" s="121">
        <v>0</v>
      </c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5">
      <c r="A359" t="s">
        <v>148</v>
      </c>
      <c r="B359" t="s">
        <v>149</v>
      </c>
      <c r="C359">
        <v>36</v>
      </c>
      <c r="D359" t="s">
        <v>77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>
        <v>0</v>
      </c>
      <c r="AD359" s="121">
        <v>0</v>
      </c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5">
      <c r="A360" t="s">
        <v>148</v>
      </c>
      <c r="B360" t="s">
        <v>149</v>
      </c>
      <c r="C360">
        <v>37</v>
      </c>
      <c r="D360" t="s">
        <v>78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>
        <v>0</v>
      </c>
      <c r="AD360" s="121">
        <v>0</v>
      </c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5">
      <c r="A361" t="s">
        <v>148</v>
      </c>
      <c r="B361" t="s">
        <v>149</v>
      </c>
      <c r="C361">
        <v>38</v>
      </c>
      <c r="D361" t="s">
        <v>79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>
        <v>0</v>
      </c>
      <c r="AD361" s="121">
        <v>0</v>
      </c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5">
      <c r="A362" t="s">
        <v>148</v>
      </c>
      <c r="B362" t="s">
        <v>149</v>
      </c>
      <c r="C362">
        <v>39</v>
      </c>
      <c r="D362" t="s">
        <v>80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>
        <v>0</v>
      </c>
      <c r="AD362" s="121">
        <v>0</v>
      </c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5">
      <c r="A363" t="s">
        <v>148</v>
      </c>
      <c r="B363" t="s">
        <v>149</v>
      </c>
      <c r="C363">
        <v>40</v>
      </c>
      <c r="D363" t="s">
        <v>81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>
        <v>0</v>
      </c>
      <c r="AD363" s="121">
        <v>0</v>
      </c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5">
      <c r="A364" t="s">
        <v>150</v>
      </c>
      <c r="B364" t="s">
        <v>151</v>
      </c>
      <c r="C364">
        <v>1</v>
      </c>
      <c r="D364" t="s">
        <v>28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>
        <v>0</v>
      </c>
      <c r="AD364" s="121">
        <v>0</v>
      </c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5">
      <c r="A365" t="s">
        <v>150</v>
      </c>
      <c r="B365" t="s">
        <v>151</v>
      </c>
      <c r="C365">
        <v>2</v>
      </c>
      <c r="D365" t="s">
        <v>29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>
        <v>0</v>
      </c>
      <c r="AD365" s="121">
        <v>0</v>
      </c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5">
      <c r="A366" t="s">
        <v>150</v>
      </c>
      <c r="B366" t="s">
        <v>151</v>
      </c>
      <c r="C366">
        <v>3</v>
      </c>
      <c r="D366" t="s">
        <v>30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>
        <v>0</v>
      </c>
      <c r="AD366" s="121">
        <v>0</v>
      </c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5">
      <c r="A367" t="s">
        <v>150</v>
      </c>
      <c r="B367" t="s">
        <v>151</v>
      </c>
      <c r="C367">
        <v>4</v>
      </c>
      <c r="D367" t="s">
        <v>31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>
        <v>0</v>
      </c>
      <c r="AD367" s="121">
        <v>0</v>
      </c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5">
      <c r="A368" t="s">
        <v>150</v>
      </c>
      <c r="B368" t="s">
        <v>151</v>
      </c>
      <c r="C368">
        <v>5</v>
      </c>
      <c r="D368" t="s">
        <v>128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>
        <v>0</v>
      </c>
      <c r="AD368" s="121">
        <v>0</v>
      </c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5">
      <c r="A369" t="s">
        <v>150</v>
      </c>
      <c r="B369" t="s">
        <v>151</v>
      </c>
      <c r="C369">
        <v>6</v>
      </c>
      <c r="D369" t="s">
        <v>28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>
        <v>0</v>
      </c>
      <c r="AD369" s="121">
        <v>0</v>
      </c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5">
      <c r="A370" t="s">
        <v>150</v>
      </c>
      <c r="B370" t="s">
        <v>151</v>
      </c>
      <c r="C370">
        <v>7</v>
      </c>
      <c r="D370" t="s">
        <v>29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>
        <v>0</v>
      </c>
      <c r="AD370" s="121">
        <v>0</v>
      </c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5">
      <c r="A371" t="s">
        <v>150</v>
      </c>
      <c r="B371" t="s">
        <v>151</v>
      </c>
      <c r="C371">
        <v>8</v>
      </c>
      <c r="D371" t="s">
        <v>30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5">
      <c r="A372" t="s">
        <v>150</v>
      </c>
      <c r="B372" t="s">
        <v>151</v>
      </c>
      <c r="C372">
        <v>9</v>
      </c>
      <c r="D372" t="s">
        <v>31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>
        <v>0</v>
      </c>
      <c r="AD372" s="121">
        <v>0</v>
      </c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5">
      <c r="A373" t="s">
        <v>150</v>
      </c>
      <c r="B373" t="s">
        <v>151</v>
      </c>
      <c r="C373">
        <v>10</v>
      </c>
      <c r="D373" t="s">
        <v>35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5">
      <c r="A374" t="s">
        <v>150</v>
      </c>
      <c r="B374" t="s">
        <v>151</v>
      </c>
      <c r="C374">
        <v>11</v>
      </c>
      <c r="D374" t="s">
        <v>38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>
        <v>0</v>
      </c>
      <c r="AD374" s="121">
        <v>0</v>
      </c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5">
      <c r="A375" t="s">
        <v>150</v>
      </c>
      <c r="B375" t="s">
        <v>151</v>
      </c>
      <c r="C375">
        <v>12</v>
      </c>
      <c r="D375" t="s">
        <v>39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>
        <v>0</v>
      </c>
      <c r="AD375" s="121">
        <v>0</v>
      </c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5">
      <c r="A376" t="s">
        <v>150</v>
      </c>
      <c r="B376" t="s">
        <v>151</v>
      </c>
      <c r="C376">
        <v>13</v>
      </c>
      <c r="D376" t="s">
        <v>42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>
        <v>0</v>
      </c>
      <c r="AD376" s="121">
        <v>0</v>
      </c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5">
      <c r="A377" t="s">
        <v>150</v>
      </c>
      <c r="B377" t="s">
        <v>151</v>
      </c>
      <c r="C377">
        <v>14</v>
      </c>
      <c r="D377" t="s">
        <v>43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>
        <v>0</v>
      </c>
      <c r="AD377" s="121">
        <v>0</v>
      </c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5">
      <c r="A378" t="s">
        <v>150</v>
      </c>
      <c r="B378" t="s">
        <v>151</v>
      </c>
      <c r="C378">
        <v>15</v>
      </c>
      <c r="D378" t="s">
        <v>44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>
        <v>0</v>
      </c>
      <c r="AD378" s="121">
        <v>0</v>
      </c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5">
      <c r="A379" t="s">
        <v>150</v>
      </c>
      <c r="B379" t="s">
        <v>151</v>
      </c>
      <c r="C379">
        <v>16</v>
      </c>
      <c r="D379" t="s">
        <v>45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5">
      <c r="A380" t="s">
        <v>150</v>
      </c>
      <c r="B380" t="s">
        <v>151</v>
      </c>
      <c r="C380">
        <v>17</v>
      </c>
      <c r="D380" t="s">
        <v>129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>
        <v>0</v>
      </c>
      <c r="AD380" s="121">
        <v>0</v>
      </c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5">
      <c r="A381" t="s">
        <v>150</v>
      </c>
      <c r="B381" t="s">
        <v>151</v>
      </c>
      <c r="C381">
        <v>18</v>
      </c>
      <c r="D381" t="s">
        <v>130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>
        <v>0</v>
      </c>
      <c r="AD381" s="121">
        <v>0</v>
      </c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5">
      <c r="A382" t="s">
        <v>150</v>
      </c>
      <c r="B382" t="s">
        <v>151</v>
      </c>
      <c r="C382">
        <v>19</v>
      </c>
      <c r="D382" t="s">
        <v>50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>
        <v>0</v>
      </c>
      <c r="AD382" s="121">
        <v>0</v>
      </c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5">
      <c r="A383" t="s">
        <v>150</v>
      </c>
      <c r="B383" t="s">
        <v>151</v>
      </c>
      <c r="C383">
        <v>20</v>
      </c>
      <c r="D383" t="s">
        <v>131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>
        <v>0</v>
      </c>
      <c r="AD383" s="121">
        <v>0</v>
      </c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5">
      <c r="A384" t="s">
        <v>150</v>
      </c>
      <c r="B384" t="s">
        <v>151</v>
      </c>
      <c r="C384">
        <v>21</v>
      </c>
      <c r="D384" t="s">
        <v>132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>
        <v>0</v>
      </c>
      <c r="AD384" s="121">
        <v>0</v>
      </c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5">
      <c r="A385" t="s">
        <v>150</v>
      </c>
      <c r="B385" t="s">
        <v>151</v>
      </c>
      <c r="C385">
        <v>22</v>
      </c>
      <c r="D385" t="s">
        <v>133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>
        <v>0</v>
      </c>
      <c r="AD385" s="121">
        <v>0</v>
      </c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5">
      <c r="A386" t="s">
        <v>150</v>
      </c>
      <c r="B386" t="s">
        <v>151</v>
      </c>
      <c r="C386">
        <v>23</v>
      </c>
      <c r="D386" t="s">
        <v>134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>
        <v>0</v>
      </c>
      <c r="AD386" s="121">
        <v>0</v>
      </c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5">
      <c r="A387" t="s">
        <v>150</v>
      </c>
      <c r="B387" t="s">
        <v>151</v>
      </c>
      <c r="C387">
        <v>24</v>
      </c>
      <c r="D387" t="s">
        <v>58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>
        <v>0</v>
      </c>
      <c r="AD387" s="121">
        <v>0</v>
      </c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5">
      <c r="A388" t="s">
        <v>150</v>
      </c>
      <c r="B388" t="s">
        <v>151</v>
      </c>
      <c r="C388">
        <v>25</v>
      </c>
      <c r="D388" t="s">
        <v>59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>
        <v>0</v>
      </c>
      <c r="AD388" s="121">
        <v>0</v>
      </c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5">
      <c r="A389" t="s">
        <v>150</v>
      </c>
      <c r="B389" t="s">
        <v>151</v>
      </c>
      <c r="C389">
        <v>26</v>
      </c>
      <c r="D389" t="s">
        <v>135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>
        <v>0</v>
      </c>
      <c r="AD389" s="121">
        <v>0</v>
      </c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5">
      <c r="A390" t="s">
        <v>150</v>
      </c>
      <c r="B390" t="s">
        <v>151</v>
      </c>
      <c r="C390">
        <v>27</v>
      </c>
      <c r="D390" t="s">
        <v>136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>
        <v>0</v>
      </c>
      <c r="AD390" s="121">
        <v>0</v>
      </c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5">
      <c r="A391" t="s">
        <v>150</v>
      </c>
      <c r="B391" t="s">
        <v>151</v>
      </c>
      <c r="C391">
        <v>28</v>
      </c>
      <c r="D391" t="s">
        <v>137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>
        <v>0</v>
      </c>
      <c r="AD391" s="121">
        <v>0</v>
      </c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5">
      <c r="A392" t="s">
        <v>150</v>
      </c>
      <c r="B392" t="s">
        <v>151</v>
      </c>
      <c r="C392">
        <v>29</v>
      </c>
      <c r="D392" t="s">
        <v>138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>
        <v>0</v>
      </c>
      <c r="AD392" s="121">
        <v>0</v>
      </c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5">
      <c r="A393" t="s">
        <v>150</v>
      </c>
      <c r="B393" t="s">
        <v>151</v>
      </c>
      <c r="C393">
        <v>30</v>
      </c>
      <c r="D393" t="s">
        <v>139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>
        <v>0</v>
      </c>
      <c r="AD393" s="121">
        <v>0</v>
      </c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5">
      <c r="A394" t="s">
        <v>150</v>
      </c>
      <c r="B394" t="s">
        <v>151</v>
      </c>
      <c r="C394">
        <v>31</v>
      </c>
      <c r="D394" t="s">
        <v>140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>
        <v>0</v>
      </c>
      <c r="AD394" s="121">
        <v>0</v>
      </c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5">
      <c r="A395" t="s">
        <v>150</v>
      </c>
      <c r="B395" t="s">
        <v>151</v>
      </c>
      <c r="C395">
        <v>32</v>
      </c>
      <c r="D395" t="s">
        <v>73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>
        <v>0</v>
      </c>
      <c r="AD395" s="121">
        <v>0</v>
      </c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5">
      <c r="A396" t="s">
        <v>150</v>
      </c>
      <c r="B396" t="s">
        <v>151</v>
      </c>
      <c r="C396">
        <v>33</v>
      </c>
      <c r="D396" t="s">
        <v>74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5">
      <c r="A397" t="s">
        <v>150</v>
      </c>
      <c r="B397" t="s">
        <v>151</v>
      </c>
      <c r="C397">
        <v>34</v>
      </c>
      <c r="D397" t="s">
        <v>75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>
        <v>0</v>
      </c>
      <c r="AD397" s="121">
        <v>0</v>
      </c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5">
      <c r="A398" t="s">
        <v>150</v>
      </c>
      <c r="B398" t="s">
        <v>151</v>
      </c>
      <c r="C398">
        <v>35</v>
      </c>
      <c r="D398" t="s">
        <v>76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>
        <v>0</v>
      </c>
      <c r="AD398" s="121">
        <v>0</v>
      </c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5">
      <c r="A399" t="s">
        <v>150</v>
      </c>
      <c r="B399" t="s">
        <v>151</v>
      </c>
      <c r="C399">
        <v>36</v>
      </c>
      <c r="D399" t="s">
        <v>77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>
        <v>0</v>
      </c>
      <c r="AD399" s="121">
        <v>0</v>
      </c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5">
      <c r="A400" t="s">
        <v>150</v>
      </c>
      <c r="B400" t="s">
        <v>151</v>
      </c>
      <c r="C400">
        <v>37</v>
      </c>
      <c r="D400" t="s">
        <v>78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>
        <v>0</v>
      </c>
      <c r="AD400" s="121">
        <v>0</v>
      </c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5">
      <c r="A401" t="s">
        <v>150</v>
      </c>
      <c r="B401" t="s">
        <v>151</v>
      </c>
      <c r="C401">
        <v>38</v>
      </c>
      <c r="D401" t="s">
        <v>79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5">
      <c r="A402" t="s">
        <v>150</v>
      </c>
      <c r="B402" t="s">
        <v>151</v>
      </c>
      <c r="C402">
        <v>39</v>
      </c>
      <c r="D402" t="s">
        <v>80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>
        <v>0</v>
      </c>
      <c r="AD402" s="121">
        <v>0</v>
      </c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5">
      <c r="A403" t="s">
        <v>150</v>
      </c>
      <c r="B403" t="s">
        <v>151</v>
      </c>
      <c r="C403">
        <v>40</v>
      </c>
      <c r="D403" t="s">
        <v>81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>
        <v>0</v>
      </c>
      <c r="AD403" s="121">
        <v>0</v>
      </c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5"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118" x14ac:dyDescent="0.25"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118" x14ac:dyDescent="0.25"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118" x14ac:dyDescent="0.25"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118" x14ac:dyDescent="0.25"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118" x14ac:dyDescent="0.25"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118" x14ac:dyDescent="0.25"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118" x14ac:dyDescent="0.25"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118" x14ac:dyDescent="0.25"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118" x14ac:dyDescent="0.25"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118" x14ac:dyDescent="0.25"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118" x14ac:dyDescent="0.25">
      <c r="I415" s="170"/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118" x14ac:dyDescent="0.25"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9:30" x14ac:dyDescent="0.25"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9:30" x14ac:dyDescent="0.25"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9:30" x14ac:dyDescent="0.25"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9:30" x14ac:dyDescent="0.25"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9:30" x14ac:dyDescent="0.25"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9:30" x14ac:dyDescent="0.25"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9:30" x14ac:dyDescent="0.25"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9:30" x14ac:dyDescent="0.25"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9:30" x14ac:dyDescent="0.25"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9:30" x14ac:dyDescent="0.25"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9:30" x14ac:dyDescent="0.25"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9:30" x14ac:dyDescent="0.25"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9:30" x14ac:dyDescent="0.25"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9:30" x14ac:dyDescent="0.25"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9:30" x14ac:dyDescent="0.25"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9:30" x14ac:dyDescent="0.25"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9:30" x14ac:dyDescent="0.25"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9:30" x14ac:dyDescent="0.25"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9:30" x14ac:dyDescent="0.25"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9:30" x14ac:dyDescent="0.25"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9:30" x14ac:dyDescent="0.25"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19:30" x14ac:dyDescent="0.25"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9:30" x14ac:dyDescent="0.25"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9:30" x14ac:dyDescent="0.25"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9:30" x14ac:dyDescent="0.25"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9:30" x14ac:dyDescent="0.25"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9:30" x14ac:dyDescent="0.25"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9:30" x14ac:dyDescent="0.25">
      <c r="S444">
        <v>0</v>
      </c>
      <c r="T444">
        <v>-2827.78</v>
      </c>
      <c r="U444">
        <v>-2500</v>
      </c>
      <c r="V444">
        <v>-5530.95</v>
      </c>
      <c r="W444">
        <v>-1261</v>
      </c>
      <c r="X444">
        <v>-2867.75</v>
      </c>
      <c r="Y444">
        <v>27810</v>
      </c>
      <c r="Z444">
        <v>60237.3</v>
      </c>
      <c r="AA444">
        <v>36885</v>
      </c>
      <c r="AB444">
        <v>138526.26999999999</v>
      </c>
      <c r="AC444">
        <v>-291009</v>
      </c>
      <c r="AD444">
        <v>-658417.32999999996</v>
      </c>
    </row>
    <row r="445" spans="19:30" x14ac:dyDescent="0.25"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9:30" x14ac:dyDescent="0.25">
      <c r="S446">
        <v>2915054</v>
      </c>
      <c r="T446">
        <v>6472492</v>
      </c>
      <c r="U446">
        <v>0</v>
      </c>
      <c r="V446">
        <v>0</v>
      </c>
      <c r="W446">
        <v>-2915054</v>
      </c>
      <c r="X446">
        <v>-6472492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9:30" x14ac:dyDescent="0.25"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19:30" x14ac:dyDescent="0.25"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9:30" x14ac:dyDescent="0.25">
      <c r="S449">
        <v>0</v>
      </c>
      <c r="T449">
        <v>581.16999999999996</v>
      </c>
      <c r="U449">
        <v>8346</v>
      </c>
      <c r="V449">
        <v>17860.439999999999</v>
      </c>
      <c r="W449">
        <v>1261</v>
      </c>
      <c r="X449">
        <v>1590.19</v>
      </c>
      <c r="Y449">
        <v>-39663</v>
      </c>
      <c r="Z449">
        <v>-85846.92</v>
      </c>
      <c r="AA449">
        <v>-302167</v>
      </c>
      <c r="AB449">
        <v>-658009.92000000004</v>
      </c>
      <c r="AC449">
        <v>-18412</v>
      </c>
      <c r="AD449">
        <v>-43260.84</v>
      </c>
    </row>
    <row r="450" spans="19:30" x14ac:dyDescent="0.25"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9:30" x14ac:dyDescent="0.25">
      <c r="S451">
        <v>-2643849</v>
      </c>
      <c r="T451">
        <v>-5863317</v>
      </c>
      <c r="U451">
        <v>0</v>
      </c>
      <c r="V451">
        <v>0</v>
      </c>
      <c r="W451">
        <v>2643849</v>
      </c>
      <c r="X451">
        <v>5863317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9:30" x14ac:dyDescent="0.25"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9:30" x14ac:dyDescent="0.25"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5</v>
      </c>
      <c r="AB453">
        <v>10.904999999999999</v>
      </c>
      <c r="AC453">
        <v>0</v>
      </c>
      <c r="AD453">
        <v>0</v>
      </c>
    </row>
    <row r="454" spans="19:30" x14ac:dyDescent="0.25"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6.72</v>
      </c>
      <c r="AC454">
        <v>0</v>
      </c>
      <c r="AD454">
        <v>0</v>
      </c>
    </row>
    <row r="455" spans="19:30" x14ac:dyDescent="0.25"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-3</v>
      </c>
      <c r="AB455">
        <v>-6.72</v>
      </c>
      <c r="AC455">
        <v>-70</v>
      </c>
      <c r="AD455">
        <v>-160.4</v>
      </c>
    </row>
    <row r="456" spans="19:30" x14ac:dyDescent="0.25">
      <c r="S456">
        <v>0</v>
      </c>
      <c r="T456">
        <v>0</v>
      </c>
      <c r="U456">
        <v>-791964</v>
      </c>
      <c r="V456">
        <v>-1727252.7849999999</v>
      </c>
      <c r="W456">
        <v>0</v>
      </c>
      <c r="X456">
        <v>0</v>
      </c>
      <c r="Y456">
        <v>-18485</v>
      </c>
      <c r="Z456">
        <v>-40315.785000000003</v>
      </c>
      <c r="AA456">
        <v>-13464</v>
      </c>
      <c r="AB456">
        <v>-29364.984</v>
      </c>
      <c r="AC456">
        <v>308930</v>
      </c>
      <c r="AD456">
        <v>673776.33</v>
      </c>
    </row>
    <row r="457" spans="19:30" x14ac:dyDescent="0.25"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9:30" x14ac:dyDescent="0.25"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9:30" x14ac:dyDescent="0.25"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9:30" x14ac:dyDescent="0.25"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1500</v>
      </c>
      <c r="Z460">
        <v>51129.15</v>
      </c>
      <c r="AA460">
        <v>330000</v>
      </c>
      <c r="AB460">
        <v>739200</v>
      </c>
      <c r="AC460">
        <v>160</v>
      </c>
      <c r="AD460">
        <v>381.46</v>
      </c>
    </row>
    <row r="461" spans="19:30" x14ac:dyDescent="0.25"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9:30" x14ac:dyDescent="0.25"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9:30" x14ac:dyDescent="0.25"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9:30" x14ac:dyDescent="0.25"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9:30" x14ac:dyDescent="0.25">
      <c r="S465">
        <v>-271205</v>
      </c>
      <c r="T465">
        <v>-591498.10499999998</v>
      </c>
      <c r="U465">
        <v>786118</v>
      </c>
      <c r="V465">
        <v>1714523.358</v>
      </c>
      <c r="W465">
        <v>271205</v>
      </c>
      <c r="X465">
        <v>591498.10499999998</v>
      </c>
      <c r="Y465">
        <v>28838</v>
      </c>
      <c r="Z465">
        <v>62895.678</v>
      </c>
      <c r="AA465">
        <v>-51259</v>
      </c>
      <c r="AB465">
        <v>-111795.879</v>
      </c>
      <c r="AC465">
        <v>401</v>
      </c>
      <c r="AD465">
        <v>874.58100000000002</v>
      </c>
    </row>
    <row r="466" spans="19:30" x14ac:dyDescent="0.25"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-5</v>
      </c>
      <c r="AB466">
        <v>-10.904999999999999</v>
      </c>
      <c r="AC466">
        <v>0</v>
      </c>
      <c r="AD466">
        <v>0</v>
      </c>
    </row>
    <row r="467" spans="19:30" x14ac:dyDescent="0.25">
      <c r="S467">
        <v>-5143</v>
      </c>
      <c r="T467">
        <v>-1027.9100000000001</v>
      </c>
      <c r="U467">
        <v>0</v>
      </c>
      <c r="V467">
        <v>-0.01</v>
      </c>
      <c r="W467">
        <v>-18893</v>
      </c>
      <c r="X467">
        <v>638.95000000000005</v>
      </c>
      <c r="Y467">
        <v>-7353</v>
      </c>
      <c r="Z467">
        <v>211.47</v>
      </c>
      <c r="AA467">
        <v>-71562</v>
      </c>
      <c r="AB467">
        <v>-3776.73</v>
      </c>
      <c r="AC467">
        <v>473</v>
      </c>
      <c r="AD467">
        <v>-4361.26</v>
      </c>
    </row>
    <row r="468" spans="19:30" x14ac:dyDescent="0.25">
      <c r="S468">
        <v>0</v>
      </c>
      <c r="T468">
        <v>93300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9:30" x14ac:dyDescent="0.25"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9:30" x14ac:dyDescent="0.25"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9:30" x14ac:dyDescent="0.25"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1.06</v>
      </c>
      <c r="AA471">
        <v>0</v>
      </c>
      <c r="AB471">
        <v>-18.809999999999999</v>
      </c>
      <c r="AC471">
        <v>0</v>
      </c>
      <c r="AD471">
        <v>-1943.11</v>
      </c>
    </row>
    <row r="472" spans="19:30" x14ac:dyDescent="0.25"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9:30" x14ac:dyDescent="0.25"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9:30" x14ac:dyDescent="0.25"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9:30" x14ac:dyDescent="0.25"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9:30" x14ac:dyDescent="0.25"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9:30" x14ac:dyDescent="0.25"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9:30" x14ac:dyDescent="0.25"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9:30" x14ac:dyDescent="0.25"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9:30" x14ac:dyDescent="0.25"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9:30" x14ac:dyDescent="0.25"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9:30" x14ac:dyDescent="0.25"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9:30" x14ac:dyDescent="0.25"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9:30" x14ac:dyDescent="0.25"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9:30" x14ac:dyDescent="0.25"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9:30" x14ac:dyDescent="0.25">
      <c r="S486">
        <v>1151195</v>
      </c>
      <c r="T486">
        <v>2510626</v>
      </c>
      <c r="U486">
        <v>0</v>
      </c>
      <c r="V486">
        <v>0</v>
      </c>
      <c r="W486">
        <v>-1151195</v>
      </c>
      <c r="X486">
        <v>-2510626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9:30" x14ac:dyDescent="0.25"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9:30" x14ac:dyDescent="0.25"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9:30" x14ac:dyDescent="0.25">
      <c r="S489">
        <v>-3064</v>
      </c>
      <c r="T489">
        <v>-6219.92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9:30" x14ac:dyDescent="0.25"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9:30" x14ac:dyDescent="0.25">
      <c r="S491">
        <v>-1667833</v>
      </c>
      <c r="T491">
        <v>-3622693</v>
      </c>
      <c r="U491">
        <v>0</v>
      </c>
      <c r="V491">
        <v>0</v>
      </c>
      <c r="W491">
        <v>1667833</v>
      </c>
      <c r="X491">
        <v>3622693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9:30" x14ac:dyDescent="0.25"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9:30" x14ac:dyDescent="0.25"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9:30" x14ac:dyDescent="0.25"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9:30" x14ac:dyDescent="0.25"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9:30" x14ac:dyDescent="0.25"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9:30" x14ac:dyDescent="0.25"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9:30" x14ac:dyDescent="0.25"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9:30" x14ac:dyDescent="0.25"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9:30" x14ac:dyDescent="0.25"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9:30" x14ac:dyDescent="0.25"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9:30" x14ac:dyDescent="0.25"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9:30" x14ac:dyDescent="0.25"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9:30" x14ac:dyDescent="0.25"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9:30" x14ac:dyDescent="0.25">
      <c r="S505">
        <v>519702</v>
      </c>
      <c r="T505">
        <v>1080980.1599999999</v>
      </c>
      <c r="U505">
        <v>0</v>
      </c>
      <c r="V505">
        <v>0</v>
      </c>
      <c r="W505">
        <v>-516638</v>
      </c>
      <c r="X505">
        <v>-1074607.04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9:30" x14ac:dyDescent="0.25"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9:30" x14ac:dyDescent="0.25">
      <c r="S507">
        <v>0</v>
      </c>
      <c r="T507">
        <v>0</v>
      </c>
      <c r="U507">
        <v>0</v>
      </c>
      <c r="V507">
        <v>2006.17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9:30" x14ac:dyDescent="0.25">
      <c r="S508">
        <v>0</v>
      </c>
      <c r="T508">
        <v>0</v>
      </c>
      <c r="U508">
        <v>0</v>
      </c>
      <c r="V508">
        <v>-9719.1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9:30" x14ac:dyDescent="0.25"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9:30" x14ac:dyDescent="0.25"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9:30" x14ac:dyDescent="0.25"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9:30" x14ac:dyDescent="0.25"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19:30" x14ac:dyDescent="0.25"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9:30" x14ac:dyDescent="0.25"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9:30" x14ac:dyDescent="0.25"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9:30" x14ac:dyDescent="0.25"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9:30" x14ac:dyDescent="0.25"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9:30" x14ac:dyDescent="0.25"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19:30" x14ac:dyDescent="0.25"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9:30" x14ac:dyDescent="0.25"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9:30" x14ac:dyDescent="0.25"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9:30" x14ac:dyDescent="0.25"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9:30" x14ac:dyDescent="0.25"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9:30" x14ac:dyDescent="0.25"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9:30" x14ac:dyDescent="0.25"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9:30" x14ac:dyDescent="0.25"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9:30" x14ac:dyDescent="0.25"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9:30" x14ac:dyDescent="0.25"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9:30" x14ac:dyDescent="0.25"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9:30" x14ac:dyDescent="0.25"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9:30" x14ac:dyDescent="0.25"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9:30" x14ac:dyDescent="0.25"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9:30" x14ac:dyDescent="0.25"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9:30" x14ac:dyDescent="0.25"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9:30" x14ac:dyDescent="0.25"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9:30" x14ac:dyDescent="0.25"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9:30" x14ac:dyDescent="0.25"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9:30" x14ac:dyDescent="0.25"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9:30" x14ac:dyDescent="0.25"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19:30" x14ac:dyDescent="0.25"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9:30" x14ac:dyDescent="0.25"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9:30" x14ac:dyDescent="0.25"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9:30" x14ac:dyDescent="0.25"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9:30" x14ac:dyDescent="0.25"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9:30" x14ac:dyDescent="0.25"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9:30" x14ac:dyDescent="0.25"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9:30" x14ac:dyDescent="0.25"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9:30" x14ac:dyDescent="0.25"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9:30" x14ac:dyDescent="0.25"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9:30" x14ac:dyDescent="0.25"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9:30" x14ac:dyDescent="0.25"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9:30" x14ac:dyDescent="0.25"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9:30" x14ac:dyDescent="0.25"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19:30" x14ac:dyDescent="0.25"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9:30" x14ac:dyDescent="0.25"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9:30" x14ac:dyDescent="0.25"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9:30" x14ac:dyDescent="0.25"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9:30" x14ac:dyDescent="0.25"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9:30" x14ac:dyDescent="0.25"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19:30" x14ac:dyDescent="0.25"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9:30" x14ac:dyDescent="0.25"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9:30" x14ac:dyDescent="0.25"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9:30" x14ac:dyDescent="0.25"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9:30" x14ac:dyDescent="0.25"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9:30" x14ac:dyDescent="0.25"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9:30" x14ac:dyDescent="0.25"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9:30" x14ac:dyDescent="0.25"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9:30" x14ac:dyDescent="0.25"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9:30" x14ac:dyDescent="0.25"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9:30" x14ac:dyDescent="0.25"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9:30" x14ac:dyDescent="0.25"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19:30" x14ac:dyDescent="0.25"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9:30" x14ac:dyDescent="0.25"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9:30" x14ac:dyDescent="0.25"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9:30" x14ac:dyDescent="0.25"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9:30" x14ac:dyDescent="0.25"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9:30" x14ac:dyDescent="0.25"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19:30" x14ac:dyDescent="0.25"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9:30" x14ac:dyDescent="0.25"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9:30" x14ac:dyDescent="0.25"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9:30" x14ac:dyDescent="0.25"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9:30" x14ac:dyDescent="0.25"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9:30" x14ac:dyDescent="0.25"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19:30" x14ac:dyDescent="0.25"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9:30" x14ac:dyDescent="0.25"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9:30" x14ac:dyDescent="0.25"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9:30" x14ac:dyDescent="0.25"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9:30" x14ac:dyDescent="0.25"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9:30" x14ac:dyDescent="0.25"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9:30" x14ac:dyDescent="0.25"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9:30" x14ac:dyDescent="0.25"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9:30" x14ac:dyDescent="0.25"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9:30" x14ac:dyDescent="0.25"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9:30" x14ac:dyDescent="0.25"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9:30" x14ac:dyDescent="0.25"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9:30" x14ac:dyDescent="0.25"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9:30" x14ac:dyDescent="0.25"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9:30" x14ac:dyDescent="0.25"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9:30" x14ac:dyDescent="0.25"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9:30" x14ac:dyDescent="0.25"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9:30" x14ac:dyDescent="0.25"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9:30" x14ac:dyDescent="0.25"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9:30" x14ac:dyDescent="0.25"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38" spans="4:37" x14ac:dyDescent="0.25">
      <c r="F638" s="210">
        <v>36312</v>
      </c>
      <c r="G638" s="211"/>
      <c r="H638" s="212">
        <f>+F638+31</f>
        <v>36343</v>
      </c>
      <c r="I638" s="213"/>
      <c r="J638" s="207">
        <f>+H638+31</f>
        <v>36374</v>
      </c>
      <c r="K638" s="208"/>
      <c r="L638" s="207">
        <f>+J638+31</f>
        <v>36405</v>
      </c>
      <c r="M638" s="208"/>
      <c r="N638" s="207">
        <f>+L638+31</f>
        <v>36436</v>
      </c>
      <c r="O638" s="208"/>
      <c r="P638" s="207">
        <f>+N638+31</f>
        <v>36467</v>
      </c>
      <c r="Q638" s="208"/>
      <c r="R638" s="207">
        <f>+P638+31</f>
        <v>36498</v>
      </c>
      <c r="S638" s="208"/>
      <c r="T638" s="207">
        <f>+R638+31</f>
        <v>36529</v>
      </c>
      <c r="U638" s="208"/>
      <c r="V638" s="207">
        <f>+T638+31</f>
        <v>36560</v>
      </c>
      <c r="W638" s="208"/>
      <c r="X638" s="207">
        <f>+V638+31</f>
        <v>36591</v>
      </c>
      <c r="Y638" s="208"/>
      <c r="Z638" s="207">
        <f>+X638+31</f>
        <v>36622</v>
      </c>
      <c r="AA638" s="208"/>
      <c r="AB638" s="207">
        <f>+Z638+31</f>
        <v>36653</v>
      </c>
      <c r="AC638" s="208"/>
      <c r="AD638" s="207">
        <f>+AB638+31</f>
        <v>36684</v>
      </c>
      <c r="AE638" s="208"/>
      <c r="AF638" s="207">
        <f>+AD638+31</f>
        <v>36715</v>
      </c>
      <c r="AG638" s="208"/>
      <c r="AH638" s="207">
        <f>+AF638+31</f>
        <v>36746</v>
      </c>
      <c r="AI638" s="208"/>
      <c r="AJ638" s="207">
        <f>+AH638+31</f>
        <v>36777</v>
      </c>
      <c r="AK638" s="208"/>
    </row>
    <row r="639" spans="4:37" x14ac:dyDescent="0.25">
      <c r="F639" s="132" t="s">
        <v>25</v>
      </c>
      <c r="G639" s="171" t="s">
        <v>152</v>
      </c>
      <c r="H639" s="132" t="s">
        <v>25</v>
      </c>
      <c r="I639" s="171" t="s">
        <v>152</v>
      </c>
      <c r="J639" s="132" t="s">
        <v>25</v>
      </c>
      <c r="K639" s="132" t="s">
        <v>152</v>
      </c>
      <c r="L639" s="132" t="s">
        <v>25</v>
      </c>
      <c r="M639" s="132" t="s">
        <v>152</v>
      </c>
      <c r="N639" s="132" t="s">
        <v>25</v>
      </c>
      <c r="O639" s="132" t="s">
        <v>152</v>
      </c>
      <c r="P639" s="132" t="s">
        <v>25</v>
      </c>
      <c r="Q639" s="132" t="s">
        <v>152</v>
      </c>
      <c r="R639" s="132" t="s">
        <v>25</v>
      </c>
      <c r="S639" s="132" t="s">
        <v>152</v>
      </c>
      <c r="T639" s="132" t="s">
        <v>25</v>
      </c>
      <c r="U639" s="132" t="s">
        <v>152</v>
      </c>
      <c r="V639" s="132" t="s">
        <v>25</v>
      </c>
      <c r="W639" s="132" t="s">
        <v>152</v>
      </c>
      <c r="X639" s="132" t="s">
        <v>25</v>
      </c>
      <c r="Y639" s="132" t="s">
        <v>152</v>
      </c>
      <c r="Z639" s="132" t="s">
        <v>25</v>
      </c>
      <c r="AA639" s="132" t="s">
        <v>152</v>
      </c>
      <c r="AB639" s="132" t="s">
        <v>25</v>
      </c>
      <c r="AC639" s="132" t="s">
        <v>152</v>
      </c>
      <c r="AD639" s="132" t="s">
        <v>25</v>
      </c>
      <c r="AE639" s="132" t="s">
        <v>152</v>
      </c>
      <c r="AF639" s="132" t="s">
        <v>25</v>
      </c>
      <c r="AG639" s="132" t="s">
        <v>152</v>
      </c>
      <c r="AH639" s="132" t="s">
        <v>25</v>
      </c>
      <c r="AI639" s="132" t="s">
        <v>152</v>
      </c>
      <c r="AJ639" s="132" t="s">
        <v>25</v>
      </c>
      <c r="AK639" s="132" t="s">
        <v>152</v>
      </c>
    </row>
    <row r="640" spans="4:37" x14ac:dyDescent="0.25">
      <c r="D640" s="133" t="s">
        <v>116</v>
      </c>
      <c r="E640" s="134"/>
      <c r="F640" s="135">
        <f>BUG_GL!H82</f>
        <v>0</v>
      </c>
      <c r="G640" s="136">
        <f>BUG_GL!I82</f>
        <v>-5684622</v>
      </c>
      <c r="H640" s="135">
        <f>BUG_GL!J82</f>
        <v>0</v>
      </c>
      <c r="I640" s="162">
        <f>BUG_GL!K82</f>
        <v>-10316409</v>
      </c>
      <c r="J640" s="135">
        <f>BUG_GL!L82</f>
        <v>0</v>
      </c>
      <c r="K640" s="135">
        <f>BUG_GL!M82</f>
        <v>256909</v>
      </c>
      <c r="L640" s="135">
        <f>BUG_GL!N82</f>
        <v>0</v>
      </c>
      <c r="M640" s="135">
        <f>BUG_GL!O82</f>
        <v>26191</v>
      </c>
      <c r="N640" s="135">
        <f>BUG_GL!P82</f>
        <v>0</v>
      </c>
      <c r="O640" s="136">
        <f>BUG_GL!Q82</f>
        <v>16408268</v>
      </c>
      <c r="P640" s="135">
        <f>BUG_GL!R82</f>
        <v>0</v>
      </c>
      <c r="Q640" s="135">
        <f>BUG_GL!S82</f>
        <v>0</v>
      </c>
      <c r="R640" s="135">
        <f>BUG_GL!T82</f>
        <v>0</v>
      </c>
      <c r="S640" s="135">
        <f>BUG_GL!U82</f>
        <v>0</v>
      </c>
      <c r="T640" s="135">
        <f>BUG_GL!V82</f>
        <v>0</v>
      </c>
      <c r="U640" s="136">
        <f>BUG_GL!W82</f>
        <v>0</v>
      </c>
      <c r="V640" s="135">
        <f>BUG_GL!X82</f>
        <v>0</v>
      </c>
      <c r="W640" s="135">
        <f>BUG_GL!Y82</f>
        <v>0</v>
      </c>
      <c r="X640" s="135">
        <f>BUG_GL!Z82</f>
        <v>0</v>
      </c>
      <c r="Y640" s="135">
        <f>BUG_GL!AA82</f>
        <v>0</v>
      </c>
      <c r="Z640" s="135">
        <f>BUG_GL!AB82</f>
        <v>0</v>
      </c>
      <c r="AA640" s="135">
        <f>BUG_GL!AC82</f>
        <v>0</v>
      </c>
      <c r="AB640" s="135">
        <f>BUG_GL!AD82</f>
        <v>0</v>
      </c>
      <c r="AC640" s="206">
        <f>BUG_GL!AE82</f>
        <v>19389.78</v>
      </c>
      <c r="AD640" s="135">
        <f>BUG_GL!AF82</f>
        <v>0</v>
      </c>
      <c r="AE640" s="206">
        <f>BUG_GL!AG82</f>
        <v>0</v>
      </c>
      <c r="AF640" s="135">
        <f>BUG_GL!AH82</f>
        <v>0</v>
      </c>
      <c r="AG640" s="206">
        <f>BUG_GL!AI82</f>
        <v>0</v>
      </c>
      <c r="AH640" s="135">
        <f>BUG_GL!AJ82</f>
        <v>0</v>
      </c>
      <c r="AI640" s="206">
        <f>BUG_GL!AK82</f>
        <v>0</v>
      </c>
      <c r="AJ640" s="135">
        <f>BUG_GL!AL82</f>
        <v>0</v>
      </c>
      <c r="AK640" s="206">
        <f>BUG_GL!AM82</f>
        <v>0</v>
      </c>
    </row>
    <row r="641" spans="4:37" x14ac:dyDescent="0.25">
      <c r="D641" s="133" t="s">
        <v>144</v>
      </c>
      <c r="E641" s="134"/>
      <c r="F641" s="135">
        <f>CE_GL!H82</f>
        <v>0</v>
      </c>
      <c r="G641" s="202">
        <f>CE_GL!I82</f>
        <v>5017251.2697999589</v>
      </c>
      <c r="H641" s="135">
        <f>CE_GL!J82</f>
        <v>0</v>
      </c>
      <c r="I641" s="136">
        <f>CE_GL!K82</f>
        <v>1262057.3279999997</v>
      </c>
      <c r="J641" s="135">
        <f>CE_GL!L82</f>
        <v>0</v>
      </c>
      <c r="K641" s="136">
        <f>CE_GL!M82</f>
        <v>733878.40399999998</v>
      </c>
      <c r="L641" s="135">
        <f>CE_GL!N82</f>
        <v>0</v>
      </c>
      <c r="M641" s="136">
        <f>CE_GL!O82</f>
        <v>235317.87919999997</v>
      </c>
      <c r="N641" s="135">
        <f>CE_GL!P82</f>
        <v>0</v>
      </c>
      <c r="O641" s="136">
        <f>CE_GL!Q82</f>
        <v>-43034.240399999515</v>
      </c>
      <c r="P641" s="135">
        <f>CE_GL!R82</f>
        <v>0</v>
      </c>
      <c r="Q641" s="135">
        <f>CE_GL!S82</f>
        <v>434414.89519999962</v>
      </c>
      <c r="R641" s="135">
        <f>CE_GL!T82</f>
        <v>0</v>
      </c>
      <c r="S641" s="135">
        <f>CE_GL!U82</f>
        <v>2744.7431999999872</v>
      </c>
      <c r="T641" s="135">
        <f>CE_GL!V82</f>
        <v>0</v>
      </c>
      <c r="U641" s="136">
        <f>CE_GL!W82</f>
        <v>251626.84320000029</v>
      </c>
      <c r="V641" s="135">
        <f>CE_GL!X82</f>
        <v>0</v>
      </c>
      <c r="W641" s="136">
        <f>CE_GL!Y82</f>
        <v>-5146.4104000000061</v>
      </c>
      <c r="X641" s="135">
        <f>CE_GL!Z82</f>
        <v>0</v>
      </c>
      <c r="Y641" s="136">
        <f>CE_GL!AA82</f>
        <v>-203357.20860000016</v>
      </c>
      <c r="Z641" s="135">
        <f>CE_GL!AB82</f>
        <v>0</v>
      </c>
      <c r="AA641" s="135">
        <f>CE_GL!AC82</f>
        <v>35910.090000000004</v>
      </c>
      <c r="AB641" s="135">
        <f>CE_GL!AD82</f>
        <v>0</v>
      </c>
      <c r="AC641" s="206">
        <f>CE_GL!AE82</f>
        <v>98627.849999999991</v>
      </c>
      <c r="AD641" s="135">
        <f>CE_GL!AF82</f>
        <v>0</v>
      </c>
      <c r="AE641" s="206">
        <f>CE_GL!AG82</f>
        <v>-12333.2292</v>
      </c>
      <c r="AF641" s="135">
        <f>CE_GL!AH82</f>
        <v>0</v>
      </c>
      <c r="AG641" s="206">
        <f>CE_GL!AI82</f>
        <v>507356.6</v>
      </c>
      <c r="AH641" s="135">
        <f>CE_GL!AJ82</f>
        <v>0</v>
      </c>
      <c r="AI641" s="206">
        <f>CE_GL!AK82</f>
        <v>-26857.88</v>
      </c>
      <c r="AJ641" s="135">
        <f>CE_GL!AL82</f>
        <v>0</v>
      </c>
      <c r="AK641" s="206">
        <f>CE_GL!AM82</f>
        <v>-220660.16</v>
      </c>
    </row>
    <row r="642" spans="4:37" x14ac:dyDescent="0.25">
      <c r="D642" s="133" t="s">
        <v>145</v>
      </c>
      <c r="E642" s="134"/>
      <c r="F642" s="135">
        <f>+'EAST-EGM-GL'!H82</f>
        <v>0</v>
      </c>
      <c r="G642" s="136">
        <f>+'EAST-EGM-GL'!I82</f>
        <v>3989583.5030000149</v>
      </c>
      <c r="H642" s="135">
        <f>+'EAST-EGM-GL'!J82</f>
        <v>0</v>
      </c>
      <c r="I642" s="136">
        <f>+'EAST-EGM-GL'!K82</f>
        <v>14822451.627000004</v>
      </c>
      <c r="J642" s="135">
        <f>+'EAST-EGM-GL'!L82</f>
        <v>0</v>
      </c>
      <c r="K642" s="136">
        <f>+'EAST-EGM-GL'!M82</f>
        <v>-57715.955000000293</v>
      </c>
      <c r="L642" s="135">
        <f>+'EAST-EGM-GL'!N82</f>
        <v>0</v>
      </c>
      <c r="M642" s="136">
        <f>+'EAST-EGM-GL'!O82</f>
        <v>-97073.698999999979</v>
      </c>
      <c r="N642" s="135">
        <f>+'EAST-EGM-GL'!P82</f>
        <v>0</v>
      </c>
      <c r="O642" s="136">
        <f>+'EAST-EGM-GL'!Q82</f>
        <v>-16271765.270000001</v>
      </c>
      <c r="P642" s="135">
        <f>+'EAST-EGM-GL'!R82</f>
        <v>0</v>
      </c>
      <c r="Q642" s="135">
        <f>+'EAST-EGM-GL'!S82</f>
        <v>-115500</v>
      </c>
      <c r="R642" s="135">
        <f>+'EAST-EGM-GL'!T82</f>
        <v>0</v>
      </c>
      <c r="S642" s="135">
        <f>+'EAST-EGM-GL'!U82</f>
        <v>-2166.2809999999945</v>
      </c>
      <c r="T642" s="135">
        <f>+'EAST-EGM-GL'!V82</f>
        <v>0</v>
      </c>
      <c r="U642" s="135">
        <f>+'EAST-EGM-GL'!W82</f>
        <v>-103182.45700000001</v>
      </c>
      <c r="V642" s="135">
        <f>+'EAST-EGM-GL'!X82</f>
        <v>0</v>
      </c>
      <c r="W642" s="135">
        <f>+'EAST-EGM-GL'!Y82</f>
        <v>-99955</v>
      </c>
      <c r="X642" s="135">
        <f>+'EAST-EGM-GL'!Z82</f>
        <v>0</v>
      </c>
      <c r="Y642" s="136">
        <f>+'EAST-EGM-GL'!AA82</f>
        <v>3181.7590000000055</v>
      </c>
      <c r="Z642" s="135">
        <f>+'EAST-EGM-GL'!AB82</f>
        <v>0</v>
      </c>
      <c r="AA642" s="135">
        <f>+'EAST-EGM-GL'!AC82</f>
        <v>0</v>
      </c>
      <c r="AB642" s="135">
        <f>+'EAST-EGM-GL'!AD82</f>
        <v>0</v>
      </c>
      <c r="AC642" s="206">
        <f>+'EAST-EGM-GL'!AE82</f>
        <v>-56393.003000000004</v>
      </c>
      <c r="AD642" s="135">
        <f>+'EAST-EGM-GL'!AF82</f>
        <v>0</v>
      </c>
      <c r="AE642" s="206">
        <f>+'EAST-EGM-GL'!AG82</f>
        <v>-4450.2</v>
      </c>
      <c r="AF642" s="135">
        <f>+'EAST-EGM-GL'!AH82</f>
        <v>0</v>
      </c>
      <c r="AG642" s="206">
        <f>+'EAST-EGM-GL'!AI82</f>
        <v>0</v>
      </c>
      <c r="AH642" s="135">
        <f>+'EAST-EGM-GL'!AJ82</f>
        <v>0</v>
      </c>
      <c r="AI642" s="206">
        <f>+'EAST-EGM-GL'!AK82</f>
        <v>0</v>
      </c>
      <c r="AJ642" s="135">
        <f>+'EAST-EGM-GL'!AL82</f>
        <v>0</v>
      </c>
      <c r="AK642" s="206">
        <f>+'EAST-EGM-GL'!AM82</f>
        <v>0</v>
      </c>
    </row>
    <row r="643" spans="4:37" x14ac:dyDescent="0.25">
      <c r="D643" s="133" t="s">
        <v>153</v>
      </c>
      <c r="E643" s="134"/>
      <c r="F643" s="135">
        <f>+'EAST-LRC-GL'!H82</f>
        <v>2250</v>
      </c>
      <c r="G643" s="162">
        <f>+'EAST-LRC-GL'!I82</f>
        <v>-13970.524000000303</v>
      </c>
      <c r="H643" s="135">
        <f>+'EAST-LRC-GL'!J82</f>
        <v>0</v>
      </c>
      <c r="I643" s="162">
        <f>+'EAST-LRC-GL'!K82</f>
        <v>-83851.191999999777</v>
      </c>
      <c r="J643" s="135">
        <f>+'EAST-LRC-GL'!L82</f>
        <v>0</v>
      </c>
      <c r="K643" s="136">
        <f>+'EAST-LRC-GL'!M82</f>
        <v>1498.6050000000105</v>
      </c>
      <c r="L643" s="135">
        <f>+'EAST-LRC-GL'!N82</f>
        <v>0</v>
      </c>
      <c r="M643" s="136">
        <f>+'EAST-LRC-GL'!O82</f>
        <v>14960.578000000027</v>
      </c>
      <c r="N643" s="135">
        <f>+'EAST-LRC-GL'!P82</f>
        <v>0</v>
      </c>
      <c r="O643" s="136">
        <f>+'EAST-LRC-GL'!Q82</f>
        <v>-40687.70700000006</v>
      </c>
      <c r="P643" s="135">
        <f>+'EAST-LRC-GL'!R82</f>
        <v>0</v>
      </c>
      <c r="Q643" s="135">
        <f>+'EAST-LRC-GL'!S82</f>
        <v>-30967.648000000001</v>
      </c>
      <c r="R643" s="135">
        <f>+'EAST-LRC-GL'!T82</f>
        <v>0</v>
      </c>
      <c r="S643" s="135">
        <f>+'EAST-LRC-GL'!U82</f>
        <v>-6794.7710000000325</v>
      </c>
      <c r="T643" s="135">
        <f>+'EAST-LRC-GL'!V82</f>
        <v>0</v>
      </c>
      <c r="U643" s="135">
        <f>+'EAST-LRC-GL'!W82</f>
        <v>-78.500000000000014</v>
      </c>
      <c r="V643" s="135">
        <f>+'EAST-LRC-GL'!X82</f>
        <v>0</v>
      </c>
      <c r="W643" s="136">
        <f>+'EAST-LRC-GL'!Y82</f>
        <v>-0.80999999999970895</v>
      </c>
      <c r="X643" s="135">
        <f>+'EAST-LRC-GL'!Z82</f>
        <v>0</v>
      </c>
      <c r="Y643" s="136">
        <f>+'EAST-LRC-GL'!AA82</f>
        <v>-987.11199999999894</v>
      </c>
      <c r="Z643" s="135">
        <f>+'EAST-LRC-GL'!AB82</f>
        <v>0</v>
      </c>
      <c r="AA643" s="135">
        <f>+'EAST-LRC-GL'!AC82</f>
        <v>-2874.39</v>
      </c>
      <c r="AB643" s="135">
        <f>+'EAST-LRC-GL'!AD82</f>
        <v>0</v>
      </c>
      <c r="AC643" s="206">
        <f>+'EAST-LRC-GL'!AE82</f>
        <v>-5387</v>
      </c>
      <c r="AD643" s="135">
        <f>+'EAST-LRC-GL'!AF82</f>
        <v>0</v>
      </c>
      <c r="AE643" s="206">
        <f>+'EAST-LRC-GL'!AG82</f>
        <v>-7124.898000000001</v>
      </c>
      <c r="AF643" s="135">
        <f>+'EAST-LRC-GL'!AH82</f>
        <v>0</v>
      </c>
      <c r="AG643" s="206">
        <f>+'EAST-LRC-GL'!AI82</f>
        <v>0</v>
      </c>
      <c r="AH643" s="135">
        <f>+'EAST-LRC-GL'!AJ82</f>
        <v>0</v>
      </c>
      <c r="AI643" s="206">
        <f>+'EAST-LRC-GL'!AK82</f>
        <v>0</v>
      </c>
      <c r="AJ643" s="135">
        <f>+'EAST-LRC-GL'!AL82</f>
        <v>0</v>
      </c>
      <c r="AK643" s="206">
        <f>+'EAST-LRC-GL'!AM82</f>
        <v>0</v>
      </c>
    </row>
    <row r="644" spans="4:37" x14ac:dyDescent="0.25">
      <c r="D644" s="133" t="s">
        <v>154</v>
      </c>
      <c r="E644" s="134"/>
      <c r="F644" s="135">
        <f>+'BGC-EGM-GL'!H82</f>
        <v>0</v>
      </c>
      <c r="G644" s="162">
        <f>+'BGC-EGM-GL'!I82</f>
        <v>0</v>
      </c>
      <c r="H644" s="135">
        <f>+'BGC-EGM-GL'!J82</f>
        <v>0</v>
      </c>
      <c r="I644" s="162">
        <f>+'BGC-EGM-GL'!K82</f>
        <v>0</v>
      </c>
      <c r="J644" s="135">
        <f>+'BGC-EGM-GL'!L82</f>
        <v>0</v>
      </c>
      <c r="K644" s="136">
        <f>+'BGC-EGM-GL'!M82</f>
        <v>0</v>
      </c>
      <c r="L644" s="135">
        <f>+'BGC-EGM-GL'!N82</f>
        <v>0</v>
      </c>
      <c r="M644" s="136">
        <f>+'BGC-EGM-GL'!O82</f>
        <v>0</v>
      </c>
      <c r="N644" s="135">
        <f>+'BGC-EGM-GL'!P82</f>
        <v>0</v>
      </c>
      <c r="O644" s="135">
        <f>+'BGC-EGM-GL'!Q82</f>
        <v>0</v>
      </c>
      <c r="P644" s="135">
        <f>+'BGC-EGM-GL'!R82</f>
        <v>0</v>
      </c>
      <c r="Q644" s="135">
        <f>+'BGC-EGM-GL'!S82</f>
        <v>0</v>
      </c>
      <c r="R644" s="135">
        <f>+'BGC-EGM-GL'!T82</f>
        <v>0</v>
      </c>
      <c r="S644" s="135">
        <f>+'BGC-EGM-GL'!U82</f>
        <v>0</v>
      </c>
      <c r="T644" s="135">
        <f>+'BGC-EGM-GL'!V82</f>
        <v>0</v>
      </c>
      <c r="U644" s="135">
        <f>+'BGC-EGM-GL'!W82</f>
        <v>0</v>
      </c>
      <c r="V644" s="135">
        <f>+'BGC-EGM-GL'!X82</f>
        <v>0</v>
      </c>
      <c r="W644" s="135">
        <f>+'BGC-EGM-GL'!Y82</f>
        <v>0</v>
      </c>
      <c r="X644" s="135">
        <f>+'BGC-EGM-GL'!Z82</f>
        <v>0</v>
      </c>
      <c r="Y644" s="135">
        <f>+'BGC-EGM-GL'!AA82</f>
        <v>0</v>
      </c>
      <c r="Z644" s="135">
        <f>+'BGC-EGM-GL'!AB82</f>
        <v>0</v>
      </c>
      <c r="AA644" s="135">
        <f>+'BGC-EGM-GL'!AC82</f>
        <v>0</v>
      </c>
      <c r="AB644" s="135">
        <f>+'BGC-EGM-GL'!AD82</f>
        <v>0</v>
      </c>
      <c r="AC644" s="137">
        <f>+'BGC-EGM-GL'!AE82</f>
        <v>0</v>
      </c>
      <c r="AD644" s="135">
        <f>+'BGC-EGM-GL'!AF82</f>
        <v>0</v>
      </c>
      <c r="AE644" s="137">
        <f>+'BGC-EGM-GL'!AG82</f>
        <v>0</v>
      </c>
      <c r="AF644" s="135">
        <f>+'BGC-EGM-GL'!AH82</f>
        <v>0</v>
      </c>
      <c r="AG644" s="137">
        <f>+'BGC-EGM-GL'!AI82</f>
        <v>0</v>
      </c>
      <c r="AH644" s="135">
        <f>+'BGC-EGM-GL'!AJ82</f>
        <v>0</v>
      </c>
      <c r="AI644" s="137">
        <f>+'BGC-EGM-GL'!AK82</f>
        <v>0</v>
      </c>
      <c r="AJ644" s="135">
        <f>+'BGC-EGM-GL'!AL82</f>
        <v>0</v>
      </c>
      <c r="AK644" s="137">
        <f>+'BGC-EGM-GL'!AM82</f>
        <v>0</v>
      </c>
    </row>
    <row r="645" spans="4:37" x14ac:dyDescent="0.25">
      <c r="D645" s="133" t="s">
        <v>155</v>
      </c>
      <c r="E645" s="134"/>
      <c r="F645" s="135">
        <f>+'EAST-CON-GL '!H82</f>
        <v>2250</v>
      </c>
      <c r="G645" s="162">
        <f>+'EAST-CON-GL '!I82</f>
        <v>3975612.9790000161</v>
      </c>
      <c r="H645" s="135">
        <f>+'EAST-CON-GL '!J82</f>
        <v>0</v>
      </c>
      <c r="I645" s="162">
        <f>+'EAST-CON-GL '!K82</f>
        <v>14738600.435000002</v>
      </c>
      <c r="J645" s="135">
        <f>+'EAST-CON-GL '!L82</f>
        <v>0</v>
      </c>
      <c r="K645" s="136">
        <f>+'EAST-CON-GL '!M82</f>
        <v>-56217.350000000311</v>
      </c>
      <c r="L645" s="135">
        <f>+'EAST-CON-GL '!N82</f>
        <v>0</v>
      </c>
      <c r="M645" s="136">
        <f>+'EAST-CON-GL '!O82</f>
        <v>-82113.101000000024</v>
      </c>
      <c r="N645" s="135">
        <f>+'EAST-CON-GL '!P82</f>
        <v>0</v>
      </c>
      <c r="O645" s="136">
        <f>+'EAST-CON-GL '!Q82</f>
        <v>-16312452.987000002</v>
      </c>
      <c r="P645" s="135">
        <f>+'EAST-CON-GL '!R82</f>
        <v>0</v>
      </c>
      <c r="Q645" s="135">
        <f>+'EAST-CON-GL '!S82</f>
        <v>-146467.64800000004</v>
      </c>
      <c r="R645" s="135">
        <f>+'EAST-CON-GL '!T82</f>
        <v>0</v>
      </c>
      <c r="S645" s="135">
        <f>+'EAST-CON-GL '!U82</f>
        <v>-8961.0519999999888</v>
      </c>
      <c r="T645" s="135">
        <f>+'EAST-CON-GL '!V82</f>
        <v>0</v>
      </c>
      <c r="U645" s="135">
        <f>+'EAST-CON-GL '!W82</f>
        <v>-103260.947</v>
      </c>
      <c r="V645" s="135">
        <f>+'EAST-CON-GL '!X82</f>
        <v>0</v>
      </c>
      <c r="W645" s="135">
        <f>+'EAST-CON-GL '!Y82</f>
        <v>-99955.82</v>
      </c>
      <c r="X645" s="135">
        <f>+'EAST-CON-GL '!Z82</f>
        <v>0</v>
      </c>
      <c r="Y645" s="136">
        <f>+'EAST-CON-GL '!AA82</f>
        <v>2194.6569999999774</v>
      </c>
      <c r="Z645" s="135">
        <f>+'EAST-CON-GL '!AB82</f>
        <v>0</v>
      </c>
      <c r="AA645" s="135">
        <f>+'EAST-CON-GL '!AC82</f>
        <v>-2874.39</v>
      </c>
      <c r="AB645" s="135">
        <f>+'EAST-CON-GL '!AD82</f>
        <v>0</v>
      </c>
      <c r="AC645" s="137">
        <f>+'EAST-CON-GL '!AE82</f>
        <v>-61780.003000000004</v>
      </c>
      <c r="AD645" s="135">
        <f>+'EAST-CON-GL '!AF82</f>
        <v>0</v>
      </c>
      <c r="AE645" s="137">
        <f>+'EAST-CON-GL '!AG82</f>
        <v>-11575.098000000002</v>
      </c>
      <c r="AF645" s="135">
        <f>+'EAST-CON-GL '!AH82</f>
        <v>0</v>
      </c>
      <c r="AG645" s="137">
        <f>+'EAST-CON-GL '!AI82</f>
        <v>0</v>
      </c>
      <c r="AH645" s="135">
        <f>+'EAST-CON-GL '!AJ82</f>
        <v>0</v>
      </c>
      <c r="AI645" s="137">
        <f>+'EAST-CON-GL '!AK82</f>
        <v>0</v>
      </c>
      <c r="AJ645" s="135">
        <f>+'EAST-CON-GL '!AL82</f>
        <v>0</v>
      </c>
      <c r="AK645" s="137">
        <f>+'EAST-CON-GL '!AM82</f>
        <v>0</v>
      </c>
    </row>
    <row r="646" spans="4:37" x14ac:dyDescent="0.25">
      <c r="D646" s="133" t="s">
        <v>156</v>
      </c>
      <c r="E646" s="134"/>
      <c r="F646" s="135">
        <f>+'TX-EGM-GL'!H82</f>
        <v>0</v>
      </c>
      <c r="G646" s="136">
        <f>+'TX-EGM-GL'!I82</f>
        <v>-3612502.1349999961</v>
      </c>
      <c r="H646" s="135">
        <f>+'TX-EGM-GL'!J82</f>
        <v>0</v>
      </c>
      <c r="I646" s="136">
        <f>+'TX-EGM-GL'!K91</f>
        <v>1488938.3259999999</v>
      </c>
      <c r="J646" s="135">
        <f>+'TX-EGM-GL'!L82</f>
        <v>0</v>
      </c>
      <c r="K646" s="136">
        <f>+'TX-EGM-GL'!M82</f>
        <v>-1332824.7579999999</v>
      </c>
      <c r="L646" s="135">
        <f>+'TX-EGM-GL'!N82</f>
        <v>0</v>
      </c>
      <c r="M646" s="136">
        <f>+'TX-EGM-GL'!O82</f>
        <v>178607.81699999998</v>
      </c>
      <c r="N646" s="135">
        <f>+'TX-EGM-GL'!P82</f>
        <v>0</v>
      </c>
      <c r="O646" s="136">
        <f>+'TX-EGM-GL'!Q82</f>
        <v>-56749.838999999687</v>
      </c>
      <c r="P646" s="135">
        <f>+'TX-EGM-GL'!R82</f>
        <v>0</v>
      </c>
      <c r="Q646" s="135">
        <f>+'TX-EGM-GL'!S82</f>
        <v>-33606.556000000091</v>
      </c>
      <c r="R646" s="135">
        <f>+'TX-EGM-GL'!T82</f>
        <v>0</v>
      </c>
      <c r="S646" s="135">
        <f>+'TX-EGM-GL'!U82</f>
        <v>-157953.39499999947</v>
      </c>
      <c r="T646" s="135">
        <f>+'TX-EGM-GL'!V82</f>
        <v>0</v>
      </c>
      <c r="U646" s="135">
        <f>+'TX-EGM-GL'!W82</f>
        <v>107702.37499999968</v>
      </c>
      <c r="V646" s="135">
        <f>+'TX-EGM-GL'!X82</f>
        <v>0</v>
      </c>
      <c r="W646" s="135">
        <f>+'TX-EGM-GL'!Y82</f>
        <v>-399.94699999991803</v>
      </c>
      <c r="X646" s="135">
        <f>+'TX-EGM-GL'!Z82</f>
        <v>0</v>
      </c>
      <c r="Y646" s="136">
        <f>+'TX-EGM-GL'!AA82</f>
        <v>66699.495000000388</v>
      </c>
      <c r="Z646" s="135">
        <f>+'TX-EGM-GL'!AB82</f>
        <v>0</v>
      </c>
      <c r="AA646" s="135">
        <f>+'TX-EGM-GL'!AC82</f>
        <v>48311.953000000001</v>
      </c>
      <c r="AB646" s="135">
        <f>+'TX-EGM-GL'!AD82</f>
        <v>0</v>
      </c>
      <c r="AC646" s="206">
        <f>+'TX-EGM-GL'!AE82</f>
        <v>74759.946999999956</v>
      </c>
      <c r="AD646" s="135">
        <f>+'TX-EGM-GL'!AF82</f>
        <v>0</v>
      </c>
      <c r="AE646" s="206">
        <f>+'TX-EGM-GL'!AG82</f>
        <v>-33110.568999999996</v>
      </c>
      <c r="AF646" s="135">
        <f>+'TX-EGM-GL'!AH82</f>
        <v>0</v>
      </c>
      <c r="AG646" s="206">
        <f>+'TX-EGM-GL'!AI82</f>
        <v>-9448.64</v>
      </c>
      <c r="AH646" s="135">
        <f>+'TX-EGM-GL'!AJ82</f>
        <v>0</v>
      </c>
      <c r="AI646" s="206">
        <f>+'TX-EGM-GL'!AK82</f>
        <v>2110.0900000000051</v>
      </c>
      <c r="AJ646" s="135">
        <f>+'TX-EGM-GL'!AL82</f>
        <v>0</v>
      </c>
      <c r="AK646" s="206">
        <f>+'TX-EGM-GL'!AM82</f>
        <v>-7237.8099999999959</v>
      </c>
    </row>
    <row r="647" spans="4:37" x14ac:dyDescent="0.25">
      <c r="D647" s="133" t="s">
        <v>157</v>
      </c>
      <c r="E647" s="134"/>
      <c r="F647" s="135">
        <f>+'TX-HPL-GL '!H82</f>
        <v>0</v>
      </c>
      <c r="G647" s="136">
        <f>+'TX-HPL-GL '!I82</f>
        <v>-29709.279999999839</v>
      </c>
      <c r="H647" s="135">
        <f>+'TX-HPL-GL '!J82</f>
        <v>0</v>
      </c>
      <c r="I647" s="136">
        <f>+'TX-HPL-GL '!K82</f>
        <v>323086.69949999999</v>
      </c>
      <c r="J647" s="135">
        <f>+'TX-HPL-GL '!L82</f>
        <v>0</v>
      </c>
      <c r="K647" s="136">
        <f>+'TX-HPL-GL '!M82</f>
        <v>5870.4018000000042</v>
      </c>
      <c r="L647" s="135">
        <f>+'TX-HPL-GL '!N82</f>
        <v>0</v>
      </c>
      <c r="M647" s="136">
        <f>+'TX-HPL-GL '!O82</f>
        <v>-11657.9818</v>
      </c>
      <c r="N647" s="135">
        <f>+'TX-HPL-GL '!P82</f>
        <v>0</v>
      </c>
      <c r="O647" s="136">
        <f>+'TX-HPL-GL '!Q82</f>
        <v>2457.6600000000162</v>
      </c>
      <c r="P647" s="135">
        <f>+'TX-HPL-GL '!R82</f>
        <v>0</v>
      </c>
      <c r="Q647" s="135">
        <f>+'TX-HPL-GL '!S82</f>
        <v>-118.98</v>
      </c>
      <c r="R647" s="135">
        <f>+'TX-HPL-GL '!T82</f>
        <v>0</v>
      </c>
      <c r="S647" s="135">
        <f>+'TX-HPL-GL '!U82</f>
        <v>1.24</v>
      </c>
      <c r="T647" s="135">
        <f>+'TX-HPL-GL '!V82</f>
        <v>0</v>
      </c>
      <c r="U647" s="135">
        <f>+'TX-HPL-GL '!W82</f>
        <v>0</v>
      </c>
      <c r="V647" s="135">
        <f>+'TX-HPL-GL '!X82</f>
        <v>0</v>
      </c>
      <c r="W647" s="135">
        <f>+'TX-HPL-GL '!Y82</f>
        <v>0</v>
      </c>
      <c r="X647" s="135">
        <f>+'TX-HPL-GL '!Z82</f>
        <v>0</v>
      </c>
      <c r="Y647" s="135">
        <f>+'TX-HPL-GL '!AA82</f>
        <v>0</v>
      </c>
      <c r="Z647" s="135">
        <f>+'TX-HPL-GL '!AB82</f>
        <v>0</v>
      </c>
      <c r="AA647" s="135">
        <f>+'TX-HPL-GL '!AC82</f>
        <v>0</v>
      </c>
      <c r="AB647" s="135">
        <f>+'TX-HPL-GL '!AD82</f>
        <v>0</v>
      </c>
      <c r="AC647" s="137">
        <f>+'TX-HPL-GL '!AE82</f>
        <v>0</v>
      </c>
      <c r="AD647" s="135">
        <f>+'TX-HPL-GL '!AF82</f>
        <v>0</v>
      </c>
      <c r="AE647" s="137">
        <f>+'TX-HPL-GL '!AG82</f>
        <v>1943.11</v>
      </c>
      <c r="AF647" s="135">
        <f>+'TX-HPL-GL '!AH82</f>
        <v>0</v>
      </c>
      <c r="AG647" s="137">
        <f>+'TX-HPL-GL '!AI82</f>
        <v>0</v>
      </c>
      <c r="AH647" s="135">
        <f>+'TX-HPL-GL '!AJ82</f>
        <v>0</v>
      </c>
      <c r="AI647" s="137">
        <f>+'TX-HPL-GL '!AK82</f>
        <v>0</v>
      </c>
      <c r="AJ647" s="135">
        <f>+'TX-HPL-GL '!AL82</f>
        <v>0</v>
      </c>
      <c r="AK647" s="137">
        <f>+'TX-HPL-GL '!AM82</f>
        <v>0</v>
      </c>
    </row>
    <row r="648" spans="4:37" x14ac:dyDescent="0.25">
      <c r="D648" s="133" t="s">
        <v>158</v>
      </c>
      <c r="E648" s="134"/>
      <c r="F648" s="135">
        <f>+'TX-CON-GL '!H82</f>
        <v>0</v>
      </c>
      <c r="G648" s="162">
        <f>+'TX-CON-GL '!I82</f>
        <v>-3642211.4149999898</v>
      </c>
      <c r="H648" s="135">
        <f>+'TX-CON-GL '!J82</f>
        <v>0</v>
      </c>
      <c r="I648" s="136">
        <f>+'TX-CON-GL '!K82</f>
        <v>1812025.0255</v>
      </c>
      <c r="J648" s="135">
        <f>+'TX-CON-GL '!L82</f>
        <v>0</v>
      </c>
      <c r="K648" s="136">
        <f>+'TX-CON-GL '!M82</f>
        <v>-1326954.3561999998</v>
      </c>
      <c r="L648" s="135">
        <f>+'TX-CON-GL '!N82</f>
        <v>0</v>
      </c>
      <c r="M648" s="136">
        <f>+'TX-CON-GL '!O82</f>
        <v>166949.83519999994</v>
      </c>
      <c r="N648" s="135">
        <f>+'TX-CON-GL '!P82</f>
        <v>0</v>
      </c>
      <c r="O648" s="136">
        <f>+'TX-CON-GL '!Q82</f>
        <v>-54292.178999999967</v>
      </c>
      <c r="P648" s="135">
        <f>+'TX-CON-GL '!R82</f>
        <v>0</v>
      </c>
      <c r="Q648" s="135">
        <f>+'TX-CON-GL '!S82</f>
        <v>-33725.536000000073</v>
      </c>
      <c r="R648" s="135">
        <f>+'TX-CON-GL '!T82</f>
        <v>0</v>
      </c>
      <c r="S648" s="135">
        <f>+'TX-CON-GL '!U82</f>
        <v>-157952.15499999947</v>
      </c>
      <c r="T648" s="135">
        <f>+'TX-CON-GL '!V82</f>
        <v>0</v>
      </c>
      <c r="U648" s="135">
        <f>+'TX-CON-GL '!W82</f>
        <v>107702.37499999968</v>
      </c>
      <c r="V648" s="135">
        <f>+'TX-CON-GL '!X82</f>
        <v>0</v>
      </c>
      <c r="W648" s="135">
        <f>+'TX-CON-GL '!Y82</f>
        <v>-399.94699999991803</v>
      </c>
      <c r="X648" s="135">
        <f>+'TX-CON-GL '!Z82</f>
        <v>0</v>
      </c>
      <c r="Y648" s="136">
        <f>+'TX-CON-GL '!AA82</f>
        <v>66699.495000000388</v>
      </c>
      <c r="Z648" s="135">
        <f>+'TX-CON-GL '!AB82</f>
        <v>0</v>
      </c>
      <c r="AA648" s="135">
        <f>+'TX-CON-GL '!AC82</f>
        <v>48311.953000000001</v>
      </c>
      <c r="AB648" s="135">
        <f>+'TX-CON-GL '!AD82</f>
        <v>0</v>
      </c>
      <c r="AC648" s="137">
        <f>+'TX-CON-GL '!AE82</f>
        <v>74759.946999999956</v>
      </c>
      <c r="AD648" s="135">
        <f>+'TX-CON-GL '!AF82</f>
        <v>0</v>
      </c>
      <c r="AE648" s="137">
        <f>+'TX-CON-GL '!AG82</f>
        <v>-31167.458999999995</v>
      </c>
      <c r="AF648" s="135">
        <f>+'TX-CON-GL '!AH82</f>
        <v>0</v>
      </c>
      <c r="AG648" s="137">
        <f>+'TX-CON-GL '!AI82</f>
        <v>2110.0900000000051</v>
      </c>
      <c r="AH648" s="135">
        <f>+'TX-CON-GL '!AJ82</f>
        <v>0</v>
      </c>
      <c r="AI648" s="137">
        <f>+'TX-CON-GL '!AK82</f>
        <v>0</v>
      </c>
      <c r="AJ648" s="135">
        <f>+'TX-CON-GL '!AL82</f>
        <v>0</v>
      </c>
      <c r="AK648" s="137">
        <f>+'TX-CON-GL '!AM82</f>
        <v>0</v>
      </c>
    </row>
    <row r="649" spans="4:37" x14ac:dyDescent="0.25">
      <c r="D649" s="133" t="s">
        <v>147</v>
      </c>
      <c r="E649" s="134"/>
      <c r="F649" s="135">
        <f>+'WE-GL '!H82</f>
        <v>0</v>
      </c>
      <c r="G649" s="136">
        <f>+'WE-GL '!I82</f>
        <v>-1727701.7299999939</v>
      </c>
      <c r="H649" s="135">
        <f>+'WE-GL '!J82</f>
        <v>0</v>
      </c>
      <c r="I649" s="136">
        <f>+'WE-GL '!K82</f>
        <v>-89789.039000000019</v>
      </c>
      <c r="J649" s="135">
        <f>+'WE-GL '!L82</f>
        <v>0</v>
      </c>
      <c r="K649" s="135">
        <f>+'WE-GL '!M82</f>
        <v>-77765.255000000107</v>
      </c>
      <c r="L649" s="135">
        <f>+'WE-GL '!N82</f>
        <v>0</v>
      </c>
      <c r="M649" s="136">
        <f>+'WE-GL '!O82</f>
        <v>59726.40100000002</v>
      </c>
      <c r="N649" s="135">
        <f>+'WE-GL '!P82</f>
        <v>0</v>
      </c>
      <c r="O649" s="136">
        <f>+'WE-GL '!Q82</f>
        <v>10026.505999999999</v>
      </c>
      <c r="P649" s="135">
        <f>+'WE-GL '!R82</f>
        <v>0</v>
      </c>
      <c r="Q649" s="135">
        <f>+'WE-GL '!S82</f>
        <v>0</v>
      </c>
      <c r="R649" s="135">
        <f>+'WE-GL '!T82</f>
        <v>0</v>
      </c>
      <c r="S649" s="135">
        <f>+'WE-GL '!U82</f>
        <v>37459.959999999963</v>
      </c>
      <c r="T649" s="135">
        <f>+'WE-GL '!V82</f>
        <v>0</v>
      </c>
      <c r="U649" s="135">
        <f>+'WE-GL '!W82</f>
        <v>-37306.760000000009</v>
      </c>
      <c r="V649" s="135">
        <f>+'WE-GL '!X82</f>
        <v>0</v>
      </c>
      <c r="W649" s="135">
        <f>+'WE-GL '!Y82</f>
        <v>-7712.93</v>
      </c>
      <c r="X649" s="135">
        <f>+'WE-GL '!Z82</f>
        <v>0</v>
      </c>
      <c r="Y649" s="136">
        <f>+'WE-GL '!AA82</f>
        <v>37459.959999999963</v>
      </c>
      <c r="Z649" s="135">
        <f>+'WE-GL '!AB82</f>
        <v>0</v>
      </c>
      <c r="AA649" s="135">
        <f>+'WE-GL '!AC82</f>
        <v>0</v>
      </c>
      <c r="AB649" s="135">
        <f>+'WE-GL '!AD82</f>
        <v>0</v>
      </c>
      <c r="AC649" s="137">
        <f>+'WE-GL '!AE82</f>
        <v>0</v>
      </c>
      <c r="AD649" s="135">
        <f>+'WE-GL '!AF82</f>
        <v>0</v>
      </c>
      <c r="AE649" s="137">
        <f>+'WE-GL '!AG82</f>
        <v>0</v>
      </c>
      <c r="AF649" s="135">
        <f>+'WE-GL '!AH82</f>
        <v>0</v>
      </c>
      <c r="AG649" s="137">
        <f>+'WE-GL '!AI82</f>
        <v>0</v>
      </c>
      <c r="AH649" s="135">
        <f>+'WE-GL '!AJ82</f>
        <v>0</v>
      </c>
      <c r="AI649" s="137">
        <f>+'WE-GL '!AK82</f>
        <v>4544.5600000000013</v>
      </c>
      <c r="AJ649" s="135">
        <f>+'WE-GL '!AL82</f>
        <v>0</v>
      </c>
      <c r="AK649" s="137">
        <f>+'WE-GL '!AM82</f>
        <v>0</v>
      </c>
    </row>
    <row r="650" spans="4:37" x14ac:dyDescent="0.25">
      <c r="D650" t="s">
        <v>149</v>
      </c>
      <c r="F650" s="138">
        <f>+STG_GL!H82</f>
        <v>0</v>
      </c>
      <c r="G650" s="163">
        <f>+STG_GL!I82</f>
        <v>-151</v>
      </c>
      <c r="H650" s="138">
        <f>+STG_GL!J82</f>
        <v>0</v>
      </c>
      <c r="I650" s="163">
        <f>+STG_GL!K82</f>
        <v>-659849</v>
      </c>
      <c r="J650" s="138">
        <f>+STG_GL!L82</f>
        <v>0</v>
      </c>
      <c r="K650" s="138">
        <f>+STG_GL!M82</f>
        <v>783262</v>
      </c>
      <c r="L650" s="138">
        <f>+STG_GL!N82</f>
        <v>0</v>
      </c>
      <c r="M650" s="138">
        <f>+STG_GL!O82</f>
        <v>0</v>
      </c>
      <c r="N650" s="138">
        <f>+STG_GL!P82</f>
        <v>0</v>
      </c>
      <c r="O650" s="138">
        <f>+STG_GL!Q82</f>
        <v>51186</v>
      </c>
      <c r="P650" s="138">
        <f>+STG_GL!R82</f>
        <v>0</v>
      </c>
      <c r="Q650" s="138">
        <f>+STG_GL!S82</f>
        <v>278760</v>
      </c>
      <c r="R650" s="138">
        <f>+STG_GL!T82</f>
        <v>0</v>
      </c>
      <c r="S650" s="138">
        <f>+STG_GL!U82</f>
        <v>0</v>
      </c>
      <c r="T650" s="138">
        <f>+STG_GL!V82</f>
        <v>0</v>
      </c>
      <c r="U650" s="138">
        <f>+STG_GL!W82</f>
        <v>189066</v>
      </c>
      <c r="V650" s="138">
        <f>+STG_GL!X82</f>
        <v>0</v>
      </c>
      <c r="W650" s="138">
        <f>+STG_GL!Y82</f>
        <v>0</v>
      </c>
      <c r="X650" s="138">
        <f>+STG_GL!Z82</f>
        <v>0</v>
      </c>
      <c r="Y650" s="138">
        <f>+STG_GL!AA82</f>
        <v>-1689156</v>
      </c>
      <c r="Z650" s="138">
        <f>+STG_GL!AB82</f>
        <v>0</v>
      </c>
      <c r="AA650" s="138">
        <f>+STG_GL!AC82</f>
        <v>335390</v>
      </c>
      <c r="AB650" s="138">
        <f>+STG_GL!AD82</f>
        <v>0</v>
      </c>
      <c r="AC650" s="138">
        <f>+STG_GL!AE82</f>
        <v>0</v>
      </c>
      <c r="AD650" s="138">
        <f>+STG_GL!AF82</f>
        <v>0</v>
      </c>
      <c r="AE650" s="138">
        <f>+STG_GL!AG82</f>
        <v>0</v>
      </c>
      <c r="AF650" s="138">
        <f>+STG_GL!AH82</f>
        <v>0</v>
      </c>
      <c r="AG650" s="138">
        <f>+STG_GL!AI82</f>
        <v>0</v>
      </c>
      <c r="AH650" s="138">
        <f>+STG_GL!AJ82</f>
        <v>0</v>
      </c>
      <c r="AI650" s="138">
        <f>+STG_GL!AK82</f>
        <v>0</v>
      </c>
      <c r="AJ650" s="138">
        <f>+STG_GL!AL82</f>
        <v>0</v>
      </c>
      <c r="AK650" s="138">
        <f>+STG_GL!AM82</f>
        <v>0</v>
      </c>
    </row>
    <row r="651" spans="4:37" x14ac:dyDescent="0.25">
      <c r="D651" t="s">
        <v>169</v>
      </c>
      <c r="F651" s="138">
        <f>+'ONT_GL '!H82</f>
        <v>0</v>
      </c>
      <c r="G651" s="167">
        <f>+'ONT_GL '!I82</f>
        <v>-1854472</v>
      </c>
      <c r="H651" s="138">
        <f>+'ONT_GL '!J82</f>
        <v>0</v>
      </c>
      <c r="I651" s="163">
        <f>+'ONT_GL '!K82</f>
        <v>-31876</v>
      </c>
      <c r="J651" s="138">
        <f>+'ONT_GL '!L82</f>
        <v>0</v>
      </c>
      <c r="K651" s="138">
        <f>+'ONT_GL '!M82</f>
        <v>-1022061</v>
      </c>
      <c r="L651" s="138">
        <f>+'ONT_GL '!N82</f>
        <v>0</v>
      </c>
      <c r="M651" s="138">
        <f>+'ONT_GL '!O82</f>
        <v>-284</v>
      </c>
      <c r="N651" s="138">
        <f>+'ONT_GL '!P82</f>
        <v>0</v>
      </c>
      <c r="O651" s="167">
        <f>+'ONT_GL '!Q82</f>
        <v>-21300</v>
      </c>
      <c r="P651" s="138">
        <f>+'ONT_GL '!R82</f>
        <v>0</v>
      </c>
      <c r="Q651" s="138">
        <f>+'ONT_GL '!S82</f>
        <v>0</v>
      </c>
      <c r="R651" s="138">
        <f>+'ONT_GL '!T82</f>
        <v>0</v>
      </c>
      <c r="S651" s="167">
        <f>+'ONT_GL '!U82</f>
        <v>39466</v>
      </c>
      <c r="T651" s="138">
        <f>+'ONT_GL '!V82</f>
        <v>0</v>
      </c>
      <c r="U651" s="167">
        <f>+'ONT_GL '!W82</f>
        <v>-39466.120000000112</v>
      </c>
      <c r="V651" s="138">
        <f>+'ONT_GL '!X82</f>
        <v>0</v>
      </c>
      <c r="W651" s="138">
        <f>+'ONT_GL '!Y82</f>
        <v>0</v>
      </c>
      <c r="X651" s="138">
        <f>+'ONT_GL '!Z82</f>
        <v>0</v>
      </c>
      <c r="Y651" s="167">
        <f>+'ONT_GL '!AA82</f>
        <v>-1260533.8799999999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38">
        <f>+'ONT_GL '!AE82</f>
        <v>0</v>
      </c>
      <c r="AD651" s="138">
        <f>+'ONT_GL '!AF82</f>
        <v>0</v>
      </c>
      <c r="AE651" s="138">
        <f>+'ONT_GL '!AG82</f>
        <v>0</v>
      </c>
      <c r="AF651" s="138">
        <f>+'ONT_GL '!AH82</f>
        <v>0</v>
      </c>
      <c r="AG651" s="138">
        <f>+'ONT_GL '!AI82</f>
        <v>0</v>
      </c>
      <c r="AH651" s="138">
        <f>+'ONT_GL '!AJ82</f>
        <v>0</v>
      </c>
      <c r="AI651" s="138">
        <f>+'ONT_GL '!AK82</f>
        <v>0</v>
      </c>
      <c r="AJ651" s="138">
        <f>+'ONT_GL '!AL82</f>
        <v>0</v>
      </c>
      <c r="AK651" s="138">
        <f>+'ONT_GL '!AM82</f>
        <v>0</v>
      </c>
    </row>
    <row r="652" spans="4:37" x14ac:dyDescent="0.25">
      <c r="G652" s="170"/>
    </row>
    <row r="653" spans="4:37" x14ac:dyDescent="0.25">
      <c r="D653" t="s">
        <v>2</v>
      </c>
    </row>
  </sheetData>
  <mergeCells count="31">
    <mergeCell ref="O1:P1"/>
    <mergeCell ref="Q1:R1"/>
    <mergeCell ref="S1:T1"/>
    <mergeCell ref="U1:V1"/>
    <mergeCell ref="W1:X1"/>
    <mergeCell ref="Y1:Z1"/>
    <mergeCell ref="AA1:AB1"/>
    <mergeCell ref="AC1:AD1"/>
    <mergeCell ref="AJ638:AK638"/>
    <mergeCell ref="E1:F1"/>
    <mergeCell ref="G1:H1"/>
    <mergeCell ref="I1:J1"/>
    <mergeCell ref="K1:L1"/>
    <mergeCell ref="M1:N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T638:U638"/>
    <mergeCell ref="V638:W638"/>
    <mergeCell ref="X638:Y638"/>
    <mergeCell ref="Z638:AA638"/>
    <mergeCell ref="AH638:AI638"/>
    <mergeCell ref="AF638:AG638"/>
    <mergeCell ref="AB638:AC638"/>
    <mergeCell ref="AD638:AE638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D32" activePane="bottomRight" state="frozen"/>
      <selection activeCell="A5" sqref="A5"/>
      <selection pane="topRight" activeCell="A5" sqref="A5"/>
      <selection pane="bottomLeft" activeCell="A5" sqref="A5"/>
      <selection pane="bottomRight" activeCell="A32" sqref="A32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91" customWidth="1"/>
    <col min="6" max="25" width="15" customWidth="1"/>
  </cols>
  <sheetData>
    <row r="1" spans="1:25" x14ac:dyDescent="0.25">
      <c r="A1" s="46" t="s">
        <v>83</v>
      </c>
      <c r="B1" s="46"/>
      <c r="C1" s="1"/>
      <c r="D1" s="13"/>
      <c r="E1" s="194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87</v>
      </c>
      <c r="B2" s="46"/>
      <c r="C2" s="1"/>
      <c r="D2" s="13"/>
      <c r="E2" s="194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14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94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9906</v>
      </c>
      <c r="B5" s="48"/>
      <c r="C5" s="5"/>
      <c r="D5" s="13"/>
      <c r="E5" s="194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94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85</v>
      </c>
      <c r="E8" s="19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86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167</v>
      </c>
      <c r="W8" s="27"/>
      <c r="X8" s="26" t="s">
        <v>116</v>
      </c>
      <c r="Y8" s="27"/>
    </row>
    <row r="9" spans="1:25" s="80" customFormat="1" x14ac:dyDescent="0.25">
      <c r="A9" s="52"/>
      <c r="B9" s="78"/>
      <c r="C9" s="79"/>
      <c r="D9" s="75" t="s">
        <v>25</v>
      </c>
      <c r="E9" s="196" t="s">
        <v>26</v>
      </c>
      <c r="F9" s="77" t="s">
        <v>25</v>
      </c>
      <c r="G9" s="76" t="s">
        <v>26</v>
      </c>
      <c r="H9" s="77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  <c r="N9" s="77" t="s">
        <v>25</v>
      </c>
      <c r="O9" s="76" t="s">
        <v>26</v>
      </c>
      <c r="P9" s="77" t="s">
        <v>25</v>
      </c>
      <c r="Q9" s="76" t="s">
        <v>26</v>
      </c>
      <c r="R9" s="77" t="s">
        <v>25</v>
      </c>
      <c r="S9" s="76" t="s">
        <v>26</v>
      </c>
      <c r="T9" s="77" t="s">
        <v>25</v>
      </c>
      <c r="U9" s="76" t="s">
        <v>26</v>
      </c>
      <c r="V9" s="77" t="s">
        <v>25</v>
      </c>
      <c r="W9" s="76" t="s">
        <v>26</v>
      </c>
      <c r="X9" s="77" t="s">
        <v>25</v>
      </c>
      <c r="Y9" s="76" t="s">
        <v>26</v>
      </c>
    </row>
    <row r="10" spans="1:25" x14ac:dyDescent="0.25">
      <c r="A10" s="9"/>
      <c r="B10" s="11" t="s">
        <v>27</v>
      </c>
      <c r="C10" s="6"/>
      <c r="D10" s="64"/>
      <c r="E10" s="197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28</v>
      </c>
      <c r="D11" s="60">
        <f t="shared" ref="D11:E15" si="0">F11+H11+J11+L11+N11+P11+R11+T11+V11+X11</f>
        <v>0</v>
      </c>
      <c r="E11" s="198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29</v>
      </c>
      <c r="D12" s="60">
        <f t="shared" si="0"/>
        <v>0</v>
      </c>
      <c r="E12" s="198">
        <f t="shared" si="0"/>
        <v>-6931151.4499999983</v>
      </c>
      <c r="F12" s="65"/>
      <c r="G12" s="38">
        <f>-3891680.32-182645.36</f>
        <v>-4074325.6799999997</v>
      </c>
      <c r="H12" s="65">
        <v>0</v>
      </c>
      <c r="I12" s="38">
        <f>-1468228.14-37158.88</f>
        <v>-1505387.0199999998</v>
      </c>
      <c r="J12" s="65"/>
      <c r="K12" s="38">
        <v>-44383.68</v>
      </c>
      <c r="L12" s="65"/>
      <c r="M12" s="38">
        <v>0</v>
      </c>
      <c r="N12" s="65"/>
      <c r="O12" s="38">
        <f>601006.41-3014.01</f>
        <v>597992.4</v>
      </c>
      <c r="P12" s="65"/>
      <c r="Q12" s="38">
        <v>-8636.77</v>
      </c>
      <c r="R12" s="65"/>
      <c r="S12" s="38">
        <f>-1633489.6-243545.64</f>
        <v>-1877035.2400000002</v>
      </c>
      <c r="T12" s="65"/>
      <c r="U12" s="38">
        <v>0</v>
      </c>
      <c r="V12" s="65"/>
      <c r="W12" s="38">
        <v>-19375.46</v>
      </c>
      <c r="X12" s="65"/>
      <c r="Y12" s="38">
        <v>0</v>
      </c>
    </row>
    <row r="13" spans="1:25" x14ac:dyDescent="0.25">
      <c r="A13" s="9">
        <v>3</v>
      </c>
      <c r="B13" s="7"/>
      <c r="C13" s="18" t="s">
        <v>30</v>
      </c>
      <c r="D13" s="60">
        <f t="shared" si="0"/>
        <v>0</v>
      </c>
      <c r="E13" s="198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31</v>
      </c>
      <c r="D14" s="60">
        <f t="shared" si="0"/>
        <v>0</v>
      </c>
      <c r="E14" s="198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32</v>
      </c>
      <c r="D15" s="60">
        <f t="shared" si="0"/>
        <v>0</v>
      </c>
      <c r="E15" s="198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33</v>
      </c>
      <c r="C16" s="6"/>
      <c r="D16" s="61">
        <f t="shared" ref="D16:Y16" si="1">SUM(D11:D15)</f>
        <v>0</v>
      </c>
      <c r="E16" s="148">
        <f t="shared" si="1"/>
        <v>-6931151.4499999983</v>
      </c>
      <c r="F16" s="61">
        <f t="shared" si="1"/>
        <v>0</v>
      </c>
      <c r="G16" s="39">
        <f t="shared" si="1"/>
        <v>-4074325.6799999997</v>
      </c>
      <c r="H16" s="61">
        <f t="shared" si="1"/>
        <v>0</v>
      </c>
      <c r="I16" s="39">
        <f t="shared" si="1"/>
        <v>-1505387.0199999998</v>
      </c>
      <c r="J16" s="61">
        <f t="shared" si="1"/>
        <v>0</v>
      </c>
      <c r="K16" s="39">
        <f t="shared" si="1"/>
        <v>-44383.68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597992.4</v>
      </c>
      <c r="P16" s="61">
        <f t="shared" si="1"/>
        <v>0</v>
      </c>
      <c r="Q16" s="39">
        <f t="shared" si="1"/>
        <v>-8636.77</v>
      </c>
      <c r="R16" s="61">
        <f t="shared" si="1"/>
        <v>0</v>
      </c>
      <c r="S16" s="39">
        <f t="shared" si="1"/>
        <v>-1877035.2400000002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-19375.46</v>
      </c>
      <c r="X16" s="61">
        <f t="shared" si="1"/>
        <v>0</v>
      </c>
      <c r="Y16" s="39">
        <f t="shared" si="1"/>
        <v>0</v>
      </c>
    </row>
    <row r="17" spans="1:25" x14ac:dyDescent="0.25">
      <c r="A17" s="9"/>
      <c r="B17" s="7"/>
      <c r="C17" s="6"/>
      <c r="D17" s="60"/>
      <c r="E17" s="147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34</v>
      </c>
      <c r="C18" s="6"/>
      <c r="D18" s="60"/>
      <c r="E18" s="147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28</v>
      </c>
      <c r="D19" s="60">
        <f t="shared" ref="D19:E23" si="2">F19+H19+J19+L19+N19+P19+R19+T19+V19+X19</f>
        <v>0</v>
      </c>
      <c r="E19" s="198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29</v>
      </c>
      <c r="D20" s="60">
        <f t="shared" si="2"/>
        <v>0</v>
      </c>
      <c r="E20" s="198">
        <f t="shared" si="2"/>
        <v>4387999.1099999994</v>
      </c>
      <c r="F20" s="65"/>
      <c r="G20" s="38">
        <f>124640.36-558491.78</f>
        <v>-433851.42000000004</v>
      </c>
      <c r="H20" s="65"/>
      <c r="I20" s="38">
        <f>-476740.32+91715</f>
        <v>-385025.32</v>
      </c>
      <c r="J20" s="65"/>
      <c r="K20" s="38"/>
      <c r="L20" s="65"/>
      <c r="M20" s="38">
        <v>0</v>
      </c>
      <c r="N20" s="65"/>
      <c r="O20" s="38">
        <v>-259121.8</v>
      </c>
      <c r="P20" s="65"/>
      <c r="Q20" s="38">
        <v>-10002.44</v>
      </c>
      <c r="R20" s="65"/>
      <c r="S20" s="38">
        <f>5342891.96+112131.39</f>
        <v>5455023.3499999996</v>
      </c>
      <c r="T20" s="65"/>
      <c r="U20" s="38">
        <v>0</v>
      </c>
      <c r="V20" s="65"/>
      <c r="W20" s="38">
        <v>20976.74</v>
      </c>
      <c r="X20" s="65"/>
      <c r="Y20" s="38">
        <v>0</v>
      </c>
    </row>
    <row r="21" spans="1:25" x14ac:dyDescent="0.25">
      <c r="A21" s="9">
        <v>8</v>
      </c>
      <c r="B21" s="7"/>
      <c r="C21" s="18" t="s">
        <v>30</v>
      </c>
      <c r="D21" s="60">
        <f t="shared" si="2"/>
        <v>0</v>
      </c>
      <c r="E21" s="198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31</v>
      </c>
      <c r="D22" s="60">
        <f t="shared" si="2"/>
        <v>0</v>
      </c>
      <c r="E22" s="198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35</v>
      </c>
      <c r="D23" s="60">
        <f t="shared" si="2"/>
        <v>0</v>
      </c>
      <c r="E23" s="198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36</v>
      </c>
      <c r="C24" s="6"/>
      <c r="D24" s="61">
        <f t="shared" ref="D24:Y24" si="3">SUM(D19:D23)</f>
        <v>0</v>
      </c>
      <c r="E24" s="148">
        <f t="shared" si="3"/>
        <v>4387999.1099999994</v>
      </c>
      <c r="F24" s="61">
        <f t="shared" si="3"/>
        <v>0</v>
      </c>
      <c r="G24" s="39">
        <f t="shared" si="3"/>
        <v>-433851.42000000004</v>
      </c>
      <c r="H24" s="61">
        <f t="shared" si="3"/>
        <v>0</v>
      </c>
      <c r="I24" s="39">
        <f t="shared" si="3"/>
        <v>-385025.32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-259121.8</v>
      </c>
      <c r="P24" s="61">
        <f t="shared" si="3"/>
        <v>0</v>
      </c>
      <c r="Q24" s="39">
        <f t="shared" si="3"/>
        <v>-10002.44</v>
      </c>
      <c r="R24" s="61">
        <f t="shared" si="3"/>
        <v>0</v>
      </c>
      <c r="S24" s="39">
        <f t="shared" si="3"/>
        <v>5455023.3499999996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20976.74</v>
      </c>
      <c r="X24" s="61">
        <f t="shared" si="3"/>
        <v>0</v>
      </c>
      <c r="Y24" s="39">
        <f t="shared" si="3"/>
        <v>0</v>
      </c>
    </row>
    <row r="25" spans="1:25" x14ac:dyDescent="0.25">
      <c r="A25" s="9"/>
      <c r="B25" s="7"/>
      <c r="C25" s="6"/>
      <c r="D25" s="60"/>
      <c r="E25" s="147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37</v>
      </c>
      <c r="C26" s="6"/>
      <c r="D26" s="60"/>
      <c r="E26" s="147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38</v>
      </c>
      <c r="D27" s="60">
        <f>F27+H27+J27+L27+N27+P27+R27+T27+V27+X27</f>
        <v>0</v>
      </c>
      <c r="E27" s="198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39</v>
      </c>
      <c r="D28" s="60">
        <f>F28+H28+J28+L28+N28+P28+R28+T28+V28+X28</f>
        <v>0</v>
      </c>
      <c r="E28" s="198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40</v>
      </c>
      <c r="C29" s="6"/>
      <c r="D29" s="61">
        <f t="shared" ref="D29:Y29" si="4">SUM(D27:D28)</f>
        <v>0</v>
      </c>
      <c r="E29" s="148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5">
      <c r="A30" s="9"/>
      <c r="B30" s="7"/>
      <c r="C30" s="6"/>
      <c r="D30" s="60"/>
      <c r="E30" s="147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41</v>
      </c>
      <c r="C31" s="6"/>
      <c r="D31" s="60"/>
      <c r="E31" s="147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42</v>
      </c>
      <c r="D32" s="60">
        <f t="shared" ref="D32:E35" si="5">F32+H32+J32+L32+N32+P32+R32+T32+V32+X32</f>
        <v>0</v>
      </c>
      <c r="E32" s="198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43</v>
      </c>
      <c r="D33" s="60">
        <f t="shared" si="5"/>
        <v>0</v>
      </c>
      <c r="E33" s="198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44</v>
      </c>
      <c r="D34" s="60">
        <f t="shared" si="5"/>
        <v>0</v>
      </c>
      <c r="E34" s="198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45</v>
      </c>
      <c r="D35" s="60">
        <f t="shared" si="5"/>
        <v>0</v>
      </c>
      <c r="E35" s="198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46</v>
      </c>
      <c r="C36" s="6"/>
      <c r="D36" s="61">
        <f>SUM(D32:D35)</f>
        <v>0</v>
      </c>
      <c r="E36" s="148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5">
      <c r="A37" s="9"/>
      <c r="B37" s="7"/>
      <c r="C37" s="6"/>
      <c r="D37" s="60"/>
      <c r="E37" s="147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47</v>
      </c>
      <c r="C38" s="6"/>
      <c r="D38" s="60"/>
      <c r="E38" s="147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48</v>
      </c>
      <c r="D39" s="60">
        <f t="shared" ref="D39:E41" si="7">F39+H39+J39+L39+N39+P39+R39+T39+V39+X39</f>
        <v>0</v>
      </c>
      <c r="E39" s="198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49</v>
      </c>
      <c r="D40" s="60">
        <f t="shared" si="7"/>
        <v>0</v>
      </c>
      <c r="E40" s="198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50</v>
      </c>
      <c r="D41" s="60">
        <f t="shared" si="7"/>
        <v>0</v>
      </c>
      <c r="E41" s="198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5">
      <c r="A42" s="9"/>
      <c r="B42" s="7"/>
      <c r="C42" s="53" t="s">
        <v>51</v>
      </c>
      <c r="D42" s="61">
        <f t="shared" ref="D42:Y42" si="8">SUM(D40:D41)</f>
        <v>0</v>
      </c>
      <c r="E42" s="148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5">
      <c r="A43" s="9"/>
      <c r="B43" s="7" t="s">
        <v>52</v>
      </c>
      <c r="C43" s="6"/>
      <c r="D43" s="61">
        <f t="shared" ref="D43:Y43" si="9">D42+D39</f>
        <v>0</v>
      </c>
      <c r="E43" s="148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5">
      <c r="A44" s="9"/>
      <c r="B44" s="7"/>
      <c r="C44" s="6"/>
      <c r="D44" s="60"/>
      <c r="E44" s="147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53</v>
      </c>
      <c r="C45" s="6"/>
      <c r="D45" s="60">
        <f>F45+H45+J45+L45+N45+P45+R45+T45+V45+X45</f>
        <v>0</v>
      </c>
      <c r="E45" s="198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147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54</v>
      </c>
      <c r="C47" s="6"/>
      <c r="D47" s="60">
        <f>F47+H47+J47+L47+N47+P47+R47+T47+V47+X47</f>
        <v>0</v>
      </c>
      <c r="E47" s="198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147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55</v>
      </c>
      <c r="C49" s="6"/>
      <c r="D49" s="60">
        <f>F49+H49+J49+L49+N49+P49+R49+T49+V49+X49</f>
        <v>0</v>
      </c>
      <c r="E49" s="198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147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56</v>
      </c>
      <c r="C51" s="6"/>
      <c r="D51" s="60">
        <f>F51+H51+J51+L51+N51+P51+R51+T51+V51+X51</f>
        <v>0</v>
      </c>
      <c r="E51" s="198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147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57</v>
      </c>
      <c r="C53" s="6"/>
      <c r="D53" s="60"/>
      <c r="E53" s="147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58</v>
      </c>
      <c r="D54" s="60">
        <f>F54+H54+J54+L54+N54+P54+R54+T54+V54+X54</f>
        <v>0</v>
      </c>
      <c r="E54" s="198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59</v>
      </c>
      <c r="D55" s="60">
        <f>F55+H55+J55+L55+N55+P55+R55+T55+V55+X55</f>
        <v>0</v>
      </c>
      <c r="E55" s="198">
        <f>G55+I55+K55+M55+O55+Q55+S55+U55+W55+Y55</f>
        <v>-977753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-977753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5">
      <c r="A56" s="9"/>
      <c r="B56" s="7" t="s">
        <v>60</v>
      </c>
      <c r="C56" s="6"/>
      <c r="D56" s="61">
        <f t="shared" ref="D56:Y56" si="10">SUM(D54:D55)</f>
        <v>0</v>
      </c>
      <c r="E56" s="148">
        <f t="shared" si="10"/>
        <v>-977753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-977753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5">
      <c r="A57" s="9"/>
      <c r="B57" s="7"/>
      <c r="C57" s="6"/>
      <c r="D57" s="60"/>
      <c r="E57" s="147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61</v>
      </c>
      <c r="C58" s="6"/>
      <c r="D58" s="60"/>
      <c r="E58" s="147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62</v>
      </c>
      <c r="D59" s="60">
        <f>F59+H59+J59+L59+N59+P59+R59+T59+V59+X59</f>
        <v>0</v>
      </c>
      <c r="E59" s="198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5">
      <c r="A60" s="9">
        <v>27</v>
      </c>
      <c r="B60" s="11"/>
      <c r="C60" s="18" t="s">
        <v>63</v>
      </c>
      <c r="D60" s="60">
        <f>F60+H60+J60+L60+N60+P60+R60+T60+V60+X60</f>
        <v>0</v>
      </c>
      <c r="E60" s="198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5">
      <c r="A61" s="9"/>
      <c r="B61" s="62" t="s">
        <v>64</v>
      </c>
      <c r="C61" s="6"/>
      <c r="D61" s="61">
        <f t="shared" ref="D61:Y61" si="11">SUM(D59:D60)</f>
        <v>0</v>
      </c>
      <c r="E61" s="148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5">
      <c r="A62" s="9"/>
      <c r="B62" s="62"/>
      <c r="C62" s="6"/>
      <c r="D62" s="60"/>
      <c r="E62" s="147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37</v>
      </c>
      <c r="C63" s="6"/>
      <c r="D63" s="60"/>
      <c r="E63" s="147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65</v>
      </c>
      <c r="D64" s="60">
        <f>F64+H64+J64+L64+N64+P64+R64+T64+V64+X64</f>
        <v>0</v>
      </c>
      <c r="E64" s="198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66</v>
      </c>
      <c r="D65" s="60">
        <f>F65+H65+J65+L65+N65+P65+R65+T65+V65+X65</f>
        <v>0</v>
      </c>
      <c r="E65" s="198">
        <f>G65+I65+K65+M65+O65+Q65+S65+U65+W65+Y65</f>
        <v>1076449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86243</v>
      </c>
      <c r="R65" s="60"/>
      <c r="S65" s="38">
        <f>930206+60000</f>
        <v>990206</v>
      </c>
      <c r="T65" s="60"/>
      <c r="U65" s="38">
        <v>0</v>
      </c>
      <c r="V65" s="60"/>
      <c r="W65" s="38"/>
      <c r="X65" s="60"/>
      <c r="Y65" s="38"/>
    </row>
    <row r="66" spans="1:25" x14ac:dyDescent="0.25">
      <c r="A66" s="9"/>
      <c r="B66" s="7" t="s">
        <v>67</v>
      </c>
      <c r="C66" s="6"/>
      <c r="D66" s="61">
        <f t="shared" ref="D66:Y66" si="12">SUM(D64:D65)</f>
        <v>0</v>
      </c>
      <c r="E66" s="148">
        <f t="shared" si="12"/>
        <v>1076449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86243</v>
      </c>
      <c r="R66" s="61">
        <f t="shared" si="12"/>
        <v>0</v>
      </c>
      <c r="S66" s="39">
        <f t="shared" si="12"/>
        <v>990206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5">
      <c r="A67" s="9"/>
      <c r="B67" s="7"/>
      <c r="C67" s="6"/>
      <c r="D67" s="60"/>
      <c r="E67" s="147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68</v>
      </c>
      <c r="C68" s="6"/>
      <c r="D68" s="60"/>
      <c r="E68" s="147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69</v>
      </c>
      <c r="D69" s="60"/>
      <c r="E69" s="147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70</v>
      </c>
      <c r="D70" s="60">
        <f>F70+H70+J70+L70+N70+P70+R70+T70+V70+X70</f>
        <v>0</v>
      </c>
      <c r="E70" s="198">
        <f>G70+I70+K70+M70+O70+Q70+S70+U70+W70+Y70</f>
        <v>18630825.719999999</v>
      </c>
      <c r="F70" s="60"/>
      <c r="G70" s="38">
        <v>1955927.12</v>
      </c>
      <c r="H70" s="60"/>
      <c r="I70" s="38">
        <v>5679557.9500000002</v>
      </c>
      <c r="J70" s="60"/>
      <c r="K70" s="38">
        <v>0</v>
      </c>
      <c r="L70" s="60"/>
      <c r="M70" s="38">
        <v>0</v>
      </c>
      <c r="N70" s="60"/>
      <c r="O70" s="38">
        <v>2029682</v>
      </c>
      <c r="P70" s="60"/>
      <c r="Q70" s="38">
        <v>0</v>
      </c>
      <c r="R70" s="60"/>
      <c r="S70" s="38">
        <v>722248.91</v>
      </c>
      <c r="T70" s="60"/>
      <c r="U70" s="38">
        <f>-20535703+23536950</f>
        <v>3001247</v>
      </c>
      <c r="V70" s="60"/>
      <c r="W70" s="38">
        <v>-832910</v>
      </c>
      <c r="X70" s="60"/>
      <c r="Y70" s="38">
        <v>6075072.7400000002</v>
      </c>
    </row>
    <row r="71" spans="1:25" x14ac:dyDescent="0.25">
      <c r="A71" s="9">
        <v>31</v>
      </c>
      <c r="B71" s="3"/>
      <c r="C71" s="10" t="s">
        <v>71</v>
      </c>
      <c r="D71" s="60">
        <f>F71+H71+J71+L71+N71+P71+R71+T71+V71+X71</f>
        <v>0</v>
      </c>
      <c r="E71" s="198">
        <f>G71+I71+K71+M71+O71+Q71+S71+U71+W71+Y71</f>
        <v>-10853676.73</v>
      </c>
      <c r="F71" s="60"/>
      <c r="G71" s="38">
        <v>-1086087</v>
      </c>
      <c r="H71" s="60"/>
      <c r="I71" s="38">
        <v>-2849706</v>
      </c>
      <c r="J71" s="60"/>
      <c r="K71" s="38">
        <v>0</v>
      </c>
      <c r="L71" s="60"/>
      <c r="M71" s="38">
        <v>0</v>
      </c>
      <c r="N71" s="60"/>
      <c r="O71" s="38">
        <v>-1493640</v>
      </c>
      <c r="P71" s="60"/>
      <c r="Q71" s="38">
        <v>0</v>
      </c>
      <c r="R71" s="60"/>
      <c r="S71" s="38">
        <v>-250999</v>
      </c>
      <c r="T71" s="60"/>
      <c r="U71" s="38">
        <v>0</v>
      </c>
      <c r="V71" s="60"/>
      <c r="W71" s="38">
        <v>808257</v>
      </c>
      <c r="X71" s="60"/>
      <c r="Y71" s="38">
        <v>-5981501.7300000004</v>
      </c>
    </row>
    <row r="72" spans="1:25" x14ac:dyDescent="0.25">
      <c r="A72" s="9"/>
      <c r="B72" s="3"/>
      <c r="C72" s="55" t="s">
        <v>72</v>
      </c>
      <c r="D72" s="61">
        <f t="shared" ref="D72:Y72" si="13">SUM(D70:D71)</f>
        <v>0</v>
      </c>
      <c r="E72" s="148">
        <f t="shared" si="13"/>
        <v>7777148.9899999984</v>
      </c>
      <c r="F72" s="61">
        <f t="shared" si="13"/>
        <v>0</v>
      </c>
      <c r="G72" s="39">
        <f t="shared" si="13"/>
        <v>869840.12000000011</v>
      </c>
      <c r="H72" s="61">
        <f t="shared" si="13"/>
        <v>0</v>
      </c>
      <c r="I72" s="39">
        <f t="shared" si="13"/>
        <v>2829851.95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536042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471249.91000000003</v>
      </c>
      <c r="T72" s="61">
        <f t="shared" si="13"/>
        <v>0</v>
      </c>
      <c r="U72" s="39">
        <f t="shared" si="13"/>
        <v>3001247</v>
      </c>
      <c r="V72" s="61">
        <f t="shared" si="13"/>
        <v>0</v>
      </c>
      <c r="W72" s="39">
        <f t="shared" si="13"/>
        <v>-24653</v>
      </c>
      <c r="X72" s="61">
        <f t="shared" si="13"/>
        <v>0</v>
      </c>
      <c r="Y72" s="39">
        <f t="shared" si="13"/>
        <v>93571.009999999776</v>
      </c>
    </row>
    <row r="73" spans="1:25" x14ac:dyDescent="0.25">
      <c r="A73" s="9">
        <v>32</v>
      </c>
      <c r="B73" s="3"/>
      <c r="C73" s="10" t="s">
        <v>73</v>
      </c>
      <c r="D73" s="60">
        <f t="shared" ref="D73:D81" si="14">F73+H73+J73+L73+N73+P73+R73+T73+V73+X73</f>
        <v>0</v>
      </c>
      <c r="E73" s="198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74</v>
      </c>
      <c r="D74" s="60">
        <f t="shared" si="14"/>
        <v>0</v>
      </c>
      <c r="E74" s="198">
        <f t="shared" si="15"/>
        <v>-3501883</v>
      </c>
      <c r="F74" s="65"/>
      <c r="G74" s="66">
        <v>681960</v>
      </c>
      <c r="H74" s="65"/>
      <c r="I74" s="66">
        <f>-1814708-16058</f>
        <v>-1830766</v>
      </c>
      <c r="J74" s="65"/>
      <c r="K74" s="66">
        <v>0</v>
      </c>
      <c r="L74" s="65"/>
      <c r="M74" s="66">
        <v>0</v>
      </c>
      <c r="N74" s="65"/>
      <c r="O74" s="66">
        <v>67828</v>
      </c>
      <c r="P74" s="65"/>
      <c r="Q74" s="66">
        <v>0</v>
      </c>
      <c r="R74" s="65"/>
      <c r="S74" s="66">
        <v>-280599</v>
      </c>
      <c r="T74" s="65"/>
      <c r="U74" s="66">
        <v>-3213747</v>
      </c>
      <c r="V74" s="65"/>
      <c r="W74" s="66">
        <v>311093</v>
      </c>
      <c r="X74" s="65"/>
      <c r="Y74" s="66">
        <v>762348</v>
      </c>
    </row>
    <row r="75" spans="1:25" x14ac:dyDescent="0.25">
      <c r="A75" s="9">
        <v>34</v>
      </c>
      <c r="B75" s="3"/>
      <c r="C75" s="10" t="s">
        <v>75</v>
      </c>
      <c r="D75" s="60">
        <f t="shared" si="14"/>
        <v>0</v>
      </c>
      <c r="E75" s="161">
        <f t="shared" si="15"/>
        <v>1865400</v>
      </c>
      <c r="F75" s="65"/>
      <c r="G75" s="38">
        <v>46100</v>
      </c>
      <c r="H75" s="65"/>
      <c r="I75" s="38">
        <v>59000</v>
      </c>
      <c r="J75" s="65"/>
      <c r="K75" s="38">
        <v>0</v>
      </c>
      <c r="L75" s="65"/>
      <c r="M75" s="38">
        <v>0</v>
      </c>
      <c r="N75" s="65"/>
      <c r="O75" s="38">
        <v>0</v>
      </c>
      <c r="P75" s="65"/>
      <c r="Q75" s="38"/>
      <c r="R75" s="65"/>
      <c r="S75" s="38">
        <v>126900</v>
      </c>
      <c r="T75" s="65"/>
      <c r="U75" s="38">
        <v>1633400</v>
      </c>
      <c r="V75" s="65"/>
      <c r="W75" s="38">
        <v>0</v>
      </c>
      <c r="X75" s="65"/>
      <c r="Y75" s="38">
        <v>0</v>
      </c>
    </row>
    <row r="76" spans="1:25" x14ac:dyDescent="0.25">
      <c r="A76" s="9">
        <v>35</v>
      </c>
      <c r="B76" s="3"/>
      <c r="C76" s="10" t="s">
        <v>76</v>
      </c>
      <c r="D76" s="60">
        <f t="shared" si="14"/>
        <v>0</v>
      </c>
      <c r="E76" s="161">
        <f t="shared" si="15"/>
        <v>-1075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-1075</v>
      </c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77</v>
      </c>
      <c r="D77" s="60">
        <f t="shared" si="14"/>
        <v>0</v>
      </c>
      <c r="E77" s="161">
        <f t="shared" si="15"/>
        <v>-3933809</v>
      </c>
      <c r="F77" s="65"/>
      <c r="G77" s="38"/>
      <c r="H77" s="65"/>
      <c r="I77" s="38">
        <f>-3036809-897000</f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0</v>
      </c>
      <c r="V77" s="65"/>
      <c r="W77" s="38"/>
      <c r="X77" s="65"/>
      <c r="Y77" s="38"/>
    </row>
    <row r="78" spans="1:25" x14ac:dyDescent="0.25">
      <c r="A78" s="9">
        <v>37</v>
      </c>
      <c r="B78" s="3"/>
      <c r="C78" s="10" t="s">
        <v>78</v>
      </c>
      <c r="D78" s="60">
        <f t="shared" si="14"/>
        <v>0</v>
      </c>
      <c r="E78" s="198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79</v>
      </c>
      <c r="D79" s="60">
        <f t="shared" si="14"/>
        <v>0</v>
      </c>
      <c r="E79" s="198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80</v>
      </c>
      <c r="D80" s="60">
        <f t="shared" si="14"/>
        <v>0</v>
      </c>
      <c r="E80" s="198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81</v>
      </c>
      <c r="D81" s="60">
        <f t="shared" si="14"/>
        <v>0</v>
      </c>
      <c r="E81" s="198">
        <f t="shared" si="15"/>
        <v>-829139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f>-839139+10000</f>
        <v>-829139</v>
      </c>
      <c r="V81" s="60"/>
      <c r="W81" s="38"/>
      <c r="X81" s="60"/>
      <c r="Y81" s="38"/>
    </row>
    <row r="82" spans="1:26" s="49" customFormat="1" ht="20.25" customHeight="1" thickBot="1" x14ac:dyDescent="0.3">
      <c r="A82" s="89"/>
      <c r="B82" s="90"/>
      <c r="C82" s="91" t="s">
        <v>178</v>
      </c>
      <c r="D82" s="92">
        <f>D16+D24+D29+D36+D43+D45+D47+D49</f>
        <v>0</v>
      </c>
      <c r="E82" s="112">
        <f>SUM(E72:E81)+E16+E24+E29+E36+E43+E45+E47+E49+E51+E56+E61+E66</f>
        <v>-1067813.3500000006</v>
      </c>
      <c r="F82" s="92">
        <f>F16+F24+F29+F36+F43+F45+F47+F49</f>
        <v>0</v>
      </c>
      <c r="G82" s="93">
        <f>SUM(G72:G81)+G16+G24+G29+G36+G43+G45+G47+G49+G51+G56+G61+G66</f>
        <v>-2910276.9799999995</v>
      </c>
      <c r="H82" s="92">
        <f>H16+H24+H29+H36+H43+H45+H47+H49</f>
        <v>0</v>
      </c>
      <c r="I82" s="93">
        <f>SUM(I72:I81)+I16+I24+I29+I36+I43+I45+I47+I49+I51+I56+I61+I66</f>
        <v>-4766135.3899999997</v>
      </c>
      <c r="J82" s="92">
        <f>J16+J24+J29+J36+J43+J45+J47+J49</f>
        <v>0</v>
      </c>
      <c r="K82" s="93">
        <f>SUM(K72:K81)+K16+K24+K29+K36+K43+K45+K47+K49+K51+K56+K61+K66</f>
        <v>-44383.68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942740.59999999986</v>
      </c>
      <c r="P82" s="92">
        <f>P16+P24+P29+P36+P43+P45+P47+P49</f>
        <v>0</v>
      </c>
      <c r="Q82" s="93">
        <f>SUM(Q72:Q81)+Q16+Q24+Q29+Q36+Q43+Q45+Q47+Q49+Q51+Q56+Q61+Q66</f>
        <v>-910149.21</v>
      </c>
      <c r="R82" s="92">
        <f>R16+R24+R29+R36+R43+R45+R47+R49</f>
        <v>0</v>
      </c>
      <c r="S82" s="93">
        <f>SUM(S72:S81)+S16+S24+S29+S36+S43+S45+S47+S49+S51+S56+S61+S66</f>
        <v>4885745.0199999996</v>
      </c>
      <c r="T82" s="92">
        <f>T16+T24+T29+T36+T43+T45+T47+T49</f>
        <v>0</v>
      </c>
      <c r="U82" s="93">
        <f>SUM(U72:U81)+U16+U24+U29+U36+U43+U45+U47+U49+U51+U56+U61+U66</f>
        <v>590686</v>
      </c>
      <c r="V82" s="92">
        <f>V16+V24+V29+V36+V43+V45+V47+V49</f>
        <v>0</v>
      </c>
      <c r="W82" s="93">
        <f>SUM(W72:W81)+W16+W24+W29+W36+W43+W45+W47+W49+W51+W56+W61+W66</f>
        <v>288041.27999999997</v>
      </c>
      <c r="X82" s="92">
        <f>X16+X24+X29+X36+X43+X45+X47+X49</f>
        <v>0</v>
      </c>
      <c r="Y82" s="93">
        <f>SUM(Y72:Y81)+Y16+Y24+Y29+Y36+Y43+Y45+Y47+Y49+Y51+Y56+Y61+Y66</f>
        <v>855919.00999999978</v>
      </c>
      <c r="Z82" s="94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 t="s">
        <v>175</v>
      </c>
      <c r="B85" s="3"/>
      <c r="F85" s="31"/>
      <c r="G85" s="31"/>
      <c r="H85" s="31"/>
      <c r="I85" s="31"/>
      <c r="L85" s="45"/>
    </row>
    <row r="86" spans="1:26" s="3" customFormat="1" x14ac:dyDescent="0.25">
      <c r="A86" s="172"/>
      <c r="C86" s="10" t="s">
        <v>176</v>
      </c>
      <c r="D86" s="173">
        <f>F86+H86+J86+L86+N86+P86+R86+T86+V86+X86</f>
        <v>0</v>
      </c>
      <c r="E86" s="201">
        <f>G86+I86+K86+M86+O86+Q86+S86+U86+W86+Y86</f>
        <v>5986682.6399999997</v>
      </c>
      <c r="F86" s="173"/>
      <c r="G86" s="173"/>
      <c r="H86" s="173"/>
      <c r="I86" s="173">
        <v>229124</v>
      </c>
      <c r="J86" s="173"/>
      <c r="K86" s="173"/>
      <c r="L86" s="173"/>
      <c r="M86" s="173"/>
      <c r="N86" s="173"/>
      <c r="O86" s="173"/>
      <c r="P86" s="173"/>
      <c r="Q86" s="173"/>
      <c r="R86" s="173"/>
      <c r="S86" s="173">
        <v>5825473</v>
      </c>
      <c r="T86" s="173"/>
      <c r="U86" s="173"/>
      <c r="V86" s="173"/>
      <c r="W86" s="173">
        <f>-92567.36+24653</f>
        <v>-67914.36</v>
      </c>
      <c r="X86" s="173"/>
      <c r="Y86" s="173"/>
    </row>
    <row r="87" spans="1:26" s="3" customFormat="1" x14ac:dyDescent="0.25">
      <c r="A87" s="172"/>
      <c r="C87" s="10" t="s">
        <v>74</v>
      </c>
      <c r="D87" s="174">
        <v>0</v>
      </c>
      <c r="E87" s="199">
        <f>G87+I87+K87+M87+O87+Q87+S87+U87+W87+Y87</f>
        <v>0</v>
      </c>
      <c r="F87" s="174">
        <v>0</v>
      </c>
      <c r="G87" s="174"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f>U87+W87+Y87+AA87+AC87+AE87+AG87+AI87+AK87+AM87</f>
        <v>0</v>
      </c>
      <c r="T87" s="174">
        <f>V87+X87+Z87+AB87+AD87+AF87+AH87+AJ87+AL87+AN87</f>
        <v>0</v>
      </c>
      <c r="U87" s="174"/>
      <c r="V87" s="174"/>
      <c r="W87" s="174"/>
      <c r="X87" s="174"/>
      <c r="Y87" s="174"/>
    </row>
    <row r="88" spans="1:26" s="3" customFormat="1" x14ac:dyDescent="0.25">
      <c r="A88" s="172"/>
      <c r="C88" s="10" t="s">
        <v>75</v>
      </c>
      <c r="D88" s="175">
        <v>0</v>
      </c>
      <c r="E88" s="200">
        <f>G88+I88+K88+M88+O88+Q88+S88+U88+W88+Y88</f>
        <v>-5840200</v>
      </c>
      <c r="F88" s="175">
        <v>0</v>
      </c>
      <c r="G88" s="175">
        <v>0</v>
      </c>
      <c r="H88" s="175">
        <v>0</v>
      </c>
      <c r="I88" s="175">
        <v>-9800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-5830400</v>
      </c>
      <c r="T88" s="175">
        <f>V88+X88+Z88+AB88+AD88+AF88+AH88+AJ88+AL88+AN88</f>
        <v>0</v>
      </c>
      <c r="U88" s="175"/>
      <c r="V88" s="175"/>
      <c r="W88" s="175"/>
      <c r="X88" s="175"/>
      <c r="Y88" s="175"/>
    </row>
    <row r="89" spans="1:26" s="143" customFormat="1" ht="20.25" customHeight="1" x14ac:dyDescent="0.25">
      <c r="A89" s="186"/>
      <c r="B89" s="187"/>
      <c r="C89" s="189" t="s">
        <v>184</v>
      </c>
      <c r="D89" s="188">
        <f>SUM(D86:D88)</f>
        <v>0</v>
      </c>
      <c r="E89" s="188">
        <f t="shared" ref="E89:M89" si="16">SUM(E86:E88)</f>
        <v>146482.63999999966</v>
      </c>
      <c r="F89" s="188">
        <f t="shared" si="16"/>
        <v>0</v>
      </c>
      <c r="G89" s="188">
        <f t="shared" si="16"/>
        <v>0</v>
      </c>
      <c r="H89" s="188">
        <f t="shared" si="16"/>
        <v>0</v>
      </c>
      <c r="I89" s="188">
        <f t="shared" si="16"/>
        <v>219324</v>
      </c>
      <c r="J89" s="188">
        <f t="shared" si="16"/>
        <v>0</v>
      </c>
      <c r="K89" s="188">
        <f t="shared" si="16"/>
        <v>0</v>
      </c>
      <c r="L89" s="188">
        <f t="shared" si="16"/>
        <v>0</v>
      </c>
      <c r="M89" s="188">
        <f t="shared" si="16"/>
        <v>0</v>
      </c>
      <c r="N89" s="188">
        <f t="shared" ref="N89:Y89" si="17">SUM(N86:N88)</f>
        <v>0</v>
      </c>
      <c r="O89" s="188">
        <f t="shared" si="17"/>
        <v>0</v>
      </c>
      <c r="P89" s="188">
        <f t="shared" si="17"/>
        <v>0</v>
      </c>
      <c r="Q89" s="188">
        <f t="shared" si="17"/>
        <v>0</v>
      </c>
      <c r="R89" s="188">
        <f t="shared" si="17"/>
        <v>0</v>
      </c>
      <c r="S89" s="188">
        <f t="shared" si="17"/>
        <v>-4927</v>
      </c>
      <c r="T89" s="188">
        <f t="shared" si="17"/>
        <v>0</v>
      </c>
      <c r="U89" s="188">
        <f t="shared" si="17"/>
        <v>0</v>
      </c>
      <c r="V89" s="188">
        <f t="shared" si="17"/>
        <v>0</v>
      </c>
      <c r="W89" s="188">
        <f t="shared" si="17"/>
        <v>-67914.36</v>
      </c>
      <c r="X89" s="188">
        <f t="shared" si="17"/>
        <v>0</v>
      </c>
      <c r="Y89" s="188">
        <f t="shared" si="17"/>
        <v>0</v>
      </c>
    </row>
    <row r="90" spans="1:26" x14ac:dyDescent="0.25">
      <c r="A90" s="4"/>
      <c r="B90" s="3"/>
      <c r="F90" s="31"/>
      <c r="G90" s="31"/>
      <c r="H90" s="31"/>
      <c r="I90" s="31"/>
    </row>
    <row r="91" spans="1:26" s="143" customFormat="1" ht="20.25" customHeight="1" x14ac:dyDescent="0.25">
      <c r="A91" s="186"/>
      <c r="B91" s="187"/>
      <c r="C91" s="185" t="s">
        <v>185</v>
      </c>
      <c r="D91" s="188">
        <f>+D82+D89</f>
        <v>0</v>
      </c>
      <c r="E91" s="188">
        <f t="shared" ref="E91:M91" si="18">+E82+E89</f>
        <v>-921330.71000000089</v>
      </c>
      <c r="F91" s="188">
        <f t="shared" si="18"/>
        <v>0</v>
      </c>
      <c r="G91" s="188">
        <f t="shared" si="18"/>
        <v>-2910276.9799999995</v>
      </c>
      <c r="H91" s="188">
        <f t="shared" si="18"/>
        <v>0</v>
      </c>
      <c r="I91" s="188">
        <f t="shared" si="18"/>
        <v>-4546811.3899999997</v>
      </c>
      <c r="J91" s="188">
        <f t="shared" si="18"/>
        <v>0</v>
      </c>
      <c r="K91" s="188">
        <f t="shared" si="18"/>
        <v>-44383.68</v>
      </c>
      <c r="L91" s="188">
        <f t="shared" si="18"/>
        <v>0</v>
      </c>
      <c r="M91" s="188">
        <f t="shared" si="18"/>
        <v>0</v>
      </c>
      <c r="N91" s="188">
        <f t="shared" ref="N91:Y91" si="19">+N82+N89</f>
        <v>0</v>
      </c>
      <c r="O91" s="188">
        <f t="shared" si="19"/>
        <v>942740.59999999986</v>
      </c>
      <c r="P91" s="188">
        <f t="shared" si="19"/>
        <v>0</v>
      </c>
      <c r="Q91" s="188">
        <f t="shared" si="19"/>
        <v>-910149.21</v>
      </c>
      <c r="R91" s="188">
        <f t="shared" si="19"/>
        <v>0</v>
      </c>
      <c r="S91" s="188">
        <f t="shared" si="19"/>
        <v>4880818.0199999996</v>
      </c>
      <c r="T91" s="188">
        <f t="shared" si="19"/>
        <v>0</v>
      </c>
      <c r="U91" s="188">
        <f t="shared" si="19"/>
        <v>590686</v>
      </c>
      <c r="V91" s="188">
        <f t="shared" si="19"/>
        <v>0</v>
      </c>
      <c r="W91" s="188">
        <f t="shared" si="19"/>
        <v>220126.91999999998</v>
      </c>
      <c r="X91" s="188">
        <f t="shared" si="19"/>
        <v>0</v>
      </c>
      <c r="Y91" s="188">
        <f t="shared" si="19"/>
        <v>855919.00999999978</v>
      </c>
    </row>
    <row r="92" spans="1:26" x14ac:dyDescent="0.25">
      <c r="A92" s="4"/>
      <c r="B92" s="3"/>
      <c r="D92" s="31">
        <v>0</v>
      </c>
      <c r="E92" s="191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5">
      <c r="A93" s="4"/>
      <c r="B93" s="3"/>
    </row>
    <row r="94" spans="1:26" x14ac:dyDescent="0.25">
      <c r="A94" s="4"/>
      <c r="B94" s="3"/>
      <c r="E94" s="191">
        <f>+E74+E12+E20</f>
        <v>-6045035.3399999999</v>
      </c>
      <c r="G94" s="191">
        <f>+G12+G20+G74</f>
        <v>-3826217.0999999996</v>
      </c>
      <c r="I94" s="191">
        <f>+I12+I20+I74</f>
        <v>-3721178.34</v>
      </c>
      <c r="K94" s="191">
        <f>+K12+K20+K74</f>
        <v>-44383.68</v>
      </c>
      <c r="M94" s="191">
        <f>+M12+M20+M74</f>
        <v>0</v>
      </c>
      <c r="O94" s="191">
        <f>+O12+O20+O74</f>
        <v>406698.60000000003</v>
      </c>
      <c r="Q94" s="191">
        <f>+Q12+Q20+Q74</f>
        <v>-18639.21</v>
      </c>
      <c r="S94" s="191">
        <f>+S12+S20+S74</f>
        <v>3297389.1099999994</v>
      </c>
      <c r="U94" s="191">
        <f>+U12+U20+U74</f>
        <v>-3213747</v>
      </c>
      <c r="W94" s="191">
        <f>+W12+W20+W74</f>
        <v>312694.28000000003</v>
      </c>
      <c r="Y94" s="191">
        <f>+Y12+Y20+Y74</f>
        <v>762348</v>
      </c>
    </row>
    <row r="95" spans="1:26" x14ac:dyDescent="0.25">
      <c r="A95" s="4"/>
      <c r="B95" s="3"/>
      <c r="E95" s="191">
        <v>-6096854</v>
      </c>
    </row>
    <row r="96" spans="1:26" x14ac:dyDescent="0.25">
      <c r="A96" s="4"/>
      <c r="B96" s="3"/>
      <c r="E96" s="191">
        <f>+E94-E95</f>
        <v>51818.660000000149</v>
      </c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34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E75" activePane="bottomRight" state="frozen"/>
      <selection activeCell="A5" sqref="A5"/>
      <selection pane="topRight" activeCell="A5" sqref="A5"/>
      <selection pane="bottomLeft" activeCell="A5" sqref="A5"/>
      <selection pane="bottomRight" activeCell="E81" sqref="E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152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174">
        <v>46315684</v>
      </c>
      <c r="E11" s="174">
        <v>102507080</v>
      </c>
      <c r="F11" s="60">
        <f>H11-D11</f>
        <v>0</v>
      </c>
      <c r="G11" s="37">
        <f>I11-E11</f>
        <v>0</v>
      </c>
      <c r="H11" s="65">
        <f t="shared" ref="H11:I15" si="0">D11</f>
        <v>46315684</v>
      </c>
      <c r="I11" s="66">
        <f t="shared" si="0"/>
        <v>102507080</v>
      </c>
      <c r="J11" s="37"/>
      <c r="K11" s="38"/>
      <c r="L11" s="60">
        <f t="shared" ref="L11:M15" si="1">H11+J11</f>
        <v>46315684</v>
      </c>
      <c r="M11" s="38">
        <f t="shared" si="1"/>
        <v>102507080</v>
      </c>
    </row>
    <row r="12" spans="1:26" x14ac:dyDescent="0.25">
      <c r="A12" s="9">
        <v>2</v>
      </c>
      <c r="B12" s="7"/>
      <c r="C12" s="18" t="s">
        <v>29</v>
      </c>
      <c r="D12" s="174">
        <v>0</v>
      </c>
      <c r="E12" s="174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30</v>
      </c>
      <c r="D13" s="174">
        <v>20977276</v>
      </c>
      <c r="E13" s="174">
        <v>47574965</v>
      </c>
      <c r="F13" s="60">
        <f t="shared" si="2"/>
        <v>0</v>
      </c>
      <c r="G13" s="37">
        <f t="shared" si="2"/>
        <v>0</v>
      </c>
      <c r="H13" s="65">
        <f t="shared" si="0"/>
        <v>20977276</v>
      </c>
      <c r="I13" s="66">
        <f t="shared" si="0"/>
        <v>47574965</v>
      </c>
      <c r="J13" s="37"/>
      <c r="K13" s="38"/>
      <c r="L13" s="60">
        <f t="shared" si="1"/>
        <v>20977276</v>
      </c>
      <c r="M13" s="38">
        <f t="shared" si="1"/>
        <v>47574965</v>
      </c>
    </row>
    <row r="14" spans="1:26" x14ac:dyDescent="0.25">
      <c r="A14" s="9">
        <v>4</v>
      </c>
      <c r="B14" s="7"/>
      <c r="C14" s="18" t="s">
        <v>31</v>
      </c>
      <c r="D14" s="174">
        <v>0</v>
      </c>
      <c r="E14" s="174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32</v>
      </c>
      <c r="D15" s="174">
        <v>0</v>
      </c>
      <c r="E15" s="174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33</v>
      </c>
      <c r="C16" s="6"/>
      <c r="D16" s="204">
        <v>67292960</v>
      </c>
      <c r="E16" s="204">
        <v>150082045</v>
      </c>
      <c r="F16" s="61">
        <f t="shared" ref="F16:M16" si="3">SUM(F11:F15)</f>
        <v>0</v>
      </c>
      <c r="G16" s="39">
        <f t="shared" si="3"/>
        <v>0</v>
      </c>
      <c r="H16" s="61">
        <f>SUM(H11:H15)</f>
        <v>67292960</v>
      </c>
      <c r="I16" s="39">
        <f>SUM(I11:I15)</f>
        <v>150082045</v>
      </c>
      <c r="J16" s="151">
        <f t="shared" si="3"/>
        <v>0</v>
      </c>
      <c r="K16" s="39">
        <f t="shared" si="3"/>
        <v>0</v>
      </c>
      <c r="L16" s="61">
        <f t="shared" si="3"/>
        <v>67292960</v>
      </c>
      <c r="M16" s="39">
        <f t="shared" si="3"/>
        <v>150082045</v>
      </c>
    </row>
    <row r="17" spans="1:13" x14ac:dyDescent="0.25">
      <c r="A17" s="9"/>
      <c r="B17" s="7"/>
      <c r="C17" s="6"/>
      <c r="D17" s="177"/>
      <c r="E17" s="177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34</v>
      </c>
      <c r="C18" s="6"/>
      <c r="D18" s="177"/>
      <c r="E18" s="177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174">
        <v>-39908254</v>
      </c>
      <c r="E19" s="174">
        <v>-87250857</v>
      </c>
      <c r="F19" s="60">
        <f>H19-D19</f>
        <v>0</v>
      </c>
      <c r="G19" s="37">
        <f>I19-E19</f>
        <v>0</v>
      </c>
      <c r="H19" s="65">
        <f t="shared" si="4"/>
        <v>-39908254</v>
      </c>
      <c r="I19" s="66">
        <f t="shared" si="4"/>
        <v>-87250857</v>
      </c>
      <c r="J19" s="37">
        <v>0</v>
      </c>
      <c r="K19" s="38">
        <v>0</v>
      </c>
      <c r="L19" s="60">
        <f t="shared" ref="L19:M23" si="5">H19+J19</f>
        <v>-39908254</v>
      </c>
      <c r="M19" s="38">
        <f t="shared" si="5"/>
        <v>-87250857</v>
      </c>
    </row>
    <row r="20" spans="1:13" x14ac:dyDescent="0.25">
      <c r="A20" s="9">
        <v>7</v>
      </c>
      <c r="B20" s="7"/>
      <c r="C20" s="18" t="s">
        <v>29</v>
      </c>
      <c r="D20" s="174">
        <v>0</v>
      </c>
      <c r="E20" s="174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174">
        <v>-28051566</v>
      </c>
      <c r="E21" s="174">
        <v>-62954183</v>
      </c>
      <c r="F21" s="60">
        <f t="shared" si="6"/>
        <v>0</v>
      </c>
      <c r="G21" s="37">
        <f t="shared" si="6"/>
        <v>0</v>
      </c>
      <c r="H21" s="65">
        <f t="shared" si="4"/>
        <v>-28051566</v>
      </c>
      <c r="I21" s="66">
        <f t="shared" si="4"/>
        <v>-62954183</v>
      </c>
      <c r="J21" s="37"/>
      <c r="K21" s="38"/>
      <c r="L21" s="60">
        <f t="shared" si="5"/>
        <v>-28051566</v>
      </c>
      <c r="M21" s="38">
        <f t="shared" si="5"/>
        <v>-62954183</v>
      </c>
    </row>
    <row r="22" spans="1:13" x14ac:dyDescent="0.25">
      <c r="A22" s="9">
        <v>9</v>
      </c>
      <c r="B22" s="7"/>
      <c r="C22" s="18" t="s">
        <v>31</v>
      </c>
      <c r="D22" s="174">
        <v>0</v>
      </c>
      <c r="E22" s="174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174">
        <v>267285</v>
      </c>
      <c r="E23" s="174">
        <v>584457</v>
      </c>
      <c r="F23" s="60">
        <f t="shared" si="6"/>
        <v>0</v>
      </c>
      <c r="G23" s="37">
        <f t="shared" si="6"/>
        <v>0</v>
      </c>
      <c r="H23" s="65">
        <f t="shared" si="4"/>
        <v>267285</v>
      </c>
      <c r="I23" s="66">
        <f t="shared" si="4"/>
        <v>584457</v>
      </c>
      <c r="J23" s="37"/>
      <c r="K23" s="38"/>
      <c r="L23" s="60">
        <f t="shared" si="5"/>
        <v>267285</v>
      </c>
      <c r="M23" s="38">
        <f t="shared" si="5"/>
        <v>584457</v>
      </c>
    </row>
    <row r="24" spans="1:13" x14ac:dyDescent="0.25">
      <c r="A24" s="9"/>
      <c r="B24" s="7" t="s">
        <v>36</v>
      </c>
      <c r="C24" s="6"/>
      <c r="D24" s="204">
        <v>-67692535</v>
      </c>
      <c r="E24" s="204">
        <v>-149620583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-67692535</v>
      </c>
      <c r="I24" s="39">
        <f>SUM(I19:I23)</f>
        <v>-149620583</v>
      </c>
      <c r="J24" s="151">
        <f t="shared" si="7"/>
        <v>0</v>
      </c>
      <c r="K24" s="39">
        <f t="shared" si="7"/>
        <v>0</v>
      </c>
      <c r="L24" s="61">
        <f t="shared" si="7"/>
        <v>-67692535</v>
      </c>
      <c r="M24" s="39">
        <f t="shared" si="7"/>
        <v>-149620583</v>
      </c>
    </row>
    <row r="25" spans="1:13" x14ac:dyDescent="0.25">
      <c r="A25" s="9"/>
      <c r="B25" s="7"/>
      <c r="C25" s="6"/>
      <c r="D25" s="177"/>
      <c r="E25" s="177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37</v>
      </c>
      <c r="C26" s="6"/>
      <c r="D26" s="177"/>
      <c r="E26" s="177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174">
        <v>0</v>
      </c>
      <c r="E27" s="174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39</v>
      </c>
      <c r="D28" s="174">
        <v>0</v>
      </c>
      <c r="E28" s="174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40</v>
      </c>
      <c r="C29" s="6"/>
      <c r="D29" s="204">
        <v>0</v>
      </c>
      <c r="E29" s="204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7"/>
      <c r="E30" s="177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41</v>
      </c>
      <c r="C31" s="6"/>
      <c r="D31" s="177"/>
      <c r="E31" s="177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174">
        <v>3584373</v>
      </c>
      <c r="E32" s="174">
        <v>8423805</v>
      </c>
      <c r="F32" s="60">
        <f>H32-D32</f>
        <v>0</v>
      </c>
      <c r="G32" s="37">
        <f>I32-E32</f>
        <v>0</v>
      </c>
      <c r="H32" s="65">
        <f t="shared" ref="H32:I35" si="9">D32</f>
        <v>3584373</v>
      </c>
      <c r="I32" s="66">
        <f t="shared" si="9"/>
        <v>8423805</v>
      </c>
      <c r="J32" s="37"/>
      <c r="K32" s="38"/>
      <c r="L32" s="60">
        <f t="shared" ref="L32:M35" si="10">H32+J32</f>
        <v>3584373</v>
      </c>
      <c r="M32" s="38">
        <f t="shared" si="10"/>
        <v>8423805</v>
      </c>
    </row>
    <row r="33" spans="1:13" x14ac:dyDescent="0.25">
      <c r="A33" s="9">
        <v>14</v>
      </c>
      <c r="B33" s="7"/>
      <c r="C33" s="18" t="s">
        <v>43</v>
      </c>
      <c r="D33" s="174">
        <v>-3560162</v>
      </c>
      <c r="E33" s="174">
        <v>-8319759</v>
      </c>
      <c r="F33" s="60">
        <f t="shared" ref="F33:G35" si="11">H33-D33</f>
        <v>0</v>
      </c>
      <c r="G33" s="37">
        <f t="shared" si="11"/>
        <v>0</v>
      </c>
      <c r="H33" s="65">
        <f t="shared" si="9"/>
        <v>-3560162</v>
      </c>
      <c r="I33" s="66">
        <f t="shared" si="9"/>
        <v>-8319759</v>
      </c>
      <c r="J33" s="37"/>
      <c r="K33" s="38"/>
      <c r="L33" s="60">
        <f t="shared" si="10"/>
        <v>-3560162</v>
      </c>
      <c r="M33" s="38">
        <f t="shared" si="10"/>
        <v>-8319759</v>
      </c>
    </row>
    <row r="34" spans="1:13" x14ac:dyDescent="0.25">
      <c r="A34" s="9">
        <v>15</v>
      </c>
      <c r="B34" s="7"/>
      <c r="C34" s="18" t="s">
        <v>44</v>
      </c>
      <c r="D34" s="174">
        <v>0</v>
      </c>
      <c r="E34" s="174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45</v>
      </c>
      <c r="D35" s="174">
        <v>0</v>
      </c>
      <c r="E35" s="174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46</v>
      </c>
      <c r="C36" s="6"/>
      <c r="D36" s="204">
        <v>24211</v>
      </c>
      <c r="E36" s="204">
        <v>104046</v>
      </c>
      <c r="F36" s="61">
        <f>SUM(F32:F35)</f>
        <v>0</v>
      </c>
      <c r="G36" s="39">
        <f>SUM(G32:G35)</f>
        <v>0</v>
      </c>
      <c r="H36" s="61">
        <f>SUM(H32:H35)</f>
        <v>24211</v>
      </c>
      <c r="I36" s="39">
        <f>SUM(I32:I35)</f>
        <v>104046</v>
      </c>
      <c r="J36" s="151">
        <f>SUM(J32:J34)</f>
        <v>0</v>
      </c>
      <c r="K36" s="39">
        <f>SUM(K32:K34)</f>
        <v>0</v>
      </c>
      <c r="L36" s="61">
        <f>SUM(L32:L35)</f>
        <v>24211</v>
      </c>
      <c r="M36" s="39">
        <f>SUM(M32:M35)</f>
        <v>104046</v>
      </c>
    </row>
    <row r="37" spans="1:13" x14ac:dyDescent="0.25">
      <c r="A37" s="9"/>
      <c r="B37" s="7"/>
      <c r="C37" s="6"/>
      <c r="D37" s="177"/>
      <c r="E37" s="177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177"/>
      <c r="E38" s="177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174">
        <v>533539</v>
      </c>
      <c r="E39" s="174">
        <v>866331</v>
      </c>
      <c r="F39" s="60">
        <f t="shared" ref="F39:G41" si="13">H39-D39</f>
        <v>0</v>
      </c>
      <c r="G39" s="37">
        <f t="shared" si="13"/>
        <v>0</v>
      </c>
      <c r="H39" s="65">
        <f t="shared" si="12"/>
        <v>533539</v>
      </c>
      <c r="I39" s="66">
        <f t="shared" si="12"/>
        <v>866331</v>
      </c>
      <c r="J39" s="37"/>
      <c r="K39" s="38"/>
      <c r="L39" s="60">
        <f t="shared" ref="L39:M41" si="14">H39+J39</f>
        <v>533539</v>
      </c>
      <c r="M39" s="38">
        <f t="shared" si="14"/>
        <v>866331</v>
      </c>
    </row>
    <row r="40" spans="1:13" ht="22.5" customHeight="1" x14ac:dyDescent="0.25">
      <c r="A40" s="9">
        <v>18</v>
      </c>
      <c r="B40" s="7"/>
      <c r="C40" s="18" t="s">
        <v>49</v>
      </c>
      <c r="D40" s="174">
        <v>-177299</v>
      </c>
      <c r="E40" s="174">
        <v>-126892</v>
      </c>
      <c r="F40" s="60">
        <f t="shared" si="13"/>
        <v>0</v>
      </c>
      <c r="G40" s="37">
        <f t="shared" si="13"/>
        <v>0</v>
      </c>
      <c r="H40" s="65">
        <f t="shared" si="12"/>
        <v>-177299</v>
      </c>
      <c r="I40" s="66">
        <f t="shared" si="12"/>
        <v>-126892</v>
      </c>
      <c r="J40" s="37"/>
      <c r="K40" s="38"/>
      <c r="L40" s="60">
        <f t="shared" si="14"/>
        <v>-177299</v>
      </c>
      <c r="M40" s="38">
        <f t="shared" si="14"/>
        <v>-126892</v>
      </c>
    </row>
    <row r="41" spans="1:13" x14ac:dyDescent="0.25">
      <c r="A41" s="9">
        <v>19</v>
      </c>
      <c r="B41" s="7"/>
      <c r="C41" s="18" t="s">
        <v>50</v>
      </c>
      <c r="D41" s="174">
        <v>0</v>
      </c>
      <c r="E41" s="174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51</v>
      </c>
      <c r="D42" s="204">
        <v>-177299</v>
      </c>
      <c r="E42" s="204">
        <v>-126892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-177299</v>
      </c>
      <c r="I42" s="39">
        <f>SUM(I40:I41)</f>
        <v>-126892</v>
      </c>
      <c r="J42" s="151">
        <f t="shared" si="15"/>
        <v>0</v>
      </c>
      <c r="K42" s="39">
        <f t="shared" si="15"/>
        <v>0</v>
      </c>
      <c r="L42" s="61">
        <f t="shared" si="15"/>
        <v>-177299</v>
      </c>
      <c r="M42" s="39">
        <f t="shared" si="15"/>
        <v>-126892</v>
      </c>
    </row>
    <row r="43" spans="1:13" ht="21" customHeight="1" x14ac:dyDescent="0.25">
      <c r="A43" s="9"/>
      <c r="B43" s="7" t="s">
        <v>52</v>
      </c>
      <c r="C43" s="6"/>
      <c r="D43" s="204">
        <v>356240</v>
      </c>
      <c r="E43" s="204">
        <v>739439</v>
      </c>
      <c r="F43" s="61">
        <f t="shared" ref="F43:M43" si="16">F42+F39</f>
        <v>0</v>
      </c>
      <c r="G43" s="39">
        <f t="shared" si="16"/>
        <v>0</v>
      </c>
      <c r="H43" s="61">
        <f>H42+H39</f>
        <v>356240</v>
      </c>
      <c r="I43" s="39">
        <f>I42+I39</f>
        <v>739439</v>
      </c>
      <c r="J43" s="151">
        <f t="shared" si="16"/>
        <v>0</v>
      </c>
      <c r="K43" s="39">
        <f t="shared" si="16"/>
        <v>0</v>
      </c>
      <c r="L43" s="61">
        <f t="shared" si="16"/>
        <v>356240</v>
      </c>
      <c r="M43" s="39">
        <f t="shared" si="16"/>
        <v>739439</v>
      </c>
    </row>
    <row r="44" spans="1:13" x14ac:dyDescent="0.25">
      <c r="A44" s="9"/>
      <c r="B44" s="7"/>
      <c r="C44" s="6"/>
      <c r="D44" s="177"/>
      <c r="E44" s="177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174">
        <v>0</v>
      </c>
      <c r="E45" s="174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7"/>
      <c r="E46" s="177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174">
        <v>0</v>
      </c>
      <c r="E47" s="174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7"/>
      <c r="E48" s="177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174">
        <v>19124</v>
      </c>
      <c r="E49" s="174">
        <v>41342.492687999998</v>
      </c>
      <c r="F49" s="60">
        <f>H49-D49</f>
        <v>0</v>
      </c>
      <c r="G49" s="37">
        <f>I49-E49</f>
        <v>0</v>
      </c>
      <c r="H49" s="65">
        <f>D49</f>
        <v>19124</v>
      </c>
      <c r="I49" s="66">
        <f>E49</f>
        <v>41342.492687999998</v>
      </c>
      <c r="J49" s="37"/>
      <c r="K49" s="38"/>
      <c r="L49" s="60">
        <f>H49+J49</f>
        <v>19124</v>
      </c>
      <c r="M49" s="38">
        <f>I49+K49</f>
        <v>41342.492687999998</v>
      </c>
    </row>
    <row r="50" spans="1:15" x14ac:dyDescent="0.25">
      <c r="A50" s="9"/>
      <c r="B50" s="7"/>
      <c r="C50" s="6"/>
      <c r="D50" s="177"/>
      <c r="E50" s="177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174">
        <v>-267285</v>
      </c>
      <c r="E51" s="174">
        <v>-584457</v>
      </c>
      <c r="F51" s="60">
        <f>H51-D51</f>
        <v>0</v>
      </c>
      <c r="G51" s="37">
        <f>I51-E51</f>
        <v>0</v>
      </c>
      <c r="H51" s="65">
        <f>D51</f>
        <v>-267285</v>
      </c>
      <c r="I51" s="66">
        <f>E51</f>
        <v>-584457</v>
      </c>
      <c r="J51" s="37"/>
      <c r="K51" s="38"/>
      <c r="L51" s="60">
        <f>H51+J51</f>
        <v>-267285</v>
      </c>
      <c r="M51" s="38">
        <f>I51+K51</f>
        <v>-584457</v>
      </c>
    </row>
    <row r="52" spans="1:15" x14ac:dyDescent="0.25">
      <c r="A52" s="9"/>
      <c r="B52" s="7"/>
      <c r="C52" s="6"/>
      <c r="D52" s="177"/>
      <c r="E52" s="177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57</v>
      </c>
      <c r="C53" s="6"/>
      <c r="D53" s="177"/>
      <c r="E53" s="177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174">
        <v>0</v>
      </c>
      <c r="E54" s="174">
        <v>-62043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-62043</v>
      </c>
      <c r="J54" s="37"/>
      <c r="K54" s="38"/>
      <c r="L54" s="60">
        <f>H54+J54</f>
        <v>0</v>
      </c>
      <c r="M54" s="38">
        <f>I54+K54</f>
        <v>-62043</v>
      </c>
    </row>
    <row r="55" spans="1:15" x14ac:dyDescent="0.25">
      <c r="A55" s="9">
        <v>25</v>
      </c>
      <c r="B55" s="7"/>
      <c r="C55" s="18" t="s">
        <v>59</v>
      </c>
      <c r="D55" s="174">
        <v>0</v>
      </c>
      <c r="E55" s="174">
        <v>-866359.73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-866359.73</v>
      </c>
      <c r="J55" s="37"/>
      <c r="K55" s="38"/>
      <c r="L55" s="60">
        <f>H55+J55</f>
        <v>0</v>
      </c>
      <c r="M55" s="38">
        <f>I55+K55</f>
        <v>-866359.73</v>
      </c>
    </row>
    <row r="56" spans="1:15" x14ac:dyDescent="0.25">
      <c r="A56" s="9"/>
      <c r="B56" s="7" t="s">
        <v>60</v>
      </c>
      <c r="C56" s="6"/>
      <c r="D56" s="204">
        <v>0</v>
      </c>
      <c r="E56" s="204">
        <v>-928402.73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-928402.73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-928402.73</v>
      </c>
    </row>
    <row r="57" spans="1:15" x14ac:dyDescent="0.25">
      <c r="A57" s="9"/>
      <c r="B57" s="7"/>
      <c r="C57" s="6"/>
      <c r="D57" s="177"/>
      <c r="E57" s="177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61</v>
      </c>
      <c r="C58" s="6"/>
      <c r="D58" s="177"/>
      <c r="E58" s="177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174">
        <v>0</v>
      </c>
      <c r="E59" s="174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63</v>
      </c>
      <c r="D60" s="174">
        <v>0</v>
      </c>
      <c r="E60" s="174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204">
        <v>0</v>
      </c>
      <c r="E61" s="204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7"/>
      <c r="E62" s="177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37</v>
      </c>
      <c r="C63" s="6"/>
      <c r="D63" s="177"/>
      <c r="E63" s="177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174">
        <v>0</v>
      </c>
      <c r="E64" s="174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174">
        <v>0</v>
      </c>
      <c r="E65" s="174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204">
        <v>0</v>
      </c>
      <c r="E66" s="204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7"/>
      <c r="E67" s="177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68</v>
      </c>
      <c r="C68" s="6"/>
      <c r="D68" s="177"/>
      <c r="E68" s="177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100" t="s">
        <v>69</v>
      </c>
      <c r="D69" s="177"/>
      <c r="E69" s="177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70</v>
      </c>
      <c r="D70" s="174">
        <v>0</v>
      </c>
      <c r="E70" s="174">
        <v>1416533.1176470588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1416533.1176470588</v>
      </c>
      <c r="J70" s="37"/>
      <c r="K70" s="38"/>
      <c r="L70" s="60">
        <f t="shared" si="20"/>
        <v>0</v>
      </c>
      <c r="M70" s="38">
        <f t="shared" si="20"/>
        <v>1416533.1176470588</v>
      </c>
    </row>
    <row r="71" spans="1:13" x14ac:dyDescent="0.25">
      <c r="A71" s="9">
        <v>31</v>
      </c>
      <c r="B71" s="3"/>
      <c r="C71" s="10" t="s">
        <v>71</v>
      </c>
      <c r="D71" s="174">
        <v>0</v>
      </c>
      <c r="E71" s="174">
        <v>-827151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-827151</v>
      </c>
      <c r="J71" s="37"/>
      <c r="K71" s="38"/>
      <c r="L71" s="60">
        <f t="shared" si="20"/>
        <v>0</v>
      </c>
      <c r="M71" s="38">
        <f t="shared" si="20"/>
        <v>-827151</v>
      </c>
    </row>
    <row r="72" spans="1:13" x14ac:dyDescent="0.25">
      <c r="A72" s="9"/>
      <c r="B72" s="3"/>
      <c r="C72" s="55" t="s">
        <v>72</v>
      </c>
      <c r="D72" s="204">
        <v>0</v>
      </c>
      <c r="E72" s="204">
        <v>589382.1176470588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589382.1176470588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589382.1176470588</v>
      </c>
    </row>
    <row r="73" spans="1:13" x14ac:dyDescent="0.25">
      <c r="A73" s="9">
        <v>32</v>
      </c>
      <c r="B73" s="3"/>
      <c r="C73" s="10" t="s">
        <v>73</v>
      </c>
      <c r="D73" s="174">
        <v>0</v>
      </c>
      <c r="E73" s="174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74</v>
      </c>
      <c r="D74" s="174">
        <v>0</v>
      </c>
      <c r="E74" s="174">
        <v>378774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378774</v>
      </c>
      <c r="J74" s="37"/>
      <c r="K74" s="38"/>
      <c r="L74" s="60">
        <f t="shared" si="24"/>
        <v>0</v>
      </c>
      <c r="M74" s="38">
        <f t="shared" si="24"/>
        <v>378774</v>
      </c>
    </row>
    <row r="75" spans="1:13" x14ac:dyDescent="0.25">
      <c r="A75" s="9">
        <v>34</v>
      </c>
      <c r="B75" s="3"/>
      <c r="C75" s="10" t="s">
        <v>75</v>
      </c>
      <c r="D75" s="174">
        <v>0</v>
      </c>
      <c r="E75" s="174">
        <v>46887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46887</v>
      </c>
      <c r="J75" s="37"/>
      <c r="K75" s="38"/>
      <c r="L75" s="60">
        <f t="shared" si="24"/>
        <v>0</v>
      </c>
      <c r="M75" s="38">
        <f t="shared" si="24"/>
        <v>46887</v>
      </c>
    </row>
    <row r="76" spans="1:13" x14ac:dyDescent="0.25">
      <c r="A76" s="9">
        <v>35</v>
      </c>
      <c r="B76" s="3"/>
      <c r="C76" s="10" t="s">
        <v>76</v>
      </c>
      <c r="D76" s="174">
        <v>0</v>
      </c>
      <c r="E76" s="174">
        <v>-17958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-17958</v>
      </c>
      <c r="J76" s="37"/>
      <c r="K76" s="38"/>
      <c r="L76" s="60">
        <f t="shared" si="24"/>
        <v>0</v>
      </c>
      <c r="M76" s="38">
        <f t="shared" si="24"/>
        <v>-17958</v>
      </c>
    </row>
    <row r="77" spans="1:13" x14ac:dyDescent="0.25">
      <c r="A77" s="9">
        <v>36</v>
      </c>
      <c r="B77" s="3"/>
      <c r="C77" s="10" t="s">
        <v>77</v>
      </c>
      <c r="D77" s="174">
        <v>0</v>
      </c>
      <c r="E77" s="174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78</v>
      </c>
      <c r="D78" s="174">
        <v>0</v>
      </c>
      <c r="E78" s="174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79</v>
      </c>
      <c r="D79" s="174">
        <v>0</v>
      </c>
      <c r="E79" s="174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80</v>
      </c>
      <c r="D80" s="174">
        <v>0</v>
      </c>
      <c r="E80" s="174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81</v>
      </c>
      <c r="D81" s="174">
        <v>0</v>
      </c>
      <c r="E81" s="174">
        <v>-322205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-322205</v>
      </c>
      <c r="J81" s="37"/>
      <c r="K81" s="38"/>
      <c r="L81" s="60">
        <f t="shared" si="24"/>
        <v>0</v>
      </c>
      <c r="M81" s="38">
        <f t="shared" si="24"/>
        <v>-322205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165">
        <f>SUM(E72:E81)+E16+E24+E29+E36+E43+E45+E47+E49+E51+E56+E61+E66</f>
        <v>508309.8803350518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508309.8803350518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508309.8803350518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8" sqref="E88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5">
        <v>78882482</v>
      </c>
      <c r="E11" s="38">
        <v>178759572.94999999</v>
      </c>
      <c r="F11" s="60">
        <f>H11-D11</f>
        <v>0</v>
      </c>
      <c r="G11" s="37">
        <f>I11-E11</f>
        <v>0</v>
      </c>
      <c r="H11" s="65">
        <f>D11</f>
        <v>78882482</v>
      </c>
      <c r="I11" s="66">
        <f>E11</f>
        <v>178759572.94999999</v>
      </c>
      <c r="J11" s="60"/>
      <c r="K11" s="38"/>
      <c r="L11" s="60">
        <f t="shared" ref="L11:M15" si="0">H11+J11</f>
        <v>78882482</v>
      </c>
      <c r="M11" s="38">
        <f t="shared" si="0"/>
        <v>178759572.94999999</v>
      </c>
    </row>
    <row r="12" spans="1:26" x14ac:dyDescent="0.25">
      <c r="A12" s="9">
        <v>2</v>
      </c>
      <c r="B12" s="7"/>
      <c r="C12" s="18" t="s">
        <v>29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0">
        <v>39490195</v>
      </c>
      <c r="E13" s="38">
        <v>90588362</v>
      </c>
      <c r="F13" s="60">
        <f t="shared" si="1"/>
        <v>0</v>
      </c>
      <c r="G13" s="37">
        <f t="shared" si="1"/>
        <v>0</v>
      </c>
      <c r="H13" s="65">
        <f t="shared" si="2"/>
        <v>39490195</v>
      </c>
      <c r="I13" s="66">
        <f t="shared" si="2"/>
        <v>90588362</v>
      </c>
      <c r="J13" s="60"/>
      <c r="K13" s="38"/>
      <c r="L13" s="60">
        <f t="shared" si="0"/>
        <v>39490195</v>
      </c>
      <c r="M13" s="38">
        <f t="shared" si="0"/>
        <v>90588362</v>
      </c>
    </row>
    <row r="14" spans="1:26" x14ac:dyDescent="0.25">
      <c r="A14" s="9">
        <v>4</v>
      </c>
      <c r="B14" s="7"/>
      <c r="C14" s="18" t="s">
        <v>31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v>118372677</v>
      </c>
      <c r="E16" s="39">
        <v>269347934.94999999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118372677</v>
      </c>
      <c r="I16" s="39">
        <f>SUM(I11:I15)</f>
        <v>269347934.94999999</v>
      </c>
      <c r="J16" s="61">
        <f t="shared" si="3"/>
        <v>0</v>
      </c>
      <c r="K16" s="39">
        <f t="shared" si="3"/>
        <v>0</v>
      </c>
      <c r="L16" s="61">
        <f t="shared" si="3"/>
        <v>118372677</v>
      </c>
      <c r="M16" s="39">
        <f t="shared" si="3"/>
        <v>269347934.94999999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0">
        <v>-76531836</v>
      </c>
      <c r="E19" s="38">
        <v>-171439613</v>
      </c>
      <c r="F19" s="60">
        <f>H19-D19</f>
        <v>0</v>
      </c>
      <c r="G19" s="37">
        <f>I19-E19</f>
        <v>0</v>
      </c>
      <c r="H19" s="65">
        <f t="shared" si="4"/>
        <v>-76531836</v>
      </c>
      <c r="I19" s="66">
        <f t="shared" si="4"/>
        <v>-171439613</v>
      </c>
      <c r="J19" s="60"/>
      <c r="K19" s="38"/>
      <c r="L19" s="60">
        <f t="shared" ref="L19:M23" si="5">H19+J19</f>
        <v>-76531836</v>
      </c>
      <c r="M19" s="38">
        <f t="shared" si="5"/>
        <v>-171439613</v>
      </c>
    </row>
    <row r="20" spans="1:13" x14ac:dyDescent="0.25">
      <c r="A20" s="9">
        <v>7</v>
      </c>
      <c r="B20" s="7"/>
      <c r="C20" s="18" t="s">
        <v>29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60">
        <v>-43028500</v>
      </c>
      <c r="E21" s="38">
        <v>-99490756</v>
      </c>
      <c r="F21" s="60">
        <f t="shared" si="6"/>
        <v>0</v>
      </c>
      <c r="G21" s="37">
        <f t="shared" si="6"/>
        <v>0</v>
      </c>
      <c r="H21" s="65">
        <f t="shared" si="4"/>
        <v>-43028500</v>
      </c>
      <c r="I21" s="66">
        <f t="shared" si="4"/>
        <v>-99490756</v>
      </c>
      <c r="J21" s="60"/>
      <c r="K21" s="38"/>
      <c r="L21" s="60">
        <f t="shared" si="5"/>
        <v>-43028500</v>
      </c>
      <c r="M21" s="38">
        <f t="shared" si="5"/>
        <v>-99490756</v>
      </c>
    </row>
    <row r="22" spans="1:13" x14ac:dyDescent="0.25">
      <c r="A22" s="9">
        <v>9</v>
      </c>
      <c r="B22" s="7"/>
      <c r="C22" s="18" t="s">
        <v>31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60">
        <v>133867</v>
      </c>
      <c r="E23" s="38">
        <v>303086</v>
      </c>
      <c r="F23" s="60">
        <f t="shared" si="6"/>
        <v>0</v>
      </c>
      <c r="G23" s="37">
        <f t="shared" si="6"/>
        <v>0</v>
      </c>
      <c r="H23" s="65">
        <f t="shared" si="4"/>
        <v>133867</v>
      </c>
      <c r="I23" s="66">
        <f t="shared" si="4"/>
        <v>303086</v>
      </c>
      <c r="J23" s="60"/>
      <c r="K23" s="38"/>
      <c r="L23" s="60">
        <f t="shared" si="5"/>
        <v>133867</v>
      </c>
      <c r="M23" s="38">
        <f t="shared" si="5"/>
        <v>303086</v>
      </c>
    </row>
    <row r="24" spans="1:13" x14ac:dyDescent="0.25">
      <c r="A24" s="9"/>
      <c r="B24" s="7" t="s">
        <v>36</v>
      </c>
      <c r="C24" s="6"/>
      <c r="D24" s="61">
        <v>-119426469</v>
      </c>
      <c r="E24" s="39">
        <v>-270627283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-119426469</v>
      </c>
      <c r="I24" s="39">
        <f>SUM(I19:I23)</f>
        <v>-270627283</v>
      </c>
      <c r="J24" s="61">
        <f t="shared" si="7"/>
        <v>0</v>
      </c>
      <c r="K24" s="39">
        <f t="shared" si="7"/>
        <v>0</v>
      </c>
      <c r="L24" s="61">
        <f t="shared" si="7"/>
        <v>-119426469</v>
      </c>
      <c r="M24" s="39">
        <f t="shared" si="7"/>
        <v>-270627283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39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0">
        <v>525505</v>
      </c>
      <c r="E32" s="38">
        <v>1238528</v>
      </c>
      <c r="F32" s="60">
        <f>H32-D32</f>
        <v>0</v>
      </c>
      <c r="G32" s="37">
        <f>I32-E32</f>
        <v>0</v>
      </c>
      <c r="H32" s="65">
        <f t="shared" ref="H32:I35" si="9">D32</f>
        <v>525505</v>
      </c>
      <c r="I32" s="66">
        <f t="shared" si="9"/>
        <v>1238528</v>
      </c>
      <c r="J32" s="60"/>
      <c r="K32" s="38"/>
      <c r="L32" s="60">
        <f t="shared" ref="L32:M35" si="10">H32+J32</f>
        <v>525505</v>
      </c>
      <c r="M32" s="38">
        <f t="shared" si="10"/>
        <v>1238528</v>
      </c>
    </row>
    <row r="33" spans="1:13" x14ac:dyDescent="0.25">
      <c r="A33" s="9">
        <v>14</v>
      </c>
      <c r="B33" s="7"/>
      <c r="C33" s="18" t="s">
        <v>43</v>
      </c>
      <c r="D33" s="60">
        <v>-572495</v>
      </c>
      <c r="E33" s="38">
        <v>-1346346</v>
      </c>
      <c r="F33" s="60">
        <f t="shared" ref="F33:G35" si="11">H33-D33</f>
        <v>0</v>
      </c>
      <c r="G33" s="37">
        <f t="shared" si="11"/>
        <v>0</v>
      </c>
      <c r="H33" s="65">
        <f t="shared" si="9"/>
        <v>-572495</v>
      </c>
      <c r="I33" s="66">
        <f t="shared" si="9"/>
        <v>-1346346</v>
      </c>
      <c r="J33" s="60"/>
      <c r="K33" s="38"/>
      <c r="L33" s="60">
        <f t="shared" si="10"/>
        <v>-572495</v>
      </c>
      <c r="M33" s="38">
        <f t="shared" si="10"/>
        <v>-1346346</v>
      </c>
    </row>
    <row r="34" spans="1:13" x14ac:dyDescent="0.25">
      <c r="A34" s="9">
        <v>15</v>
      </c>
      <c r="B34" s="7"/>
      <c r="C34" s="18" t="s">
        <v>44</v>
      </c>
      <c r="D34" s="60">
        <v>352983</v>
      </c>
      <c r="E34" s="38">
        <v>794701</v>
      </c>
      <c r="F34" s="60">
        <f t="shared" si="11"/>
        <v>0</v>
      </c>
      <c r="G34" s="37">
        <f t="shared" si="11"/>
        <v>0</v>
      </c>
      <c r="H34" s="65">
        <f t="shared" si="9"/>
        <v>352983</v>
      </c>
      <c r="I34" s="66">
        <f t="shared" si="9"/>
        <v>794701</v>
      </c>
      <c r="J34" s="60"/>
      <c r="K34" s="38"/>
      <c r="L34" s="60">
        <f t="shared" si="10"/>
        <v>352983</v>
      </c>
      <c r="M34" s="38">
        <f t="shared" si="10"/>
        <v>794701</v>
      </c>
    </row>
    <row r="35" spans="1:13" x14ac:dyDescent="0.25">
      <c r="A35" s="9">
        <v>16</v>
      </c>
      <c r="B35" s="7"/>
      <c r="C35" s="18" t="s">
        <v>45</v>
      </c>
      <c r="D35" s="60">
        <v>-113080</v>
      </c>
      <c r="E35" s="38">
        <v>-254388</v>
      </c>
      <c r="F35" s="60">
        <f t="shared" si="11"/>
        <v>0</v>
      </c>
      <c r="G35" s="37">
        <f t="shared" si="11"/>
        <v>0</v>
      </c>
      <c r="H35" s="65">
        <f t="shared" si="9"/>
        <v>-113080</v>
      </c>
      <c r="I35" s="66">
        <f t="shared" si="9"/>
        <v>-254388</v>
      </c>
      <c r="J35" s="60"/>
      <c r="K35" s="38"/>
      <c r="L35" s="60">
        <f t="shared" si="10"/>
        <v>-113080</v>
      </c>
      <c r="M35" s="38">
        <f t="shared" si="10"/>
        <v>-254388</v>
      </c>
    </row>
    <row r="36" spans="1:13" x14ac:dyDescent="0.25">
      <c r="A36" s="9"/>
      <c r="B36" s="7" t="s">
        <v>46</v>
      </c>
      <c r="C36" s="6"/>
      <c r="D36" s="61">
        <v>192913</v>
      </c>
      <c r="E36" s="39">
        <v>432495</v>
      </c>
      <c r="F36" s="61">
        <f>SUM(F32:F35)</f>
        <v>0</v>
      </c>
      <c r="G36" s="39">
        <f>SUM(G32:G35)</f>
        <v>0</v>
      </c>
      <c r="H36" s="61">
        <f>SUM(H32:H35)</f>
        <v>192913</v>
      </c>
      <c r="I36" s="39">
        <f>SUM(I32:I35)</f>
        <v>432495</v>
      </c>
      <c r="J36" s="61">
        <f>SUM(J32:J34)</f>
        <v>0</v>
      </c>
      <c r="K36" s="39">
        <f>SUM(K32:K34)</f>
        <v>0</v>
      </c>
      <c r="L36" s="61">
        <f>SUM(L32:L35)</f>
        <v>192913</v>
      </c>
      <c r="M36" s="39">
        <f>SUM(M32:M35)</f>
        <v>432495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49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50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51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52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0">
        <v>920879</v>
      </c>
      <c r="E49" s="38">
        <v>2032598.1970115157</v>
      </c>
      <c r="F49" s="60">
        <f>H49-D49</f>
        <v>0</v>
      </c>
      <c r="G49" s="37">
        <f>I49-E49</f>
        <v>0</v>
      </c>
      <c r="H49" s="65">
        <f>D49</f>
        <v>920879</v>
      </c>
      <c r="I49" s="66">
        <f>E49</f>
        <v>2032598.1970115157</v>
      </c>
      <c r="J49" s="60"/>
      <c r="K49" s="38"/>
      <c r="L49" s="60">
        <f>H49+J49</f>
        <v>920879</v>
      </c>
      <c r="M49" s="38">
        <f>I49+K49</f>
        <v>2032598.1970115157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0">
        <v>-133867</v>
      </c>
      <c r="E51" s="38">
        <v>-303086</v>
      </c>
      <c r="F51" s="60">
        <f>H51-D51</f>
        <v>0</v>
      </c>
      <c r="G51" s="37">
        <f>I51-E51</f>
        <v>0</v>
      </c>
      <c r="H51" s="65">
        <f>D51</f>
        <v>-133867</v>
      </c>
      <c r="I51" s="66">
        <f>E51</f>
        <v>-303086</v>
      </c>
      <c r="J51" s="60"/>
      <c r="K51" s="38"/>
      <c r="L51" s="60">
        <f>H51+J51</f>
        <v>-133867</v>
      </c>
      <c r="M51" s="38">
        <f>I51+K51</f>
        <v>-303086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0">
        <v>0</v>
      </c>
      <c r="E54" s="38">
        <v>-451779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-451779</v>
      </c>
      <c r="J54" s="60"/>
      <c r="K54" s="38"/>
      <c r="L54" s="60">
        <f>H54+J54</f>
        <v>0</v>
      </c>
      <c r="M54" s="38">
        <f>I54+K54</f>
        <v>-451779</v>
      </c>
    </row>
    <row r="55" spans="1:15" x14ac:dyDescent="0.25">
      <c r="A55" s="9">
        <v>25</v>
      </c>
      <c r="B55" s="7"/>
      <c r="C55" s="18" t="s">
        <v>59</v>
      </c>
      <c r="D55" s="60">
        <v>0</v>
      </c>
      <c r="E55" s="38">
        <v>-434058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-434058</v>
      </c>
      <c r="J55" s="60"/>
      <c r="K55" s="38"/>
      <c r="L55" s="60">
        <f>H55+J55</f>
        <v>0</v>
      </c>
      <c r="M55" s="38">
        <f>I55+K55</f>
        <v>-434058</v>
      </c>
    </row>
    <row r="56" spans="1:15" x14ac:dyDescent="0.25">
      <c r="A56" s="9"/>
      <c r="B56" s="7" t="s">
        <v>60</v>
      </c>
      <c r="C56" s="6"/>
      <c r="D56" s="61">
        <v>0</v>
      </c>
      <c r="E56" s="39">
        <v>-885837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-885837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-885837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63</v>
      </c>
      <c r="D60" s="60">
        <v>0</v>
      </c>
      <c r="E60" s="38">
        <v>-46484.87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-46484.87</v>
      </c>
      <c r="J60" s="60"/>
      <c r="K60" s="38"/>
      <c r="L60" s="60">
        <f>H60+J60</f>
        <v>0</v>
      </c>
      <c r="M60" s="38">
        <f>I60+K60</f>
        <v>-46484.87</v>
      </c>
    </row>
    <row r="61" spans="1:15" x14ac:dyDescent="0.25">
      <c r="A61" s="9"/>
      <c r="B61" s="62" t="s">
        <v>64</v>
      </c>
      <c r="C61" s="6"/>
      <c r="D61" s="61">
        <v>0</v>
      </c>
      <c r="E61" s="39">
        <v>-46484.87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-46484.87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0">
        <v>0</v>
      </c>
      <c r="E64" s="38">
        <v>68597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68597</v>
      </c>
      <c r="J64" s="60"/>
      <c r="K64" s="38"/>
      <c r="L64" s="60">
        <f>H64+J64</f>
        <v>0</v>
      </c>
      <c r="M64" s="38">
        <f>I64+K64</f>
        <v>68597</v>
      </c>
    </row>
    <row r="65" spans="1:13" x14ac:dyDescent="0.25">
      <c r="A65" s="9">
        <v>29</v>
      </c>
      <c r="B65" s="11"/>
      <c r="C65" s="18" t="s">
        <v>66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v>0</v>
      </c>
      <c r="E66" s="39">
        <v>68597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68597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68597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70</v>
      </c>
      <c r="D70" s="60">
        <v>0</v>
      </c>
      <c r="E70" s="38">
        <v>5679557.9450000003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5679557.9450000003</v>
      </c>
      <c r="J70" s="60"/>
      <c r="K70" s="38"/>
      <c r="L70" s="60">
        <f>H70+J70</f>
        <v>0</v>
      </c>
      <c r="M70" s="38">
        <f>I70+K70</f>
        <v>5679557.9450000003</v>
      </c>
    </row>
    <row r="71" spans="1:13" x14ac:dyDescent="0.25">
      <c r="A71" s="9">
        <v>31</v>
      </c>
      <c r="B71" s="3"/>
      <c r="C71" s="10" t="s">
        <v>71</v>
      </c>
      <c r="D71" s="60">
        <v>0</v>
      </c>
      <c r="E71" s="38">
        <v>-2849704.85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-2849704.85</v>
      </c>
      <c r="J71" s="60"/>
      <c r="K71" s="38"/>
      <c r="L71" s="60">
        <f>H71+J71</f>
        <v>0</v>
      </c>
      <c r="M71" s="38">
        <f>I71+K71</f>
        <v>-2849704.85</v>
      </c>
    </row>
    <row r="72" spans="1:13" x14ac:dyDescent="0.25">
      <c r="A72" s="9"/>
      <c r="B72" s="3"/>
      <c r="C72" s="55" t="s">
        <v>72</v>
      </c>
      <c r="D72" s="61">
        <v>0</v>
      </c>
      <c r="E72" s="39">
        <v>2829853.0950000002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2829853.0950000002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2829853.0950000002</v>
      </c>
    </row>
    <row r="73" spans="1:13" x14ac:dyDescent="0.25">
      <c r="A73" s="9">
        <v>32</v>
      </c>
      <c r="B73" s="3"/>
      <c r="C73" s="10" t="s">
        <v>73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74</v>
      </c>
      <c r="D74" s="60">
        <v>0</v>
      </c>
      <c r="E74" s="38">
        <v>-1040060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-1040060</v>
      </c>
      <c r="J74" s="60"/>
      <c r="K74" s="38"/>
      <c r="L74" s="60">
        <f t="shared" si="22"/>
        <v>0</v>
      </c>
      <c r="M74" s="38">
        <f t="shared" si="22"/>
        <v>-1040060</v>
      </c>
    </row>
    <row r="75" spans="1:13" x14ac:dyDescent="0.25">
      <c r="A75" s="9">
        <v>34</v>
      </c>
      <c r="B75" s="3"/>
      <c r="C75" s="10" t="s">
        <v>75</v>
      </c>
      <c r="D75" s="60">
        <v>0</v>
      </c>
      <c r="E75" s="38">
        <v>17993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17993</v>
      </c>
      <c r="J75" s="60"/>
      <c r="K75" s="38"/>
      <c r="L75" s="60">
        <f t="shared" si="22"/>
        <v>0</v>
      </c>
      <c r="M75" s="38">
        <f t="shared" si="22"/>
        <v>17993</v>
      </c>
    </row>
    <row r="76" spans="1:13" x14ac:dyDescent="0.25">
      <c r="A76" s="9">
        <v>35</v>
      </c>
      <c r="B76" s="3"/>
      <c r="C76" s="10" t="s">
        <v>76</v>
      </c>
      <c r="D76" s="60">
        <v>0</v>
      </c>
      <c r="E76" s="38">
        <v>-19109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-19109</v>
      </c>
      <c r="J76" s="60"/>
      <c r="K76" s="38"/>
      <c r="L76" s="60">
        <f t="shared" si="22"/>
        <v>0</v>
      </c>
      <c r="M76" s="38">
        <f t="shared" si="22"/>
        <v>-19109</v>
      </c>
    </row>
    <row r="77" spans="1:13" x14ac:dyDescent="0.25">
      <c r="A77" s="9">
        <v>36</v>
      </c>
      <c r="B77" s="3"/>
      <c r="C77" s="10" t="s">
        <v>77</v>
      </c>
      <c r="D77" s="60">
        <v>0</v>
      </c>
      <c r="E77" s="38">
        <v>2860191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2860191</v>
      </c>
      <c r="J77" s="60"/>
      <c r="K77" s="38"/>
      <c r="L77" s="60">
        <f t="shared" si="22"/>
        <v>0</v>
      </c>
      <c r="M77" s="38">
        <f t="shared" si="22"/>
        <v>2860191</v>
      </c>
    </row>
    <row r="78" spans="1:13" x14ac:dyDescent="0.25">
      <c r="A78" s="9">
        <v>37</v>
      </c>
      <c r="B78" s="3"/>
      <c r="C78" s="10" t="s">
        <v>78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79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80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81</v>
      </c>
      <c r="D81" s="60">
        <v>0</v>
      </c>
      <c r="E81" s="38">
        <v>-2667035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-2667035</v>
      </c>
      <c r="J81" s="60"/>
      <c r="K81" s="38"/>
      <c r="L81" s="60">
        <f t="shared" si="22"/>
        <v>0</v>
      </c>
      <c r="M81" s="38">
        <f t="shared" si="22"/>
        <v>-2667035</v>
      </c>
    </row>
    <row r="82" spans="1:67" s="44" customFormat="1" ht="20.25" customHeight="1" thickBot="1" x14ac:dyDescent="0.3">
      <c r="A82" s="40"/>
      <c r="B82" s="41"/>
      <c r="C82" s="42" t="s">
        <v>178</v>
      </c>
      <c r="D82" s="166">
        <f>D16+D24+D29+D36+D43+D45+D47+D49</f>
        <v>60000</v>
      </c>
      <c r="E82" s="165">
        <f>SUM(E72:E81)+E16+E24+E29+E36+E43+E45+E47+E49+E51+E56+E61+E66</f>
        <v>2025291.3170115249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2025291.3170115249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2025291.3170115249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173</v>
      </c>
      <c r="B85" s="3"/>
      <c r="K85" s="45"/>
    </row>
    <row r="86" spans="1:67" s="3" customFormat="1" x14ac:dyDescent="0.25">
      <c r="A86" s="172"/>
      <c r="C86" s="10" t="s">
        <v>176</v>
      </c>
      <c r="D86" s="176">
        <v>0</v>
      </c>
      <c r="E86" s="176">
        <v>219364</v>
      </c>
      <c r="F86" s="176">
        <v>0</v>
      </c>
      <c r="G86" s="176">
        <v>0</v>
      </c>
      <c r="H86" s="176">
        <f t="shared" ref="H86:I88" si="24">D86</f>
        <v>0</v>
      </c>
      <c r="I86" s="176">
        <f t="shared" si="24"/>
        <v>219364</v>
      </c>
      <c r="J86" s="176">
        <v>0</v>
      </c>
      <c r="K86" s="176">
        <v>0</v>
      </c>
      <c r="L86" s="176">
        <f t="shared" ref="L86:M88" si="25">H86</f>
        <v>0</v>
      </c>
      <c r="M86" s="176">
        <f t="shared" si="25"/>
        <v>219364</v>
      </c>
    </row>
    <row r="87" spans="1:67" s="3" customFormat="1" x14ac:dyDescent="0.25">
      <c r="A87" s="172"/>
      <c r="C87" s="10" t="s">
        <v>74</v>
      </c>
      <c r="D87" s="177">
        <v>0</v>
      </c>
      <c r="E87" s="177">
        <v>0</v>
      </c>
      <c r="F87" s="177">
        <v>0</v>
      </c>
      <c r="G87" s="177">
        <v>0</v>
      </c>
      <c r="H87" s="177">
        <f t="shared" si="24"/>
        <v>0</v>
      </c>
      <c r="I87" s="177">
        <f t="shared" si="24"/>
        <v>0</v>
      </c>
      <c r="J87" s="177">
        <v>0</v>
      </c>
      <c r="K87" s="177">
        <v>0</v>
      </c>
      <c r="L87" s="177">
        <f t="shared" si="25"/>
        <v>0</v>
      </c>
      <c r="M87" s="177">
        <f t="shared" si="25"/>
        <v>0</v>
      </c>
    </row>
    <row r="88" spans="1:67" s="3" customFormat="1" x14ac:dyDescent="0.25">
      <c r="A88" s="172"/>
      <c r="C88" s="10" t="s">
        <v>75</v>
      </c>
      <c r="D88" s="178">
        <v>0</v>
      </c>
      <c r="E88" s="178">
        <v>0</v>
      </c>
      <c r="F88" s="178">
        <v>0</v>
      </c>
      <c r="G88" s="178">
        <v>0</v>
      </c>
      <c r="H88" s="178">
        <f t="shared" si="24"/>
        <v>0</v>
      </c>
      <c r="I88" s="178">
        <f t="shared" si="24"/>
        <v>0</v>
      </c>
      <c r="J88" s="178">
        <v>0</v>
      </c>
      <c r="K88" s="178">
        <v>0</v>
      </c>
      <c r="L88" s="178">
        <f t="shared" si="25"/>
        <v>0</v>
      </c>
      <c r="M88" s="178">
        <f t="shared" si="25"/>
        <v>0</v>
      </c>
    </row>
    <row r="89" spans="1:67" s="44" customFormat="1" ht="20.25" customHeight="1" x14ac:dyDescent="0.25">
      <c r="A89" s="179"/>
      <c r="B89" s="180"/>
      <c r="C89" s="181" t="s">
        <v>179</v>
      </c>
      <c r="D89" s="184">
        <f>SUM(D86:D88)</f>
        <v>0</v>
      </c>
      <c r="E89" s="184">
        <f t="shared" ref="E89:M89" si="26">SUM(E86:E88)</f>
        <v>219364</v>
      </c>
      <c r="F89" s="184">
        <f t="shared" si="26"/>
        <v>0</v>
      </c>
      <c r="G89" s="184">
        <f t="shared" si="26"/>
        <v>0</v>
      </c>
      <c r="H89" s="184">
        <f t="shared" si="26"/>
        <v>0</v>
      </c>
      <c r="I89" s="184">
        <f t="shared" si="26"/>
        <v>219364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219364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177</v>
      </c>
      <c r="D91" s="184">
        <f>+D82+D89</f>
        <v>60000</v>
      </c>
      <c r="E91" s="184">
        <f t="shared" ref="E91:M91" si="27">+E82+E89</f>
        <v>2244655.3170115249</v>
      </c>
      <c r="F91" s="184">
        <f t="shared" si="27"/>
        <v>0</v>
      </c>
      <c r="G91" s="184">
        <f t="shared" si="27"/>
        <v>0</v>
      </c>
      <c r="H91" s="184">
        <f t="shared" si="27"/>
        <v>60000</v>
      </c>
      <c r="I91" s="184">
        <f t="shared" si="27"/>
        <v>2244655.3170115249</v>
      </c>
      <c r="J91" s="184">
        <f t="shared" si="27"/>
        <v>0</v>
      </c>
      <c r="K91" s="184">
        <f t="shared" si="27"/>
        <v>0</v>
      </c>
      <c r="L91" s="184">
        <f t="shared" si="27"/>
        <v>60000</v>
      </c>
      <c r="M91" s="184">
        <f t="shared" si="27"/>
        <v>2244655.3170115249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75" activePane="bottomRight" state="frozen"/>
      <selection activeCell="A5" sqref="A5"/>
      <selection pane="topRight" activeCell="A5" sqref="A5"/>
      <selection pane="bottomLeft" activeCell="A5" sqref="A5"/>
      <selection pane="bottomRight" activeCell="M89" sqref="M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5">
        <v>11184016</v>
      </c>
      <c r="E11" s="65">
        <v>25440090.050000001</v>
      </c>
      <c r="F11" s="65">
        <f>H11-D11</f>
        <v>0</v>
      </c>
      <c r="G11" s="63">
        <f>I11-E11</f>
        <v>0</v>
      </c>
      <c r="H11" s="65">
        <f>D11</f>
        <v>11184016</v>
      </c>
      <c r="I11" s="66">
        <f>E11</f>
        <v>25440090.050000001</v>
      </c>
      <c r="J11" s="60"/>
      <c r="K11" s="38"/>
      <c r="L11" s="60">
        <f t="shared" ref="L11:M15" si="0">H11+J11</f>
        <v>11184016</v>
      </c>
      <c r="M11" s="38">
        <f t="shared" si="0"/>
        <v>25440090.050000001</v>
      </c>
    </row>
    <row r="12" spans="1:26" x14ac:dyDescent="0.25">
      <c r="A12" s="9">
        <v>2</v>
      </c>
      <c r="B12" s="7"/>
      <c r="C12" s="18" t="s">
        <v>29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31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v>11184016</v>
      </c>
      <c r="E16" s="39">
        <v>25440090.050000001</v>
      </c>
      <c r="F16" s="61">
        <f t="shared" ref="F16:M16" si="3">SUM(F11:F15)</f>
        <v>0</v>
      </c>
      <c r="G16" s="39">
        <f t="shared" si="3"/>
        <v>0</v>
      </c>
      <c r="H16" s="61">
        <f>SUM(H11:H15)</f>
        <v>11184016</v>
      </c>
      <c r="I16" s="39">
        <f>SUM(I11:I15)</f>
        <v>25440090.050000001</v>
      </c>
      <c r="J16" s="61">
        <f t="shared" si="3"/>
        <v>0</v>
      </c>
      <c r="K16" s="39">
        <f t="shared" si="3"/>
        <v>0</v>
      </c>
      <c r="L16" s="61">
        <f t="shared" si="3"/>
        <v>11184016</v>
      </c>
      <c r="M16" s="39">
        <f t="shared" si="3"/>
        <v>25440090.050000001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5">
        <v>-11095958</v>
      </c>
      <c r="E19" s="65">
        <v>-25412684</v>
      </c>
      <c r="F19" s="65">
        <f>H19-D19</f>
        <v>0</v>
      </c>
      <c r="G19" s="63">
        <f>I19-E19</f>
        <v>0</v>
      </c>
      <c r="H19" s="65">
        <f t="shared" si="4"/>
        <v>-11095958</v>
      </c>
      <c r="I19" s="66">
        <f t="shared" si="4"/>
        <v>-25412684</v>
      </c>
      <c r="J19" s="60"/>
      <c r="K19" s="38"/>
      <c r="L19" s="60">
        <f t="shared" ref="L19:M23" si="5">H19+J19</f>
        <v>-11095958</v>
      </c>
      <c r="M19" s="38">
        <f t="shared" si="5"/>
        <v>-25412684</v>
      </c>
    </row>
    <row r="20" spans="1:13" x14ac:dyDescent="0.25">
      <c r="A20" s="9">
        <v>7</v>
      </c>
      <c r="B20" s="7"/>
      <c r="C20" s="18" t="s">
        <v>29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30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31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35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36</v>
      </c>
      <c r="C24" s="6"/>
      <c r="D24" s="61">
        <v>-11095958</v>
      </c>
      <c r="E24" s="39">
        <v>-25412684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-11095958</v>
      </c>
      <c r="I24" s="39">
        <f>SUM(I19:I23)</f>
        <v>-25412684</v>
      </c>
      <c r="J24" s="61">
        <f t="shared" si="7"/>
        <v>0</v>
      </c>
      <c r="K24" s="39">
        <f t="shared" si="7"/>
        <v>0</v>
      </c>
      <c r="L24" s="61">
        <f t="shared" si="7"/>
        <v>-11095958</v>
      </c>
      <c r="M24" s="39">
        <f t="shared" si="7"/>
        <v>-25412684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39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40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43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44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45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46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5">
        <v>913477</v>
      </c>
      <c r="E39" s="65">
        <v>2037051</v>
      </c>
      <c r="F39" s="65">
        <f t="shared" ref="F39:G41" si="13">H39-D39</f>
        <v>0</v>
      </c>
      <c r="G39" s="63">
        <f t="shared" si="13"/>
        <v>0</v>
      </c>
      <c r="H39" s="65">
        <f t="shared" si="12"/>
        <v>913477</v>
      </c>
      <c r="I39" s="66">
        <f t="shared" si="12"/>
        <v>2037051</v>
      </c>
      <c r="J39" s="60"/>
      <c r="K39" s="38"/>
      <c r="L39" s="60">
        <f t="shared" ref="L39:M41" si="14">H39+J39</f>
        <v>913477</v>
      </c>
      <c r="M39" s="38">
        <f t="shared" si="14"/>
        <v>2037051</v>
      </c>
    </row>
    <row r="40" spans="1:13" ht="22.5" customHeight="1" x14ac:dyDescent="0.25">
      <c r="A40" s="9">
        <v>18</v>
      </c>
      <c r="B40" s="7"/>
      <c r="C40" s="18" t="s">
        <v>49</v>
      </c>
      <c r="D40" s="65">
        <v>-244706</v>
      </c>
      <c r="E40" s="65">
        <v>-545695</v>
      </c>
      <c r="F40" s="65">
        <f t="shared" si="13"/>
        <v>0</v>
      </c>
      <c r="G40" s="63">
        <f t="shared" si="13"/>
        <v>0</v>
      </c>
      <c r="H40" s="65">
        <f t="shared" si="12"/>
        <v>-244706</v>
      </c>
      <c r="I40" s="66">
        <f t="shared" si="12"/>
        <v>-545695</v>
      </c>
      <c r="J40" s="60"/>
      <c r="K40" s="38"/>
      <c r="L40" s="60">
        <f t="shared" si="14"/>
        <v>-244706</v>
      </c>
      <c r="M40" s="38">
        <f t="shared" si="14"/>
        <v>-545695</v>
      </c>
    </row>
    <row r="41" spans="1:13" x14ac:dyDescent="0.25">
      <c r="A41" s="9">
        <v>19</v>
      </c>
      <c r="B41" s="7"/>
      <c r="C41" s="18" t="s">
        <v>50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51</v>
      </c>
      <c r="D42" s="61">
        <v>-244706</v>
      </c>
      <c r="E42" s="39">
        <v>-545695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-244706</v>
      </c>
      <c r="I42" s="39">
        <f>SUM(I40:I41)</f>
        <v>-545695</v>
      </c>
      <c r="J42" s="61">
        <f t="shared" si="15"/>
        <v>0</v>
      </c>
      <c r="K42" s="39">
        <f t="shared" si="15"/>
        <v>0</v>
      </c>
      <c r="L42" s="61">
        <f t="shared" si="15"/>
        <v>-244706</v>
      </c>
      <c r="M42" s="39">
        <f t="shared" si="15"/>
        <v>-545695</v>
      </c>
    </row>
    <row r="43" spans="1:13" ht="21" customHeight="1" x14ac:dyDescent="0.25">
      <c r="A43" s="9"/>
      <c r="B43" s="7" t="s">
        <v>52</v>
      </c>
      <c r="C43" s="6"/>
      <c r="D43" s="61">
        <v>668771</v>
      </c>
      <c r="E43" s="39">
        <v>1491356</v>
      </c>
      <c r="F43" s="61">
        <f t="shared" ref="F43:M43" si="16">F42+F39</f>
        <v>0</v>
      </c>
      <c r="G43" s="39">
        <f t="shared" si="16"/>
        <v>0</v>
      </c>
      <c r="H43" s="61">
        <f>H42+H39</f>
        <v>668771</v>
      </c>
      <c r="I43" s="39">
        <f>I42+I39</f>
        <v>1491356</v>
      </c>
      <c r="J43" s="61">
        <f t="shared" si="16"/>
        <v>0</v>
      </c>
      <c r="K43" s="39">
        <f t="shared" si="16"/>
        <v>0</v>
      </c>
      <c r="L43" s="61">
        <f t="shared" si="16"/>
        <v>668771</v>
      </c>
      <c r="M43" s="39">
        <f t="shared" si="16"/>
        <v>1491356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5">
        <v>-816829</v>
      </c>
      <c r="E49" s="65">
        <v>-1800711.7348383139</v>
      </c>
      <c r="F49" s="65">
        <f>H49-D49</f>
        <v>0</v>
      </c>
      <c r="G49" s="63">
        <f>I49-E49</f>
        <v>0</v>
      </c>
      <c r="H49" s="65">
        <f>D49</f>
        <v>-816829</v>
      </c>
      <c r="I49" s="66">
        <f>E49</f>
        <v>-1800711.7348383139</v>
      </c>
      <c r="J49" s="60"/>
      <c r="K49" s="38"/>
      <c r="L49" s="60">
        <f>H49+J49</f>
        <v>-816829</v>
      </c>
      <c r="M49" s="38">
        <f>I49+K49</f>
        <v>-1800711.7348383139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59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60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63</v>
      </c>
      <c r="D60" s="65">
        <v>0</v>
      </c>
      <c r="E60" s="65">
        <v>46484.87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46484.87</v>
      </c>
      <c r="J60" s="60"/>
      <c r="K60" s="38"/>
      <c r="L60" s="60">
        <f>H60+J60</f>
        <v>0</v>
      </c>
      <c r="M60" s="38">
        <f>I60+K60</f>
        <v>46484.87</v>
      </c>
    </row>
    <row r="61" spans="1:15" x14ac:dyDescent="0.25">
      <c r="A61" s="9"/>
      <c r="B61" s="62" t="s">
        <v>64</v>
      </c>
      <c r="C61" s="6"/>
      <c r="D61" s="61">
        <v>0</v>
      </c>
      <c r="E61" s="39">
        <v>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46484.87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66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70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71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72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73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74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75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76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77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5">
      <c r="A78" s="9">
        <v>37</v>
      </c>
      <c r="B78" s="3"/>
      <c r="C78" s="10" t="s">
        <v>78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79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80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81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178</v>
      </c>
      <c r="D82" s="166">
        <f>D16+D24+D29+D36+D43+D45+D47+D49</f>
        <v>-60000</v>
      </c>
      <c r="E82" s="165">
        <f>SUM(E72:E81)+E16+E24+E29+E36+E43+E45+E47+E49+E51+E56+E61+E66</f>
        <v>-4132464.814838313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-4132464.814838313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-4132464.814838313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83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88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162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9906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90</v>
      </c>
      <c r="E8" s="25"/>
      <c r="F8" s="26" t="s">
        <v>91</v>
      </c>
      <c r="G8" s="25"/>
      <c r="H8" s="26" t="s">
        <v>92</v>
      </c>
      <c r="I8" s="25"/>
      <c r="J8" s="26" t="s">
        <v>93</v>
      </c>
      <c r="K8" s="27"/>
      <c r="L8" s="26" t="s">
        <v>94</v>
      </c>
      <c r="M8" s="27"/>
    </row>
    <row r="9" spans="1:26" x14ac:dyDescent="0.25">
      <c r="A9" s="52"/>
      <c r="B9" s="7"/>
      <c r="C9" s="6"/>
      <c r="D9" s="75" t="s">
        <v>25</v>
      </c>
      <c r="E9" s="76" t="s">
        <v>26</v>
      </c>
      <c r="F9" s="75" t="s">
        <v>25</v>
      </c>
      <c r="G9" s="76" t="s">
        <v>26</v>
      </c>
      <c r="H9" s="75" t="s">
        <v>25</v>
      </c>
      <c r="I9" s="76" t="s">
        <v>26</v>
      </c>
      <c r="J9" s="77" t="s">
        <v>25</v>
      </c>
      <c r="K9" s="76" t="s">
        <v>26</v>
      </c>
      <c r="L9" s="77" t="s">
        <v>25</v>
      </c>
      <c r="M9" s="76" t="s">
        <v>26</v>
      </c>
    </row>
    <row r="10" spans="1:26" x14ac:dyDescent="0.25">
      <c r="A10" s="9"/>
      <c r="B10" s="11" t="s">
        <v>27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28</v>
      </c>
      <c r="D11" s="65">
        <f>'EAST-EGM-FLSH'!D11+'EAST-LRC-FLSH'!D11</f>
        <v>90066498</v>
      </c>
      <c r="E11" s="66">
        <f>'EAST-EGM-FLSH'!E11+'EAST-LRC-FLSH'!E11</f>
        <v>204199663</v>
      </c>
      <c r="F11" s="37">
        <f>H11-D11</f>
        <v>0</v>
      </c>
      <c r="G11" s="37">
        <f>I11-E11</f>
        <v>0</v>
      </c>
      <c r="H11" s="60">
        <f>'EAST-EGM-FLSH'!H11+'EAST-LRC-FLSH'!H11</f>
        <v>90066498</v>
      </c>
      <c r="I11" s="38">
        <f>'EAST-EGM-FLSH'!I11+'EAST-LRC-FLSH'!I11</f>
        <v>204199663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90066498</v>
      </c>
      <c r="M11" s="38">
        <f t="shared" si="0"/>
        <v>204199663</v>
      </c>
    </row>
    <row r="12" spans="1:26" x14ac:dyDescent="0.25">
      <c r="A12" s="9">
        <v>2</v>
      </c>
      <c r="B12" s="7"/>
      <c r="C12" s="18" t="s">
        <v>29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30</v>
      </c>
      <c r="D13" s="65">
        <f>'EAST-EGM-FLSH'!D13+'EAST-LRC-FLSH'!D13</f>
        <v>39490195</v>
      </c>
      <c r="E13" s="66">
        <f>'EAST-EGM-FLSH'!E13+'EAST-LRC-FLSH'!E13</f>
        <v>90588362</v>
      </c>
      <c r="F13" s="60">
        <f t="shared" si="1"/>
        <v>0</v>
      </c>
      <c r="G13" s="37">
        <f t="shared" si="1"/>
        <v>0</v>
      </c>
      <c r="H13" s="60">
        <f>'EAST-EGM-FLSH'!H13+'EAST-LRC-FLSH'!H13</f>
        <v>39490195</v>
      </c>
      <c r="I13" s="38">
        <f>'EAST-EGM-FLSH'!I13+'EAST-LRC-FLSH'!I13</f>
        <v>90588362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39490195</v>
      </c>
      <c r="M13" s="38">
        <f t="shared" si="0"/>
        <v>90588362</v>
      </c>
    </row>
    <row r="14" spans="1:26" x14ac:dyDescent="0.25">
      <c r="A14" s="9">
        <v>4</v>
      </c>
      <c r="B14" s="7"/>
      <c r="C14" s="18" t="s">
        <v>31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32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33</v>
      </c>
      <c r="C16" s="6"/>
      <c r="D16" s="61">
        <f>SUM(D11:D15)</f>
        <v>129556693</v>
      </c>
      <c r="E16" s="39">
        <f>SUM(E11:E15)</f>
        <v>294788025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129556693</v>
      </c>
      <c r="I16" s="39">
        <f t="shared" si="2"/>
        <v>294788025</v>
      </c>
      <c r="J16" s="61">
        <f t="shared" si="2"/>
        <v>0</v>
      </c>
      <c r="K16" s="39">
        <f t="shared" si="2"/>
        <v>0</v>
      </c>
      <c r="L16" s="61">
        <f t="shared" si="2"/>
        <v>129556693</v>
      </c>
      <c r="M16" s="39">
        <f t="shared" si="2"/>
        <v>294788025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34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28</v>
      </c>
      <c r="D19" s="65">
        <f>'EAST-EGM-FLSH'!D19+'EAST-LRC-FLSH'!D19</f>
        <v>-87627794</v>
      </c>
      <c r="E19" s="66">
        <f>'EAST-EGM-FLSH'!E19+'EAST-LRC-FLSH'!E19</f>
        <v>-196852297</v>
      </c>
      <c r="F19" s="60">
        <f>H19-D19</f>
        <v>0</v>
      </c>
      <c r="G19" s="37">
        <f>I19-E19</f>
        <v>0</v>
      </c>
      <c r="H19" s="60">
        <f>'EAST-EGM-FLSH'!H19+'EAST-LRC-FLSH'!H19</f>
        <v>-87627794</v>
      </c>
      <c r="I19" s="38">
        <f>'EAST-EGM-FLSH'!I19+'EAST-LRC-FLSH'!I19</f>
        <v>-196852297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-87627794</v>
      </c>
      <c r="M19" s="38">
        <f t="shared" si="3"/>
        <v>-196852297</v>
      </c>
    </row>
    <row r="20" spans="1:13" x14ac:dyDescent="0.25">
      <c r="A20" s="9">
        <v>7</v>
      </c>
      <c r="B20" s="7"/>
      <c r="C20" s="18" t="s">
        <v>29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30</v>
      </c>
      <c r="D21" s="65">
        <f>'EAST-EGM-FLSH'!D21+'EAST-LRC-FLSH'!D21</f>
        <v>-43028500</v>
      </c>
      <c r="E21" s="66">
        <f>'EAST-EGM-FLSH'!E21+'EAST-LRC-FLSH'!E21</f>
        <v>-99490756</v>
      </c>
      <c r="F21" s="60">
        <f t="shared" si="4"/>
        <v>0</v>
      </c>
      <c r="G21" s="37">
        <f t="shared" si="4"/>
        <v>0</v>
      </c>
      <c r="H21" s="60">
        <f>'EAST-EGM-FLSH'!H21+'EAST-LRC-FLSH'!H21</f>
        <v>-43028500</v>
      </c>
      <c r="I21" s="38">
        <f>'EAST-EGM-FLSH'!I21+'EAST-LRC-FLSH'!I21</f>
        <v>-99490756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-43028500</v>
      </c>
      <c r="M21" s="38">
        <f t="shared" si="3"/>
        <v>-99490756</v>
      </c>
    </row>
    <row r="22" spans="1:13" x14ac:dyDescent="0.25">
      <c r="A22" s="9">
        <v>9</v>
      </c>
      <c r="B22" s="7"/>
      <c r="C22" s="18" t="s">
        <v>31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35</v>
      </c>
      <c r="D23" s="65">
        <f>'EAST-EGM-FLSH'!D23+'EAST-LRC-FLSH'!D23</f>
        <v>133867</v>
      </c>
      <c r="E23" s="66">
        <f>'EAST-EGM-FLSH'!E23+'EAST-LRC-FLSH'!E23</f>
        <v>303086</v>
      </c>
      <c r="F23" s="60">
        <f t="shared" si="4"/>
        <v>0</v>
      </c>
      <c r="G23" s="37">
        <f t="shared" si="4"/>
        <v>0</v>
      </c>
      <c r="H23" s="60">
        <f>'EAST-EGM-FLSH'!H23+'EAST-LRC-FLSH'!H23</f>
        <v>133867</v>
      </c>
      <c r="I23" s="38">
        <f>'EAST-EGM-FLSH'!I23+'EAST-LRC-FLSH'!I23</f>
        <v>303086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133867</v>
      </c>
      <c r="M23" s="38">
        <f t="shared" si="3"/>
        <v>303086</v>
      </c>
    </row>
    <row r="24" spans="1:13" x14ac:dyDescent="0.25">
      <c r="A24" s="9"/>
      <c r="B24" s="7" t="s">
        <v>36</v>
      </c>
      <c r="C24" s="6"/>
      <c r="D24" s="61">
        <f>SUM(D19:D23)</f>
        <v>-130522427</v>
      </c>
      <c r="E24" s="39">
        <f>SUM(E19:E23)</f>
        <v>-296039967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-130522427</v>
      </c>
      <c r="I24" s="39">
        <f t="shared" si="5"/>
        <v>-296039967</v>
      </c>
      <c r="J24" s="61">
        <f t="shared" si="5"/>
        <v>0</v>
      </c>
      <c r="K24" s="39">
        <f t="shared" si="5"/>
        <v>0</v>
      </c>
      <c r="L24" s="61">
        <f t="shared" si="5"/>
        <v>-130522427</v>
      </c>
      <c r="M24" s="39">
        <f t="shared" si="5"/>
        <v>-296039967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37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38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39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40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41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42</v>
      </c>
      <c r="D32" s="65">
        <f>'EAST-EGM-FLSH'!D32+'EAST-LRC-FLSH'!D32</f>
        <v>525505</v>
      </c>
      <c r="E32" s="66">
        <f>'EAST-EGM-FLSH'!E32+'EAST-LRC-FLSH'!E32</f>
        <v>1238528</v>
      </c>
      <c r="F32" s="60">
        <f>H32-D32</f>
        <v>0</v>
      </c>
      <c r="G32" s="37">
        <f>I32-E32</f>
        <v>0</v>
      </c>
      <c r="H32" s="60">
        <f>'EAST-EGM-FLSH'!H32+'EAST-LRC-FLSH'!H32</f>
        <v>525505</v>
      </c>
      <c r="I32" s="38">
        <f>'EAST-EGM-FLSH'!I32+'EAST-LRC-FLSH'!I32</f>
        <v>1238528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525505</v>
      </c>
      <c r="M32" s="38">
        <f t="shared" si="7"/>
        <v>1238528</v>
      </c>
    </row>
    <row r="33" spans="1:13" x14ac:dyDescent="0.25">
      <c r="A33" s="9">
        <v>14</v>
      </c>
      <c r="B33" s="7"/>
      <c r="C33" s="18" t="s">
        <v>43</v>
      </c>
      <c r="D33" s="65">
        <f>'EAST-EGM-FLSH'!D33+'EAST-LRC-FLSH'!D33</f>
        <v>-572495</v>
      </c>
      <c r="E33" s="66">
        <f>'EAST-EGM-FLSH'!E33+'EAST-LRC-FLSH'!E33</f>
        <v>-1346346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-572495</v>
      </c>
      <c r="I33" s="38">
        <f>'EAST-EGM-FLSH'!I33+'EAST-LRC-FLSH'!I33</f>
        <v>-1346346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-572495</v>
      </c>
      <c r="M33" s="38">
        <f t="shared" si="7"/>
        <v>-1346346</v>
      </c>
    </row>
    <row r="34" spans="1:13" x14ac:dyDescent="0.25">
      <c r="A34" s="9">
        <v>15</v>
      </c>
      <c r="B34" s="7"/>
      <c r="C34" s="18" t="s">
        <v>44</v>
      </c>
      <c r="D34" s="65">
        <f>'EAST-EGM-FLSH'!D34+'EAST-LRC-FLSH'!D34</f>
        <v>352983</v>
      </c>
      <c r="E34" s="66">
        <f>'EAST-EGM-FLSH'!E34+'EAST-LRC-FLSH'!E34</f>
        <v>794701</v>
      </c>
      <c r="F34" s="60">
        <f t="shared" si="8"/>
        <v>0</v>
      </c>
      <c r="G34" s="37">
        <f t="shared" si="8"/>
        <v>0</v>
      </c>
      <c r="H34" s="60">
        <f>'EAST-EGM-FLSH'!H34+'EAST-LRC-FLSH'!H34</f>
        <v>352983</v>
      </c>
      <c r="I34" s="38">
        <f>'EAST-EGM-FLSH'!I34+'EAST-LRC-FLSH'!I34</f>
        <v>794701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352983</v>
      </c>
      <c r="M34" s="38">
        <f t="shared" si="7"/>
        <v>794701</v>
      </c>
    </row>
    <row r="35" spans="1:13" x14ac:dyDescent="0.25">
      <c r="A35" s="9">
        <v>16</v>
      </c>
      <c r="B35" s="7"/>
      <c r="C35" s="18" t="s">
        <v>45</v>
      </c>
      <c r="D35" s="65">
        <f>'EAST-EGM-FLSH'!D35+'EAST-LRC-FLSH'!D35</f>
        <v>-113080</v>
      </c>
      <c r="E35" s="66">
        <f>'EAST-EGM-FLSH'!E35+'EAST-LRC-FLSH'!E35</f>
        <v>-254388</v>
      </c>
      <c r="F35" s="60">
        <f t="shared" si="8"/>
        <v>0</v>
      </c>
      <c r="G35" s="37">
        <f t="shared" si="8"/>
        <v>0</v>
      </c>
      <c r="H35" s="60">
        <f>'EAST-EGM-FLSH'!H35+'EAST-LRC-FLSH'!H35</f>
        <v>-113080</v>
      </c>
      <c r="I35" s="38">
        <f>'EAST-EGM-FLSH'!I35+'EAST-LRC-FLSH'!I35</f>
        <v>-254388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-113080</v>
      </c>
      <c r="M35" s="38">
        <f t="shared" si="7"/>
        <v>-254388</v>
      </c>
    </row>
    <row r="36" spans="1:13" x14ac:dyDescent="0.25">
      <c r="A36" s="9"/>
      <c r="B36" s="7" t="s">
        <v>46</v>
      </c>
      <c r="C36" s="6"/>
      <c r="D36" s="61">
        <f t="shared" ref="D36:I36" si="9">SUM(D32:D35)</f>
        <v>192913</v>
      </c>
      <c r="E36" s="39">
        <f t="shared" si="9"/>
        <v>432495</v>
      </c>
      <c r="F36" s="61">
        <f t="shared" si="9"/>
        <v>0</v>
      </c>
      <c r="G36" s="39">
        <f t="shared" si="9"/>
        <v>0</v>
      </c>
      <c r="H36" s="61">
        <f t="shared" si="9"/>
        <v>192913</v>
      </c>
      <c r="I36" s="39">
        <f t="shared" si="9"/>
        <v>432495</v>
      </c>
      <c r="J36" s="61">
        <f>SUM(J32:J34)</f>
        <v>0</v>
      </c>
      <c r="K36" s="39">
        <f>SUM(K32:K34)</f>
        <v>0</v>
      </c>
      <c r="L36" s="61">
        <f>SUM(L32:L35)</f>
        <v>192913</v>
      </c>
      <c r="M36" s="39">
        <f>SUM(M32:M35)</f>
        <v>432495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47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48</v>
      </c>
      <c r="D39" s="65">
        <f>'EAST-EGM-FLSH'!D39+'EAST-LRC-FLSH'!D39</f>
        <v>913477</v>
      </c>
      <c r="E39" s="66">
        <f>'EAST-EGM-FLSH'!E39+'EAST-LRC-FLSH'!E39</f>
        <v>2037051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913477</v>
      </c>
      <c r="I39" s="38">
        <f>'EAST-EGM-FLSH'!I39+'EAST-LRC-FLSH'!I39</f>
        <v>2037051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913477</v>
      </c>
      <c r="M39" s="38">
        <f t="shared" si="11"/>
        <v>2037051</v>
      </c>
    </row>
    <row r="40" spans="1:13" ht="22.5" customHeight="1" x14ac:dyDescent="0.25">
      <c r="A40" s="9">
        <v>18</v>
      </c>
      <c r="B40" s="7"/>
      <c r="C40" s="18" t="s">
        <v>49</v>
      </c>
      <c r="D40" s="65">
        <f>'EAST-EGM-FLSH'!D40+'EAST-LRC-FLSH'!D40</f>
        <v>-244706</v>
      </c>
      <c r="E40" s="66">
        <f>'EAST-EGM-FLSH'!E40+'EAST-LRC-FLSH'!E40</f>
        <v>-545695</v>
      </c>
      <c r="F40" s="60">
        <f t="shared" si="10"/>
        <v>0</v>
      </c>
      <c r="G40" s="37">
        <f t="shared" si="10"/>
        <v>0</v>
      </c>
      <c r="H40" s="60">
        <f>'EAST-EGM-FLSH'!H40+'EAST-LRC-FLSH'!H40</f>
        <v>-244706</v>
      </c>
      <c r="I40" s="38">
        <f>'EAST-EGM-FLSH'!I40+'EAST-LRC-FLSH'!I40</f>
        <v>-545695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-244706</v>
      </c>
      <c r="M40" s="38">
        <f t="shared" si="11"/>
        <v>-545695</v>
      </c>
    </row>
    <row r="41" spans="1:13" x14ac:dyDescent="0.25">
      <c r="A41" s="9">
        <v>19</v>
      </c>
      <c r="B41" s="7"/>
      <c r="C41" s="18" t="s">
        <v>50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51</v>
      </c>
      <c r="D42" s="61">
        <f>SUM(D40:D41)</f>
        <v>-244706</v>
      </c>
      <c r="E42" s="39">
        <f>SUM(E40:E41)</f>
        <v>-545695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-244706</v>
      </c>
      <c r="I42" s="39">
        <f t="shared" si="12"/>
        <v>-545695</v>
      </c>
      <c r="J42" s="61">
        <f t="shared" si="12"/>
        <v>0</v>
      </c>
      <c r="K42" s="39">
        <f t="shared" si="12"/>
        <v>0</v>
      </c>
      <c r="L42" s="61">
        <f t="shared" si="12"/>
        <v>-244706</v>
      </c>
      <c r="M42" s="39">
        <f t="shared" si="12"/>
        <v>-545695</v>
      </c>
    </row>
    <row r="43" spans="1:13" ht="21" customHeight="1" x14ac:dyDescent="0.25">
      <c r="A43" s="9"/>
      <c r="B43" s="7" t="s">
        <v>52</v>
      </c>
      <c r="C43" s="6"/>
      <c r="D43" s="61">
        <f>D42+D39</f>
        <v>668771</v>
      </c>
      <c r="E43" s="39">
        <f>E42+E39</f>
        <v>1491356</v>
      </c>
      <c r="F43" s="61">
        <f t="shared" ref="F43:M43" si="13">F42+F39</f>
        <v>0</v>
      </c>
      <c r="G43" s="39">
        <f t="shared" si="13"/>
        <v>0</v>
      </c>
      <c r="H43" s="61">
        <f t="shared" si="13"/>
        <v>668771</v>
      </c>
      <c r="I43" s="39">
        <f t="shared" si="13"/>
        <v>1491356</v>
      </c>
      <c r="J43" s="61">
        <f t="shared" si="13"/>
        <v>0</v>
      </c>
      <c r="K43" s="39">
        <f t="shared" si="13"/>
        <v>0</v>
      </c>
      <c r="L43" s="61">
        <f t="shared" si="13"/>
        <v>668771</v>
      </c>
      <c r="M43" s="39">
        <f t="shared" si="13"/>
        <v>1491356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53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54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55</v>
      </c>
      <c r="C49" s="6"/>
      <c r="D49" s="65">
        <f>'EAST-EGM-FLSH'!D49+'EAST-LRC-FLSH'!D49</f>
        <v>104050</v>
      </c>
      <c r="E49" s="66">
        <f>'EAST-EGM-FLSH'!E49+'EAST-LRC-FLSH'!E49</f>
        <v>231886.46217320184</v>
      </c>
      <c r="F49" s="60">
        <f>H49-D49</f>
        <v>0</v>
      </c>
      <c r="G49" s="37">
        <f>I49-E49</f>
        <v>0</v>
      </c>
      <c r="H49" s="60">
        <f>'EAST-EGM-FLSH'!H49+'EAST-LRC-FLSH'!H49</f>
        <v>104050</v>
      </c>
      <c r="I49" s="38">
        <f>'EAST-EGM-FLSH'!I49+'EAST-LRC-FLSH'!I49</f>
        <v>231886.46217320184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104050</v>
      </c>
      <c r="M49" s="38">
        <f>I49+K49</f>
        <v>231886.46217320184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56</v>
      </c>
      <c r="C51" s="6"/>
      <c r="D51" s="65">
        <f>'EAST-EGM-FLSH'!D51+'EAST-LRC-FLSH'!D51</f>
        <v>-133867</v>
      </c>
      <c r="E51" s="66">
        <f>'EAST-EGM-FLSH'!E51+'EAST-LRC-FLSH'!E51</f>
        <v>-303086</v>
      </c>
      <c r="F51" s="60">
        <f>H51-D51</f>
        <v>0</v>
      </c>
      <c r="G51" s="37">
        <f>I51-E51</f>
        <v>0</v>
      </c>
      <c r="H51" s="60">
        <f>'EAST-EGM-FLSH'!H51+'EAST-LRC-FLSH'!H51</f>
        <v>-133867</v>
      </c>
      <c r="I51" s="38">
        <f>'EAST-EGM-FLSH'!I51+'EAST-LRC-FLSH'!I51</f>
        <v>-303086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-133867</v>
      </c>
      <c r="M51" s="38">
        <f>I51+K51</f>
        <v>-303086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57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58</v>
      </c>
      <c r="D54" s="65">
        <f>'EAST-EGM-FLSH'!D54+'EAST-LRC-FLSH'!D54</f>
        <v>0</v>
      </c>
      <c r="E54" s="66">
        <f>'EAST-EGM-FLSH'!E54+'EAST-LRC-FLSH'!E54</f>
        <v>-451779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-451779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-451779</v>
      </c>
    </row>
    <row r="55" spans="1:15" x14ac:dyDescent="0.25">
      <c r="A55" s="9">
        <v>25</v>
      </c>
      <c r="B55" s="7"/>
      <c r="C55" s="18" t="s">
        <v>59</v>
      </c>
      <c r="D55" s="65">
        <f>'EAST-EGM-FLSH'!D55+'EAST-LRC-FLSH'!D55</f>
        <v>0</v>
      </c>
      <c r="E55" s="66">
        <f>'EAST-EGM-FLSH'!E55+'EAST-LRC-FLSH'!E55</f>
        <v>-434058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-434058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-434058</v>
      </c>
    </row>
    <row r="56" spans="1:15" x14ac:dyDescent="0.25">
      <c r="A56" s="9"/>
      <c r="B56" s="7" t="s">
        <v>60</v>
      </c>
      <c r="C56" s="6"/>
      <c r="D56" s="61">
        <f>SUM(D54:D55)</f>
        <v>0</v>
      </c>
      <c r="E56" s="39">
        <f>SUM(E54:E55)</f>
        <v>-885837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-885837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-885837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61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62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63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64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37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65</v>
      </c>
      <c r="D64" s="65">
        <f>'EAST-EGM-FLSH'!D64+'EAST-LRC-FLSH'!D64</f>
        <v>0</v>
      </c>
      <c r="E64" s="66">
        <f>'EAST-EGM-FLSH'!E64+'EAST-LRC-FLSH'!E64</f>
        <v>68597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68597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68597</v>
      </c>
    </row>
    <row r="65" spans="1:13" x14ac:dyDescent="0.25">
      <c r="A65" s="9">
        <v>29</v>
      </c>
      <c r="B65" s="11"/>
      <c r="C65" s="18" t="s">
        <v>66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67</v>
      </c>
      <c r="C66" s="6"/>
      <c r="D66" s="61">
        <f>SUM(D64:D65)</f>
        <v>0</v>
      </c>
      <c r="E66" s="39">
        <f>SUM(E64:E65)</f>
        <v>68597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68597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68597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68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69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70</v>
      </c>
      <c r="D70" s="65">
        <f>'EAST-EGM-FLSH'!D70+'EAST-LRC-FLSH'!D70</f>
        <v>0</v>
      </c>
      <c r="E70" s="66">
        <f>'EAST-EGM-FLSH'!E70+'EAST-LRC-FLSH'!E70</f>
        <v>5679557.9450000003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5679557.9450000003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5679557.9450000003</v>
      </c>
    </row>
    <row r="71" spans="1:13" x14ac:dyDescent="0.25">
      <c r="A71" s="9">
        <v>31</v>
      </c>
      <c r="B71" s="3"/>
      <c r="C71" s="10" t="s">
        <v>71</v>
      </c>
      <c r="D71" s="65">
        <f>'EAST-EGM-FLSH'!D71+'EAST-LRC-FLSH'!D71</f>
        <v>0</v>
      </c>
      <c r="E71" s="66">
        <f>'EAST-EGM-FLSH'!E71+'EAST-LRC-FLSH'!E71</f>
        <v>-2849704.85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-2849704.85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-2849704.85</v>
      </c>
    </row>
    <row r="72" spans="1:13" x14ac:dyDescent="0.25">
      <c r="A72" s="9"/>
      <c r="B72" s="3"/>
      <c r="C72" s="55" t="s">
        <v>72</v>
      </c>
      <c r="D72" s="61">
        <f>SUM(D70:D71)</f>
        <v>0</v>
      </c>
      <c r="E72" s="39">
        <f>SUM(E70:E71)</f>
        <v>2829853.0950000002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2829853.0950000002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2829853.0950000002</v>
      </c>
    </row>
    <row r="73" spans="1:13" x14ac:dyDescent="0.25">
      <c r="A73" s="9">
        <v>32</v>
      </c>
      <c r="B73" s="3"/>
      <c r="C73" s="10" t="s">
        <v>73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74</v>
      </c>
      <c r="D74" s="65">
        <f>'EAST-EGM-FLSH'!D74+'EAST-LRC-FLSH'!D74</f>
        <v>0</v>
      </c>
      <c r="E74" s="66">
        <f>'EAST-EGM-FLSH'!E74+'EAST-LRC-FLSH'!E74</f>
        <v>-1040060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-1040060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-1040060</v>
      </c>
    </row>
    <row r="75" spans="1:13" x14ac:dyDescent="0.25">
      <c r="A75" s="9">
        <v>34</v>
      </c>
      <c r="B75" s="3"/>
      <c r="C75" s="10" t="s">
        <v>75</v>
      </c>
      <c r="D75" s="65">
        <f>'EAST-EGM-FLSH'!D75+'EAST-LRC-FLSH'!D75</f>
        <v>0</v>
      </c>
      <c r="E75" s="66">
        <f>'EAST-EGM-FLSH'!E75+'EAST-LRC-FLSH'!E75</f>
        <v>17993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17993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17993</v>
      </c>
    </row>
    <row r="76" spans="1:13" x14ac:dyDescent="0.25">
      <c r="A76" s="9">
        <v>35</v>
      </c>
      <c r="B76" s="3"/>
      <c r="C76" s="10" t="s">
        <v>76</v>
      </c>
      <c r="D76" s="65">
        <f>'EAST-EGM-FLSH'!D76+'EAST-LRC-FLSH'!D76</f>
        <v>0</v>
      </c>
      <c r="E76" s="66">
        <f>'EAST-EGM-FLSH'!E76+'EAST-LRC-FLSH'!E76</f>
        <v>-19109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-19109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-19109</v>
      </c>
    </row>
    <row r="77" spans="1:13" x14ac:dyDescent="0.25">
      <c r="A77" s="9">
        <v>36</v>
      </c>
      <c r="B77" s="3"/>
      <c r="C77" s="10" t="s">
        <v>77</v>
      </c>
      <c r="D77" s="65">
        <f>'EAST-EGM-FLSH'!D77+'EAST-LRC-FLSH'!D77</f>
        <v>0</v>
      </c>
      <c r="E77" s="66">
        <f>'EAST-EGM-FLSH'!E77+'EAST-LRC-FLSH'!E77</f>
        <v>-1036809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-1036809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-1036809</v>
      </c>
    </row>
    <row r="78" spans="1:13" x14ac:dyDescent="0.25">
      <c r="A78" s="9">
        <v>37</v>
      </c>
      <c r="B78" s="3"/>
      <c r="C78" s="10" t="s">
        <v>78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79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80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81</v>
      </c>
      <c r="D81" s="60"/>
      <c r="E81" s="66">
        <f>'EAST-EGM-FLSH'!E81+'EAST-LRC-FLSH'!E81</f>
        <v>-2667035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-2667035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-2667035</v>
      </c>
    </row>
    <row r="82" spans="1:67" s="44" customFormat="1" ht="20.25" customHeight="1" thickBot="1" x14ac:dyDescent="0.3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-2107173.4978267765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-2107173.4978267765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-2107173.4978267765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-2107173.4978267881</v>
      </c>
      <c r="M84" s="45"/>
    </row>
    <row r="85" spans="1:67" x14ac:dyDescent="0.25">
      <c r="A85" s="4" t="s">
        <v>173</v>
      </c>
      <c r="B85" s="3"/>
    </row>
    <row r="86" spans="1:67" s="3" customFormat="1" x14ac:dyDescent="0.25">
      <c r="A86" s="172"/>
      <c r="C86" s="10" t="s">
        <v>176</v>
      </c>
      <c r="D86" s="173">
        <f>'EAST-EGM-FLSH'!D86+'EAST-LRC-FLSH'!D86</f>
        <v>0</v>
      </c>
      <c r="E86" s="173">
        <f>'EAST-EGM-FLSH'!E86+'EAST-LRC-FLSH'!E86</f>
        <v>219364</v>
      </c>
      <c r="F86" s="173">
        <f>'EAST-EGM-FLSH'!F86+'EAST-LRC-FLSH'!F86</f>
        <v>0</v>
      </c>
      <c r="G86" s="173">
        <f>'EAST-EGM-FLSH'!G86+'EAST-LRC-FLSH'!G86</f>
        <v>0</v>
      </c>
      <c r="H86" s="173">
        <f>'EAST-EGM-FLSH'!H86+'EAST-LRC-FLSH'!H86</f>
        <v>0</v>
      </c>
      <c r="I86" s="173">
        <f>'EAST-EGM-FLSH'!I86+'EAST-LRC-FLSH'!I86</f>
        <v>219364</v>
      </c>
      <c r="J86" s="173">
        <f>'EAST-EGM-FLSH'!J86+'EAST-LRC-FLSH'!J86</f>
        <v>0</v>
      </c>
      <c r="K86" s="173">
        <f>'EAST-EGM-FLSH'!K86+'EAST-LRC-FLSH'!K86</f>
        <v>0</v>
      </c>
      <c r="L86" s="173">
        <f>'EAST-EGM-FLSH'!L86+'EAST-LRC-FLSH'!L86</f>
        <v>0</v>
      </c>
      <c r="M86" s="173">
        <f>'EAST-EGM-FLSH'!M86+'EAST-LRC-FLSH'!M86</f>
        <v>219364</v>
      </c>
    </row>
    <row r="87" spans="1:67" s="3" customFormat="1" x14ac:dyDescent="0.25">
      <c r="A87" s="172"/>
      <c r="C87" s="10" t="s">
        <v>74</v>
      </c>
      <c r="D87" s="174">
        <f>'EAST-EGM-FLSH'!D87+'EAST-LRC-FLSH'!D87</f>
        <v>0</v>
      </c>
      <c r="E87" s="174">
        <f>'EAST-EGM-FLSH'!E87+'EAST-LRC-FLSH'!E87</f>
        <v>0</v>
      </c>
      <c r="F87" s="174">
        <f>'EAST-EGM-FLSH'!F87+'EAST-LRC-FLSH'!F87</f>
        <v>0</v>
      </c>
      <c r="G87" s="174">
        <f>'EAST-EGM-FLSH'!G87+'EAST-LRC-FLSH'!G87</f>
        <v>0</v>
      </c>
      <c r="H87" s="174">
        <f>'EAST-EGM-FLSH'!H87+'EAST-LRC-FLSH'!H87</f>
        <v>0</v>
      </c>
      <c r="I87" s="174">
        <f>'EAST-EGM-FLSH'!I87+'EAST-LRC-FLSH'!I87</f>
        <v>0</v>
      </c>
      <c r="J87" s="174">
        <f>'EAST-EGM-FLSH'!J87+'EAST-LRC-FLSH'!J87</f>
        <v>0</v>
      </c>
      <c r="K87" s="174">
        <f>'EAST-EGM-FLSH'!K87+'EAST-LRC-FLSH'!K87</f>
        <v>0</v>
      </c>
      <c r="L87" s="174">
        <f>'EAST-EGM-FLSH'!L87+'EAST-LRC-FLSH'!L87</f>
        <v>0</v>
      </c>
      <c r="M87" s="174">
        <f>'EAST-EGM-FLSH'!M87+'EAST-LRC-FLSH'!M87</f>
        <v>0</v>
      </c>
    </row>
    <row r="88" spans="1:67" s="3" customFormat="1" x14ac:dyDescent="0.25">
      <c r="A88" s="172"/>
      <c r="C88" s="10" t="s">
        <v>75</v>
      </c>
      <c r="D88" s="175">
        <f>'EAST-EGM-FLSH'!D88+'EAST-LRC-FLSH'!D88</f>
        <v>0</v>
      </c>
      <c r="E88" s="175">
        <f>'EAST-EGM-FLSH'!E88+'EAST-LRC-FLSH'!E88</f>
        <v>0</v>
      </c>
      <c r="F88" s="175">
        <f>'EAST-EGM-FLSH'!F88+'EAST-LRC-FLSH'!F88</f>
        <v>0</v>
      </c>
      <c r="G88" s="175">
        <f>'EAST-EGM-FLSH'!G88+'EAST-LRC-FLSH'!G88</f>
        <v>0</v>
      </c>
      <c r="H88" s="175">
        <f>'EAST-EGM-FLSH'!H88+'EAST-LRC-FLSH'!H88</f>
        <v>0</v>
      </c>
      <c r="I88" s="175">
        <f>'EAST-EGM-FLSH'!I88+'EAST-LRC-FLSH'!I88</f>
        <v>0</v>
      </c>
      <c r="J88" s="175">
        <f>'EAST-EGM-FLSH'!J88+'EAST-LRC-FLSH'!J88</f>
        <v>0</v>
      </c>
      <c r="K88" s="175">
        <f>'EAST-EGM-FLSH'!K88+'EAST-LRC-FLSH'!K88</f>
        <v>0</v>
      </c>
      <c r="L88" s="175">
        <f>'EAST-EGM-FLSH'!L88+'EAST-LRC-FLSH'!L88</f>
        <v>0</v>
      </c>
      <c r="M88" s="175">
        <f>'EAST-EGM-FLSH'!M88+'EAST-LRC-FLSH'!M88</f>
        <v>0</v>
      </c>
    </row>
    <row r="89" spans="1:67" s="44" customFormat="1" ht="20.25" customHeight="1" x14ac:dyDescent="0.25">
      <c r="A89" s="179"/>
      <c r="B89" s="180"/>
      <c r="C89" s="181" t="s">
        <v>179</v>
      </c>
      <c r="D89" s="183">
        <f>SUM(D86:D88)</f>
        <v>0</v>
      </c>
      <c r="E89" s="183">
        <f t="shared" ref="E89:M89" si="20">SUM(E86:E88)</f>
        <v>219364</v>
      </c>
      <c r="F89" s="183">
        <f t="shared" si="20"/>
        <v>0</v>
      </c>
      <c r="G89" s="183">
        <f t="shared" si="20"/>
        <v>0</v>
      </c>
      <c r="H89" s="183">
        <f t="shared" si="20"/>
        <v>0</v>
      </c>
      <c r="I89" s="183">
        <f t="shared" si="20"/>
        <v>219364</v>
      </c>
      <c r="J89" s="183">
        <f t="shared" si="20"/>
        <v>0</v>
      </c>
      <c r="K89" s="183">
        <f t="shared" si="20"/>
        <v>0</v>
      </c>
      <c r="L89" s="183">
        <f t="shared" si="20"/>
        <v>0</v>
      </c>
      <c r="M89" s="183">
        <f t="shared" si="20"/>
        <v>219364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177</v>
      </c>
      <c r="D91" s="183">
        <f>+D82+D89</f>
        <v>0</v>
      </c>
      <c r="E91" s="183">
        <f t="shared" ref="E91:M91" si="21">+E82+E89</f>
        <v>-1887809.4978267765</v>
      </c>
      <c r="F91" s="183">
        <f t="shared" si="21"/>
        <v>0</v>
      </c>
      <c r="G91" s="183">
        <f t="shared" si="21"/>
        <v>0</v>
      </c>
      <c r="H91" s="183">
        <f t="shared" si="21"/>
        <v>0</v>
      </c>
      <c r="I91" s="183">
        <f t="shared" si="21"/>
        <v>-1887809.4978267765</v>
      </c>
      <c r="J91" s="183">
        <f t="shared" si="21"/>
        <v>0</v>
      </c>
      <c r="K91" s="183">
        <f t="shared" si="21"/>
        <v>0</v>
      </c>
      <c r="L91" s="183">
        <f t="shared" si="21"/>
        <v>0</v>
      </c>
      <c r="M91" s="183">
        <f t="shared" si="21"/>
        <v>-1887809.4978267765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2000-01-14T23:17:35Z</cp:lastPrinted>
  <dcterms:created xsi:type="dcterms:W3CDTF">1997-07-11T21:57:33Z</dcterms:created>
  <dcterms:modified xsi:type="dcterms:W3CDTF">2023-09-10T12:18:35Z</dcterms:modified>
</cp:coreProperties>
</file>