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7">Actuals!$D$637:$I$651</definedName>
    <definedName name="_xlnm.Print_Area" localSheetId="10">'BGC-EGM-FLSH'!$A$1:$M$82</definedName>
    <definedName name="_xlnm.Print_Area" localSheetId="38">'BGC-EGM-VAR'!$A$1:$I$82</definedName>
    <definedName name="_xlnm.Print_Area" localSheetId="46">BUG_VAR!$A$1:$I$82</definedName>
    <definedName name="_xlnm.Print_Area" localSheetId="33">'CE-VAR'!$A$1:$I$82</definedName>
    <definedName name="_xlnm.Print_Area" localSheetId="1">Check!$A$1:$H$27</definedName>
    <definedName name="_xlnm.Print_Area" localSheetId="9">'EAST-CON-FLSH'!$A$1:$M$82</definedName>
    <definedName name="_xlnm.Print_Area" localSheetId="37">'EAST-CON-VAR'!$A$1:$I$82</definedName>
    <definedName name="_xlnm.Print_Area" localSheetId="7">'EAST-EGM-FLSH'!$A$1:$M$82</definedName>
    <definedName name="_xlnm.Print_Area" localSheetId="35">'EAST-EGM-VAR'!$A$1:$I$82</definedName>
    <definedName name="_xlnm.Print_Area" localSheetId="8">'EAST-LRC-FLSH'!$A$1:$M$82</definedName>
    <definedName name="_xlnm.Print_Area" localSheetId="36">'EAST-LRC-VAR'!$A$1:$I$82</definedName>
    <definedName name="_xlnm.Print_Area" localSheetId="45">ONT_VAR!$A$1:$I$82</definedName>
    <definedName name="_xlnm.Print_Area" localSheetId="3">RECLASS!$A$1:$AC$82</definedName>
    <definedName name="_xlnm.Print_Area" localSheetId="44">STG_VAR!$A$1:$I$82</definedName>
    <definedName name="_xlnm.Print_Area" localSheetId="4">'TIE-OUT'!$A$1:$AE$95</definedName>
    <definedName name="_xlnm.Print_Area" localSheetId="2">TOTAL!$A$1:$I$82</definedName>
    <definedName name="_xlnm.Print_Area" localSheetId="14">'TX-CON-FLSH'!$A$1:$M$82</definedName>
    <definedName name="_xlnm.Print_Area" localSheetId="42">'TX-CON-VAR'!$A$1:$I$82</definedName>
    <definedName name="_xlnm.Print_Area" localSheetId="11">'TX-EGM-FLSH'!$A$1:$M$82</definedName>
    <definedName name="_xlnm.Print_Area" localSheetId="39">'TX-EGM-VAR'!$A$1:$I$82</definedName>
    <definedName name="_xlnm.Print_Area" localSheetId="12">'TX-HPLR-FLSH'!$A$1:$M$82</definedName>
    <definedName name="_xlnm.Print_Area" localSheetId="40">'TX-HPLR-VAR '!$A$1:$I$82</definedName>
    <definedName name="_xlnm.Print_Area" localSheetId="15">'WE-FLSH'!$A$1:$M$82</definedName>
    <definedName name="_xlnm.Print_Area" localSheetId="43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AD639" i="44"/>
  <c r="AE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5" i="48"/>
  <c r="D11" i="48"/>
  <c r="E11" i="48"/>
  <c r="F11" i="48"/>
  <c r="G11" i="48"/>
  <c r="D12" i="48"/>
  <c r="E12" i="48"/>
  <c r="F12" i="48"/>
  <c r="G12" i="48"/>
  <c r="D13" i="48"/>
  <c r="E13" i="48"/>
  <c r="F13" i="48"/>
  <c r="G13" i="48"/>
  <c r="D14" i="48"/>
  <c r="E14" i="48"/>
  <c r="F14" i="48"/>
  <c r="G14" i="48"/>
  <c r="D15" i="48"/>
  <c r="E15" i="48"/>
  <c r="F15" i="48"/>
  <c r="G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D19" i="48"/>
  <c r="E19" i="48"/>
  <c r="F19" i="48"/>
  <c r="G19" i="48"/>
  <c r="D20" i="48"/>
  <c r="E20" i="48"/>
  <c r="F20" i="48"/>
  <c r="G20" i="48"/>
  <c r="D21" i="48"/>
  <c r="E21" i="48"/>
  <c r="F21" i="48"/>
  <c r="G21" i="48"/>
  <c r="D22" i="48"/>
  <c r="E22" i="48"/>
  <c r="F22" i="48"/>
  <c r="G22" i="48"/>
  <c r="D23" i="48"/>
  <c r="E23" i="48"/>
  <c r="F23" i="48"/>
  <c r="G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D27" i="48"/>
  <c r="E27" i="48"/>
  <c r="F27" i="48"/>
  <c r="G27" i="48"/>
  <c r="D28" i="48"/>
  <c r="E28" i="48"/>
  <c r="F28" i="48"/>
  <c r="G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D32" i="48"/>
  <c r="E32" i="48"/>
  <c r="F32" i="48"/>
  <c r="G32" i="48"/>
  <c r="D33" i="48"/>
  <c r="E33" i="48"/>
  <c r="F33" i="48"/>
  <c r="G33" i="48"/>
  <c r="D34" i="48"/>
  <c r="E34" i="48"/>
  <c r="F34" i="48"/>
  <c r="G34" i="48"/>
  <c r="D35" i="48"/>
  <c r="E35" i="48"/>
  <c r="F35" i="48"/>
  <c r="G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D39" i="48"/>
  <c r="E39" i="48"/>
  <c r="F39" i="48"/>
  <c r="G39" i="48"/>
  <c r="D40" i="48"/>
  <c r="E40" i="48"/>
  <c r="F40" i="48"/>
  <c r="G40" i="48"/>
  <c r="D41" i="48"/>
  <c r="E41" i="48"/>
  <c r="F41" i="48"/>
  <c r="G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D45" i="48"/>
  <c r="E45" i="48"/>
  <c r="F45" i="48"/>
  <c r="G45" i="48"/>
  <c r="D47" i="48"/>
  <c r="E47" i="48"/>
  <c r="F47" i="48"/>
  <c r="G47" i="48"/>
  <c r="D49" i="48"/>
  <c r="E49" i="48"/>
  <c r="F49" i="48"/>
  <c r="G49" i="48"/>
  <c r="D51" i="48"/>
  <c r="E51" i="48"/>
  <c r="F51" i="48"/>
  <c r="G51" i="48"/>
  <c r="D54" i="48"/>
  <c r="E54" i="48"/>
  <c r="F54" i="48"/>
  <c r="G54" i="48"/>
  <c r="D55" i="48"/>
  <c r="E55" i="48"/>
  <c r="F55" i="48"/>
  <c r="G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D59" i="48"/>
  <c r="E59" i="48"/>
  <c r="F59" i="48"/>
  <c r="G59" i="48"/>
  <c r="D60" i="48"/>
  <c r="E60" i="48"/>
  <c r="F60" i="48"/>
  <c r="G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D64" i="48"/>
  <c r="E64" i="48"/>
  <c r="F64" i="48"/>
  <c r="G64" i="48"/>
  <c r="D65" i="48"/>
  <c r="E65" i="48"/>
  <c r="F65" i="48"/>
  <c r="G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D70" i="48"/>
  <c r="E70" i="48"/>
  <c r="F70" i="48"/>
  <c r="G70" i="48"/>
  <c r="D71" i="48"/>
  <c r="E71" i="48"/>
  <c r="F71" i="48"/>
  <c r="G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D73" i="48"/>
  <c r="E73" i="48"/>
  <c r="F73" i="48"/>
  <c r="G73" i="48"/>
  <c r="D74" i="48"/>
  <c r="E74" i="48"/>
  <c r="F74" i="48"/>
  <c r="G74" i="48"/>
  <c r="D75" i="48"/>
  <c r="E75" i="48"/>
  <c r="F75" i="48"/>
  <c r="G75" i="48"/>
  <c r="D76" i="48"/>
  <c r="E76" i="48"/>
  <c r="F76" i="48"/>
  <c r="G76" i="48"/>
  <c r="D77" i="48"/>
  <c r="E77" i="48"/>
  <c r="F77" i="48"/>
  <c r="G77" i="48"/>
  <c r="D78" i="48"/>
  <c r="E78" i="48"/>
  <c r="F78" i="48"/>
  <c r="G78" i="48"/>
  <c r="D79" i="48"/>
  <c r="E79" i="48"/>
  <c r="F79" i="48"/>
  <c r="G79" i="48"/>
  <c r="D80" i="48"/>
  <c r="E80" i="48"/>
  <c r="F80" i="48"/>
  <c r="G80" i="48"/>
  <c r="D81" i="48"/>
  <c r="E81" i="48"/>
  <c r="F81" i="48"/>
  <c r="G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D11" i="29"/>
  <c r="E11" i="29"/>
  <c r="F11" i="29"/>
  <c r="G11" i="29"/>
  <c r="H11" i="29"/>
  <c r="I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D13" i="29"/>
  <c r="E13" i="29"/>
  <c r="F13" i="29"/>
  <c r="G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D19" i="29"/>
  <c r="E19" i="29"/>
  <c r="F19" i="29"/>
  <c r="G19" i="29"/>
  <c r="H19" i="29"/>
  <c r="I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D21" i="29"/>
  <c r="E21" i="29"/>
  <c r="F21" i="29"/>
  <c r="G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D32" i="29"/>
  <c r="E32" i="29"/>
  <c r="F32" i="29"/>
  <c r="G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D49" i="29"/>
  <c r="E49" i="29"/>
  <c r="F49" i="29"/>
  <c r="G49" i="29"/>
  <c r="H49" i="29"/>
  <c r="I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D55" i="29"/>
  <c r="E55" i="29"/>
  <c r="F55" i="29"/>
  <c r="G55" i="29"/>
  <c r="J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D76" i="29"/>
  <c r="E76" i="29"/>
  <c r="F76" i="29"/>
  <c r="G76" i="29"/>
  <c r="H76" i="29"/>
  <c r="I76" i="29"/>
  <c r="J76" i="29"/>
  <c r="K76" i="29"/>
  <c r="L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D19" i="20"/>
  <c r="AE19" i="20"/>
  <c r="AF19" i="20"/>
  <c r="AG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D23" i="20"/>
  <c r="AE23" i="20"/>
  <c r="AF23" i="20"/>
  <c r="AG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D32" i="20"/>
  <c r="AE32" i="20"/>
  <c r="AF32" i="20"/>
  <c r="AG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D51" i="20"/>
  <c r="AE51" i="20"/>
  <c r="AF51" i="20"/>
  <c r="AG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C13" i="4"/>
  <c r="E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H28" i="4"/>
  <c r="B29" i="4"/>
  <c r="C29" i="4"/>
  <c r="D29" i="4"/>
  <c r="E29" i="4"/>
  <c r="F29" i="4"/>
  <c r="G29" i="4"/>
  <c r="G83" i="4"/>
  <c r="G85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R20" i="21"/>
  <c r="T20" i="21"/>
  <c r="V20" i="21"/>
  <c r="X20" i="21"/>
  <c r="Z20" i="21"/>
  <c r="AB20" i="21"/>
  <c r="AC20" i="21"/>
  <c r="AD20" i="21"/>
  <c r="AE20" i="21"/>
  <c r="AF20" i="21"/>
  <c r="AG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G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D11" i="31"/>
  <c r="E11" i="31"/>
  <c r="F11" i="31"/>
  <c r="G11" i="31"/>
  <c r="H11" i="31"/>
  <c r="I11" i="31"/>
  <c r="K11" i="31"/>
  <c r="L11" i="31"/>
  <c r="M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D12" i="31"/>
  <c r="E12" i="31"/>
  <c r="F12" i="31"/>
  <c r="G12" i="31"/>
  <c r="L12" i="31"/>
  <c r="M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D13" i="31"/>
  <c r="E13" i="31"/>
  <c r="F13" i="31"/>
  <c r="G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D14" i="31"/>
  <c r="E14" i="31"/>
  <c r="F14" i="31"/>
  <c r="G14" i="31"/>
  <c r="L14" i="31"/>
  <c r="M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D15" i="31"/>
  <c r="E15" i="31"/>
  <c r="F15" i="31"/>
  <c r="G15" i="31"/>
  <c r="L15" i="31"/>
  <c r="M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D19" i="31"/>
  <c r="E19" i="31"/>
  <c r="F19" i="31"/>
  <c r="G19" i="31"/>
  <c r="H19" i="31"/>
  <c r="I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D20" i="31"/>
  <c r="E20" i="31"/>
  <c r="F20" i="31"/>
  <c r="G20" i="31"/>
  <c r="L20" i="31"/>
  <c r="M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D21" i="31"/>
  <c r="E21" i="31"/>
  <c r="F21" i="31"/>
  <c r="G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D22" i="31"/>
  <c r="E22" i="31"/>
  <c r="F22" i="31"/>
  <c r="G22" i="31"/>
  <c r="L22" i="31"/>
  <c r="M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D23" i="31"/>
  <c r="E23" i="31"/>
  <c r="F23" i="31"/>
  <c r="G23" i="31"/>
  <c r="L23" i="31"/>
  <c r="M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D27" i="31"/>
  <c r="E27" i="31"/>
  <c r="F27" i="31"/>
  <c r="G27" i="31"/>
  <c r="L27" i="31"/>
  <c r="M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D28" i="31"/>
  <c r="E28" i="31"/>
  <c r="F28" i="31"/>
  <c r="G28" i="31"/>
  <c r="L28" i="31"/>
  <c r="M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D32" i="31"/>
  <c r="E32" i="31"/>
  <c r="F32" i="31"/>
  <c r="G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D33" i="31"/>
  <c r="E33" i="31"/>
  <c r="F33" i="31"/>
  <c r="G33" i="31"/>
  <c r="L33" i="31"/>
  <c r="M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D34" i="31"/>
  <c r="E34" i="31"/>
  <c r="F34" i="31"/>
  <c r="G34" i="31"/>
  <c r="L34" i="31"/>
  <c r="M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D35" i="31"/>
  <c r="E35" i="31"/>
  <c r="F35" i="31"/>
  <c r="G35" i="31"/>
  <c r="L35" i="31"/>
  <c r="M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D39" i="31"/>
  <c r="E39" i="31"/>
  <c r="F39" i="31"/>
  <c r="G39" i="31"/>
  <c r="L39" i="31"/>
  <c r="M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D40" i="31"/>
  <c r="E40" i="31"/>
  <c r="F40" i="31"/>
  <c r="G40" i="31"/>
  <c r="L40" i="31"/>
  <c r="M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D41" i="31"/>
  <c r="E41" i="31"/>
  <c r="F41" i="31"/>
  <c r="G41" i="31"/>
  <c r="L41" i="31"/>
  <c r="M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D45" i="31"/>
  <c r="E45" i="31"/>
  <c r="F45" i="31"/>
  <c r="G45" i="31"/>
  <c r="L45" i="31"/>
  <c r="M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D47" i="31"/>
  <c r="E47" i="31"/>
  <c r="F47" i="31"/>
  <c r="G47" i="31"/>
  <c r="L47" i="31"/>
  <c r="M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D49" i="31"/>
  <c r="E49" i="31"/>
  <c r="F49" i="31"/>
  <c r="G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D51" i="31"/>
  <c r="E51" i="31"/>
  <c r="F51" i="31"/>
  <c r="G51" i="31"/>
  <c r="L51" i="31"/>
  <c r="M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D54" i="31"/>
  <c r="E54" i="31"/>
  <c r="F54" i="31"/>
  <c r="G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D55" i="31"/>
  <c r="E55" i="31"/>
  <c r="F55" i="31"/>
  <c r="G55" i="31"/>
  <c r="L55" i="31"/>
  <c r="M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D59" i="31"/>
  <c r="E59" i="31"/>
  <c r="F59" i="31"/>
  <c r="G59" i="31"/>
  <c r="L59" i="31"/>
  <c r="M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D60" i="31"/>
  <c r="E60" i="31"/>
  <c r="F60" i="31"/>
  <c r="G60" i="31"/>
  <c r="L60" i="31"/>
  <c r="M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D64" i="31"/>
  <c r="E64" i="31"/>
  <c r="F64" i="31"/>
  <c r="G64" i="31"/>
  <c r="L64" i="31"/>
  <c r="M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D65" i="31"/>
  <c r="E65" i="31"/>
  <c r="F65" i="31"/>
  <c r="G65" i="31"/>
  <c r="L65" i="31"/>
  <c r="M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D70" i="31"/>
  <c r="E70" i="31"/>
  <c r="F70" i="31"/>
  <c r="G70" i="31"/>
  <c r="L70" i="31"/>
  <c r="M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D71" i="31"/>
  <c r="E71" i="31"/>
  <c r="F71" i="31"/>
  <c r="G71" i="31"/>
  <c r="L71" i="31"/>
  <c r="M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D73" i="31"/>
  <c r="E73" i="31"/>
  <c r="F73" i="31"/>
  <c r="G73" i="31"/>
  <c r="L73" i="31"/>
  <c r="M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D74" i="31"/>
  <c r="E74" i="31"/>
  <c r="F74" i="31"/>
  <c r="G74" i="31"/>
  <c r="L74" i="31"/>
  <c r="M74" i="31"/>
  <c r="P74" i="31"/>
  <c r="Q74" i="31"/>
  <c r="R74" i="31"/>
  <c r="S74" i="31"/>
  <c r="T74" i="31"/>
  <c r="U74" i="31"/>
  <c r="V74" i="31"/>
  <c r="X74" i="31"/>
  <c r="Z74" i="31"/>
  <c r="D75" i="31"/>
  <c r="E75" i="31"/>
  <c r="F75" i="31"/>
  <c r="G75" i="31"/>
  <c r="L75" i="31"/>
  <c r="M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D76" i="31"/>
  <c r="E76" i="31"/>
  <c r="F76" i="31"/>
  <c r="G76" i="31"/>
  <c r="L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D77" i="31"/>
  <c r="E77" i="31"/>
  <c r="F77" i="31"/>
  <c r="G77" i="31"/>
  <c r="L77" i="31"/>
  <c r="M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D78" i="31"/>
  <c r="E78" i="31"/>
  <c r="F78" i="31"/>
  <c r="G78" i="31"/>
  <c r="L78" i="31"/>
  <c r="M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D79" i="31"/>
  <c r="E79" i="31"/>
  <c r="F79" i="31"/>
  <c r="G79" i="31"/>
  <c r="L79" i="31"/>
  <c r="M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D80" i="31"/>
  <c r="E80" i="31"/>
  <c r="F80" i="31"/>
  <c r="G80" i="31"/>
  <c r="L80" i="31"/>
  <c r="M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D81" i="31"/>
  <c r="E81" i="31"/>
  <c r="F81" i="31"/>
  <c r="G81" i="31"/>
  <c r="L81" i="31"/>
  <c r="M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AC11" i="6"/>
  <c r="D12" i="6"/>
  <c r="E12" i="6"/>
  <c r="D13" i="6"/>
  <c r="E13" i="6"/>
  <c r="D14" i="6"/>
  <c r="E14" i="6"/>
  <c r="D15" i="6"/>
  <c r="E15" i="6"/>
  <c r="I15" i="6"/>
  <c r="O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9" i="6"/>
  <c r="E19" i="6"/>
  <c r="I19" i="6"/>
  <c r="AC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5" i="6"/>
  <c r="E45" i="6"/>
  <c r="D47" i="6"/>
  <c r="E47" i="6"/>
  <c r="D49" i="6"/>
  <c r="E49" i="6"/>
  <c r="D51" i="6"/>
  <c r="E51" i="6"/>
  <c r="D54" i="6"/>
  <c r="E54" i="6"/>
  <c r="G54" i="6"/>
  <c r="I54" i="6"/>
  <c r="AC54" i="6"/>
  <c r="D55" i="6"/>
  <c r="E55" i="6"/>
  <c r="G55" i="6"/>
  <c r="I55" i="6"/>
  <c r="O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E74" i="6"/>
  <c r="G74" i="6"/>
  <c r="I74" i="6"/>
  <c r="O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D70" i="30"/>
  <c r="E70" i="30"/>
  <c r="F70" i="30"/>
  <c r="G70" i="30"/>
  <c r="K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M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K74" i="7"/>
  <c r="U74" i="7"/>
  <c r="AA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AA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98" i="7"/>
  <c r="E99" i="7"/>
  <c r="E101" i="7"/>
  <c r="E102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R20" i="25"/>
  <c r="T20" i="25"/>
  <c r="V20" i="25"/>
  <c r="X20" i="25"/>
  <c r="Z20" i="25"/>
  <c r="AB20" i="25"/>
  <c r="AC20" i="25"/>
  <c r="AD20" i="25"/>
  <c r="AE20" i="25"/>
  <c r="AF20" i="25"/>
  <c r="AG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D70" i="25"/>
  <c r="E70" i="25"/>
  <c r="F70" i="25"/>
  <c r="G70" i="25"/>
  <c r="H70" i="25"/>
  <c r="I70" i="25"/>
  <c r="J70" i="25"/>
  <c r="K70" i="25"/>
  <c r="L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D11" i="46"/>
  <c r="E11" i="46"/>
  <c r="F11" i="46"/>
  <c r="G11" i="46"/>
  <c r="AD11" i="46"/>
  <c r="AE11" i="46"/>
  <c r="AF11" i="46"/>
  <c r="AG11" i="46"/>
  <c r="D12" i="46"/>
  <c r="E12" i="46"/>
  <c r="F12" i="46"/>
  <c r="G12" i="46"/>
  <c r="L12" i="46"/>
  <c r="M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D13" i="46"/>
  <c r="E13" i="46"/>
  <c r="F13" i="46"/>
  <c r="G13" i="46"/>
  <c r="L13" i="46"/>
  <c r="M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D14" i="46"/>
  <c r="E14" i="46"/>
  <c r="F14" i="46"/>
  <c r="G14" i="46"/>
  <c r="L14" i="46"/>
  <c r="M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D15" i="46"/>
  <c r="E15" i="46"/>
  <c r="F15" i="46"/>
  <c r="G15" i="46"/>
  <c r="L15" i="46"/>
  <c r="M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D19" i="46"/>
  <c r="E19" i="46"/>
  <c r="F19" i="46"/>
  <c r="G19" i="46"/>
  <c r="AB19" i="46"/>
  <c r="AC19" i="46"/>
  <c r="D20" i="46"/>
  <c r="E20" i="46"/>
  <c r="F20" i="46"/>
  <c r="G20" i="46"/>
  <c r="K20" i="46"/>
  <c r="L20" i="46"/>
  <c r="M20" i="46"/>
  <c r="P20" i="46"/>
  <c r="Q20" i="46"/>
  <c r="AB20" i="46"/>
  <c r="AC20" i="46"/>
  <c r="AD20" i="46"/>
  <c r="AE20" i="46"/>
  <c r="AF20" i="46"/>
  <c r="AG20" i="46"/>
  <c r="D21" i="46"/>
  <c r="E21" i="46"/>
  <c r="F21" i="46"/>
  <c r="G21" i="46"/>
  <c r="L21" i="46"/>
  <c r="M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D22" i="46"/>
  <c r="E22" i="46"/>
  <c r="F22" i="46"/>
  <c r="G22" i="46"/>
  <c r="L22" i="46"/>
  <c r="M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D23" i="46"/>
  <c r="E23" i="46"/>
  <c r="F23" i="46"/>
  <c r="G23" i="46"/>
  <c r="L23" i="46"/>
  <c r="M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D27" i="46"/>
  <c r="E27" i="46"/>
  <c r="F27" i="46"/>
  <c r="G27" i="46"/>
  <c r="H27" i="46"/>
  <c r="I27" i="46"/>
  <c r="J27" i="46"/>
  <c r="K27" i="46"/>
  <c r="AB27" i="46"/>
  <c r="AC27" i="46"/>
  <c r="AD27" i="46"/>
  <c r="AE27" i="46"/>
  <c r="AF27" i="46"/>
  <c r="AG27" i="46"/>
  <c r="D28" i="46"/>
  <c r="E28" i="46"/>
  <c r="F28" i="46"/>
  <c r="G28" i="46"/>
  <c r="J28" i="46"/>
  <c r="K28" i="46"/>
  <c r="N28" i="46"/>
  <c r="O28" i="46"/>
  <c r="P28" i="46"/>
  <c r="Q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D32" i="46"/>
  <c r="E32" i="46"/>
  <c r="F32" i="46"/>
  <c r="G32" i="46"/>
  <c r="D33" i="46"/>
  <c r="E33" i="46"/>
  <c r="F33" i="46"/>
  <c r="G33" i="46"/>
  <c r="L33" i="46"/>
  <c r="M33" i="46"/>
  <c r="P33" i="46"/>
  <c r="Q33" i="46"/>
  <c r="AB33" i="46"/>
  <c r="AC33" i="46"/>
  <c r="AD33" i="46"/>
  <c r="AE33" i="46"/>
  <c r="AF33" i="46"/>
  <c r="AG33" i="46"/>
  <c r="D34" i="46"/>
  <c r="E34" i="46"/>
  <c r="F34" i="46"/>
  <c r="G34" i="46"/>
  <c r="L34" i="46"/>
  <c r="M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D35" i="46"/>
  <c r="E35" i="46"/>
  <c r="F35" i="46"/>
  <c r="G35" i="46"/>
  <c r="L35" i="46"/>
  <c r="M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D39" i="46"/>
  <c r="E39" i="46"/>
  <c r="F39" i="46"/>
  <c r="G39" i="46"/>
  <c r="L39" i="46"/>
  <c r="M39" i="46"/>
  <c r="AB39" i="46"/>
  <c r="AC39" i="46"/>
  <c r="AD39" i="46"/>
  <c r="AE39" i="46"/>
  <c r="AF39" i="46"/>
  <c r="AG39" i="46"/>
  <c r="D40" i="46"/>
  <c r="E40" i="46"/>
  <c r="F40" i="46"/>
  <c r="G40" i="46"/>
  <c r="L40" i="46"/>
  <c r="M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D41" i="46"/>
  <c r="E41" i="46"/>
  <c r="F41" i="46"/>
  <c r="G41" i="46"/>
  <c r="L41" i="46"/>
  <c r="M41" i="46"/>
  <c r="P41" i="46"/>
  <c r="Q41" i="46"/>
  <c r="R41" i="46"/>
  <c r="S41" i="46"/>
  <c r="T41" i="46"/>
  <c r="V41" i="46"/>
  <c r="X41" i="46"/>
  <c r="Z41" i="46"/>
  <c r="AB41" i="46"/>
  <c r="AC41" i="46"/>
  <c r="AD41" i="46"/>
  <c r="AE41" i="46"/>
  <c r="AF41" i="46"/>
  <c r="A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D45" i="46"/>
  <c r="E45" i="46"/>
  <c r="F45" i="46"/>
  <c r="G45" i="46"/>
  <c r="L45" i="46"/>
  <c r="M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D47" i="46"/>
  <c r="E47" i="46"/>
  <c r="F47" i="46"/>
  <c r="G47" i="46"/>
  <c r="L47" i="46"/>
  <c r="P47" i="46"/>
  <c r="Q47" i="46"/>
  <c r="AB47" i="46"/>
  <c r="AC47" i="46"/>
  <c r="AD47" i="46"/>
  <c r="AE47" i="46"/>
  <c r="AF47" i="46"/>
  <c r="AG47" i="46"/>
  <c r="D49" i="46"/>
  <c r="E49" i="46"/>
  <c r="F49" i="46"/>
  <c r="G49" i="46"/>
  <c r="D51" i="46"/>
  <c r="E51" i="46"/>
  <c r="F51" i="46"/>
  <c r="G51" i="46"/>
  <c r="J51" i="46"/>
  <c r="K51" i="46"/>
  <c r="L51" i="46"/>
  <c r="M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D54" i="46"/>
  <c r="E54" i="46"/>
  <c r="F54" i="46"/>
  <c r="G54" i="46"/>
  <c r="J54" i="46"/>
  <c r="K54" i="46"/>
  <c r="L54" i="46"/>
  <c r="M54" i="46"/>
  <c r="P54" i="46"/>
  <c r="Q54" i="46"/>
  <c r="R54" i="46"/>
  <c r="S54" i="46"/>
  <c r="T54" i="46"/>
  <c r="U54" i="46"/>
  <c r="V54" i="46"/>
  <c r="W54" i="46"/>
  <c r="X54" i="46"/>
  <c r="Y54" i="46"/>
  <c r="Z54" i="46"/>
  <c r="AD54" i="46"/>
  <c r="D55" i="46"/>
  <c r="E55" i="46"/>
  <c r="F55" i="46"/>
  <c r="G55" i="46"/>
  <c r="L55" i="46"/>
  <c r="M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D55" i="46"/>
  <c r="AE55" i="46"/>
  <c r="AF55" i="46"/>
  <c r="AG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D59" i="46"/>
  <c r="E59" i="46"/>
  <c r="F59" i="46"/>
  <c r="G59" i="46"/>
  <c r="J59" i="46"/>
  <c r="K59" i="46"/>
  <c r="L59" i="46"/>
  <c r="M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D60" i="46"/>
  <c r="E60" i="46"/>
  <c r="F60" i="46"/>
  <c r="G60" i="46"/>
  <c r="I60" i="46"/>
  <c r="K60" i="46"/>
  <c r="L60" i="46"/>
  <c r="M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D64" i="46"/>
  <c r="E64" i="46"/>
  <c r="F64" i="46"/>
  <c r="G64" i="46"/>
  <c r="K64" i="46"/>
  <c r="L64" i="46"/>
  <c r="M64" i="46"/>
  <c r="P64" i="46"/>
  <c r="Q64" i="46"/>
  <c r="AB64" i="46"/>
  <c r="AC64" i="46"/>
  <c r="AD64" i="46"/>
  <c r="AE64" i="46"/>
  <c r="AF64" i="46"/>
  <c r="AG64" i="46"/>
  <c r="D65" i="46"/>
  <c r="E65" i="46"/>
  <c r="F65" i="46"/>
  <c r="G65" i="46"/>
  <c r="L65" i="46"/>
  <c r="M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D70" i="46"/>
  <c r="E70" i="46"/>
  <c r="F70" i="46"/>
  <c r="G70" i="46"/>
  <c r="L70" i="46"/>
  <c r="M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D71" i="46"/>
  <c r="E71" i="46"/>
  <c r="F71" i="46"/>
  <c r="G71" i="46"/>
  <c r="L71" i="46"/>
  <c r="M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D73" i="46"/>
  <c r="E73" i="46"/>
  <c r="F73" i="46"/>
  <c r="G73" i="46"/>
  <c r="L73" i="46"/>
  <c r="M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D74" i="46"/>
  <c r="E74" i="46"/>
  <c r="F74" i="46"/>
  <c r="G74" i="46"/>
  <c r="L74" i="46"/>
  <c r="M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D75" i="46"/>
  <c r="E75" i="46"/>
  <c r="F75" i="46"/>
  <c r="G75" i="46"/>
  <c r="L75" i="46"/>
  <c r="M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D76" i="46"/>
  <c r="E76" i="46"/>
  <c r="F76" i="46"/>
  <c r="G76" i="46"/>
  <c r="L76" i="46"/>
  <c r="M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D77" i="46"/>
  <c r="E77" i="46"/>
  <c r="F77" i="46"/>
  <c r="G77" i="46"/>
  <c r="L77" i="46"/>
  <c r="M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D78" i="46"/>
  <c r="E78" i="46"/>
  <c r="F78" i="46"/>
  <c r="G78" i="46"/>
  <c r="L78" i="46"/>
  <c r="M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D79" i="46"/>
  <c r="E79" i="46"/>
  <c r="F79" i="46"/>
  <c r="G79" i="46"/>
  <c r="L79" i="46"/>
  <c r="M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D80" i="46"/>
  <c r="E80" i="46"/>
  <c r="F80" i="46"/>
  <c r="G80" i="46"/>
  <c r="L80" i="46"/>
  <c r="M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D81" i="46"/>
  <c r="E81" i="46"/>
  <c r="F81" i="46"/>
  <c r="G81" i="46"/>
  <c r="I81" i="46"/>
  <c r="L81" i="46"/>
  <c r="M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D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D12" i="28"/>
  <c r="E12" i="28"/>
  <c r="F12" i="28"/>
  <c r="G12" i="28"/>
  <c r="H12" i="28"/>
  <c r="I12" i="28"/>
  <c r="J12" i="28"/>
  <c r="K12" i="28"/>
  <c r="L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R20" i="28"/>
  <c r="T20" i="28"/>
  <c r="V20" i="28"/>
  <c r="X20" i="28"/>
  <c r="Z20" i="28"/>
  <c r="AB20" i="28"/>
  <c r="AC20" i="28"/>
  <c r="AD20" i="28"/>
  <c r="AE20" i="28"/>
  <c r="AF20" i="28"/>
  <c r="AG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E35" i="28"/>
  <c r="AG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250480 still under review</t>
        </r>
      </text>
    </comment>
    <comment ref="U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300273 still under review
</t>
        </r>
      </text>
    </comment>
    <comment ref="AA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96607 still under review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Y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Y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temple liq.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PMA's</t>
        </r>
      </text>
    </comment>
    <comment ref="O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rev adj per p. love</t>
        </r>
      </text>
    </comment>
    <comment ref="Y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 to offset payment to Bug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Co. 12 acct 4950 600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<sst xmlns="http://schemas.openxmlformats.org/spreadsheetml/2006/main" count="5411" uniqueCount="210">
  <si>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</si>
  <si>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</si>
  <si>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</si>
  <si>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</si>
  <si>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</si>
  <si>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</si>
  <si>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</si>
  <si>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</si>
  <si>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</si>
  <si>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</si>
  <si>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</si>
  <si>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</si>
  <si>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</si>
  <si>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</si>
  <si>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</si>
  <si>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</si>
  <si>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</si>
  <si>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</si>
  <si>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</si>
  <si>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</si>
  <si>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</si>
  <si>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</si>
  <si>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</si>
  <si>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</si>
  <si>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</si>
  <si>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</si>
  <si>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</si>
  <si>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</si>
  <si>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</si>
  <si>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</si>
  <si>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</si>
  <si>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</si>
  <si>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</si>
  <si>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</si>
  <si>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</si>
  <si>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</si>
  <si>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</si>
  <si>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</si>
  <si>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</si>
  <si>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</si>
  <si>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</si>
  <si>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</si>
  <si>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</si>
  <si>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</si>
  <si>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</si>
  <si>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</si>
  <si>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</si>
  <si>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</si>
  <si>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</si>
  <si>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</si>
  <si>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</si>
  <si>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</si>
  <si>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</si>
  <si>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</si>
  <si>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</si>
  <si>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</si>
  <si>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</si>
  <si>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</si>
  <si>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</si>
  <si>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</si>
  <si>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</si>
  <si>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</si>
  <si>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</si>
  <si>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</si>
  <si>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</si>
  <si>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</si>
  <si>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</si>
  <si>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</si>
  <si>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</si>
  <si>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</si>
  <si>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</si>
  <si>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</si>
  <si>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</si>
  <si>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</si>
  <si>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</si>
  <si>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</si>
  <si>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</si>
  <si>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</si>
  <si>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</si>
  <si>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</si>
  <si>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</si>
  <si>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</si>
  <si>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</si>
  <si>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</si>
  <si>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</si>
  <si>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</si>
  <si>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</si>
  <si>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</si>
  <si>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</si>
  <si>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</si>
  <si>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</si>
  <si>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</si>
  <si>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</si>
  <si>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</si>
  <si>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</si>
  <si>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</si>
  <si>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</si>
  <si>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</si>
  <si>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</si>
  <si>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</si>
  <si>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</si>
  <si>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</si>
  <si>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</si>
  <si>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</si>
  <si>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</si>
  <si>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</si>
  <si>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</si>
  <si>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</si>
  <si>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</si>
  <si>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</si>
  <si>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</si>
  <si>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</si>
  <si>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</si>
  <si>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</si>
  <si>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</si>
  <si>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</si>
  <si>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</si>
  <si>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</si>
  <si>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</si>
  <si>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</si>
  <si>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</si>
  <si>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</si>
  <si>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</si>
  <si>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</si>
  <si>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</si>
  <si>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</si>
  <si>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</si>
  <si>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</si>
  <si>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</si>
  <si>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</si>
  <si>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</si>
  <si>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</si>
  <si>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</si>
  <si>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</si>
  <si>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</si>
  <si>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</si>
  <si>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</si>
  <si>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</si>
  <si>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</si>
  <si>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</si>
  <si>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</si>
  <si>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</si>
  <si>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</si>
  <si>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</si>
  <si>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</si>
  <si>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</si>
  <si>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</si>
  <si>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</si>
  <si>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</si>
  <si>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</si>
  <si>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</si>
  <si>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</si>
  <si>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</si>
  <si>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</si>
  <si>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</si>
  <si>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</si>
  <si>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</si>
  <si>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</si>
  <si>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</si>
  <si>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</si>
  <si>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</si>
  <si>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</si>
  <si>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</si>
  <si>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</si>
  <si>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</si>
  <si>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</si>
  <si>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</si>
  <si>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</si>
  <si>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</si>
  <si>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</si>
  <si>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</si>
  <si>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</si>
  <si>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</si>
  <si>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</si>
  <si>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</si>
  <si>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</si>
  <si>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</si>
  <si>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</si>
  <si>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</si>
  <si>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</si>
  <si>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</si>
  <si>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</si>
  <si>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</si>
  <si>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</si>
  <si>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</si>
  <si>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</si>
  <si>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</si>
  <si>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</si>
  <si>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</si>
  <si>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</si>
  <si>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September</t>
  </si>
  <si>
    <t>October</t>
  </si>
  <si>
    <t>PRODUCTION MONTH: 9909</t>
  </si>
  <si>
    <t>Aruba</t>
  </si>
  <si>
    <t>9909V</t>
  </si>
  <si>
    <t>9909A</t>
  </si>
  <si>
    <t>November</t>
  </si>
  <si>
    <t>REGION:  ARUBA</t>
  </si>
  <si>
    <t>REGION: ARUBA</t>
  </si>
  <si>
    <t>Consolidated Flash</t>
  </si>
  <si>
    <t>December</t>
  </si>
  <si>
    <t>Cost of Inventory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</si>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</sst>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3" xfId="1" applyNumberFormat="1" applyFont="1" applyFill="1" applyBorder="1"/>
    <xf numFmtId="165" fontId="23" fillId="0" borderId="2" xfId="1" applyNumberFormat="1" applyFont="1" applyFill="1" applyBorder="1"/>
    <xf numFmtId="165" fontId="23" fillId="0" borderId="11" xfId="1" applyNumberFormat="1" applyFont="1" applyFill="1" applyBorder="1"/>
    <xf numFmtId="165" fontId="23" fillId="0" borderId="8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18" fillId="0" borderId="2" xfId="1" quotePrefix="1" applyNumberFormat="1" applyFont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1">
          <cell r="G51">
            <v>-170463.58999999613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-921000</v>
          </cell>
          <cell r="C13">
            <v>-401000</v>
          </cell>
          <cell r="D13">
            <v>-2032000</v>
          </cell>
          <cell r="E13">
            <v>389000</v>
          </cell>
          <cell r="G13">
            <v>-193000</v>
          </cell>
          <cell r="H13">
            <v>845000</v>
          </cell>
          <cell r="I13">
            <v>11000</v>
          </cell>
          <cell r="J13">
            <v>749000</v>
          </cell>
          <cell r="K13">
            <v>120000</v>
          </cell>
          <cell r="L13">
            <v>1638000</v>
          </cell>
          <cell r="M13">
            <v>2172000</v>
          </cell>
          <cell r="O13">
            <v>294000</v>
          </cell>
          <cell r="P13">
            <v>797000</v>
          </cell>
          <cell r="Q13">
            <v>25000</v>
          </cell>
          <cell r="T13">
            <v>3493000</v>
          </cell>
        </row>
        <row r="30">
          <cell r="T30">
            <v>-220508</v>
          </cell>
        </row>
        <row r="47">
          <cell r="B47">
            <v>-1644737</v>
          </cell>
          <cell r="C47">
            <v>-581889</v>
          </cell>
          <cell r="D47">
            <v>-2032000</v>
          </cell>
          <cell r="E47">
            <v>389000</v>
          </cell>
          <cell r="G47">
            <v>475036</v>
          </cell>
          <cell r="H47">
            <v>1873663</v>
          </cell>
          <cell r="I47">
            <v>11000</v>
          </cell>
          <cell r="J47">
            <v>749000</v>
          </cell>
          <cell r="K47">
            <v>120000</v>
          </cell>
          <cell r="L47">
            <v>1393513</v>
          </cell>
          <cell r="M47">
            <v>1803372</v>
          </cell>
          <cell r="O47">
            <v>-105255</v>
          </cell>
          <cell r="P47">
            <v>797000</v>
          </cell>
          <cell r="Q47">
            <v>24789</v>
          </cell>
          <cell r="T47">
            <v>3272492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0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f>'EAST-EGM-FLSH'!D11+'EAST-LRC-FLSH'!D11</f>
        <v>105020880</v>
      </c>
      <c r="E11" s="66">
        <f>'EAST-EGM-FLSH'!E11+'EAST-LRC-FLSH'!E11</f>
        <v>300080955</v>
      </c>
      <c r="F11" s="37">
        <f>H11-D11</f>
        <v>0</v>
      </c>
      <c r="G11" s="37">
        <f>I11-E11</f>
        <v>0</v>
      </c>
      <c r="H11" s="60">
        <f>'EAST-EGM-FLSH'!H11+'EAST-LRC-FLSH'!H11</f>
        <v>105020880</v>
      </c>
      <c r="I11" s="38">
        <f>'EAST-EGM-FLSH'!I11+'EAST-LRC-FLSH'!I11</f>
        <v>300080955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105020880</v>
      </c>
      <c r="M11" s="38">
        <f t="shared" si="0"/>
        <v>300080955</v>
      </c>
    </row>
    <row r="12" spans="1:26" x14ac:dyDescent="0.25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f>'EAST-EGM-FLSH'!D13+'EAST-LRC-FLSH'!D13</f>
        <v>32441679</v>
      </c>
      <c r="E13" s="66">
        <f>'EAST-EGM-FLSH'!E13+'EAST-LRC-FLSH'!E13</f>
        <v>85301401</v>
      </c>
      <c r="F13" s="60">
        <f t="shared" si="1"/>
        <v>0</v>
      </c>
      <c r="G13" s="37">
        <f t="shared" si="1"/>
        <v>0</v>
      </c>
      <c r="H13" s="60">
        <f>'EAST-EGM-FLSH'!H13+'EAST-LRC-FLSH'!H13</f>
        <v>32441679</v>
      </c>
      <c r="I13" s="38">
        <f>'EAST-EGM-FLSH'!I13+'EAST-LRC-FLSH'!I13</f>
        <v>85301401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32441679</v>
      </c>
      <c r="M13" s="38">
        <f t="shared" si="0"/>
        <v>85301401</v>
      </c>
    </row>
    <row r="14" spans="1:26" x14ac:dyDescent="0.25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-90311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-90311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-90311</v>
      </c>
    </row>
    <row r="15" spans="1:26" x14ac:dyDescent="0.25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137462559</v>
      </c>
      <c r="E16" s="39">
        <f>SUM(E11:E15)</f>
        <v>385292045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137462559</v>
      </c>
      <c r="I16" s="39">
        <f t="shared" si="2"/>
        <v>385292045</v>
      </c>
      <c r="J16" s="61">
        <f t="shared" si="2"/>
        <v>0</v>
      </c>
      <c r="K16" s="39">
        <f t="shared" si="2"/>
        <v>0</v>
      </c>
      <c r="L16" s="61">
        <f t="shared" si="2"/>
        <v>137462559</v>
      </c>
      <c r="M16" s="39">
        <f t="shared" si="2"/>
        <v>385292045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f>'EAST-EGM-FLSH'!D19+'EAST-LRC-FLSH'!D19</f>
        <v>-106036044</v>
      </c>
      <c r="E19" s="66">
        <f>'EAST-EGM-FLSH'!E19+'EAST-LRC-FLSH'!E19</f>
        <v>-301182601</v>
      </c>
      <c r="F19" s="60">
        <f>H19-D19</f>
        <v>0</v>
      </c>
      <c r="G19" s="37">
        <f>I19-E19</f>
        <v>0</v>
      </c>
      <c r="H19" s="60">
        <f>'EAST-EGM-FLSH'!H19+'EAST-LRC-FLSH'!H19</f>
        <v>-106036044</v>
      </c>
      <c r="I19" s="38">
        <f>'EAST-EGM-FLSH'!I19+'EAST-LRC-FLSH'!I19</f>
        <v>-301182601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-106036044</v>
      </c>
      <c r="M19" s="38">
        <f t="shared" si="3"/>
        <v>-301182601</v>
      </c>
    </row>
    <row r="20" spans="1:13" x14ac:dyDescent="0.25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5">
        <f>'EAST-EGM-FLSH'!D21+'EAST-LRC-FLSH'!D21</f>
        <v>-31868882</v>
      </c>
      <c r="E21" s="66">
        <f>'EAST-EGM-FLSH'!E21+'EAST-LRC-FLSH'!E21</f>
        <v>-83966337</v>
      </c>
      <c r="F21" s="60">
        <f t="shared" si="4"/>
        <v>0</v>
      </c>
      <c r="G21" s="37">
        <f t="shared" si="4"/>
        <v>0</v>
      </c>
      <c r="H21" s="60">
        <f>'EAST-EGM-FLSH'!H21+'EAST-LRC-FLSH'!H21</f>
        <v>-31868882</v>
      </c>
      <c r="I21" s="38">
        <f>'EAST-EGM-FLSH'!I21+'EAST-LRC-FLSH'!I21</f>
        <v>-83966337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-31868882</v>
      </c>
      <c r="M21" s="38">
        <f t="shared" si="3"/>
        <v>-83966337</v>
      </c>
    </row>
    <row r="22" spans="1:13" x14ac:dyDescent="0.25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5">
        <f>'EAST-EGM-FLSH'!D23+'EAST-LRC-FLSH'!D23</f>
        <v>167430</v>
      </c>
      <c r="E23" s="66">
        <f>'EAST-EGM-FLSH'!E23+'EAST-LRC-FLSH'!E23</f>
        <v>437179</v>
      </c>
      <c r="F23" s="60">
        <f t="shared" si="4"/>
        <v>0</v>
      </c>
      <c r="G23" s="37">
        <f t="shared" si="4"/>
        <v>0</v>
      </c>
      <c r="H23" s="60">
        <f>'EAST-EGM-FLSH'!H23+'EAST-LRC-FLSH'!H23</f>
        <v>167430</v>
      </c>
      <c r="I23" s="38">
        <f>'EAST-EGM-FLSH'!I23+'EAST-LRC-FLSH'!I23</f>
        <v>437179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167430</v>
      </c>
      <c r="M23" s="38">
        <f t="shared" si="3"/>
        <v>437179</v>
      </c>
    </row>
    <row r="24" spans="1:13" x14ac:dyDescent="0.25">
      <c r="A24" s="9"/>
      <c r="B24" s="7" t="s">
        <v>33</v>
      </c>
      <c r="C24" s="6"/>
      <c r="D24" s="61">
        <f>SUM(D19:D23)</f>
        <v>-137737496</v>
      </c>
      <c r="E24" s="39">
        <f>SUM(E19:E23)</f>
        <v>-384711759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-137737496</v>
      </c>
      <c r="I24" s="39">
        <f t="shared" si="5"/>
        <v>-384711759</v>
      </c>
      <c r="J24" s="61">
        <f t="shared" si="5"/>
        <v>0</v>
      </c>
      <c r="K24" s="39">
        <f t="shared" si="5"/>
        <v>0</v>
      </c>
      <c r="L24" s="61">
        <f t="shared" si="5"/>
        <v>-137737496</v>
      </c>
      <c r="M24" s="39">
        <f t="shared" si="5"/>
        <v>-384711759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f>'EAST-EGM-FLSH'!D32+'EAST-LRC-FLSH'!D32</f>
        <v>-90493</v>
      </c>
      <c r="E32" s="66">
        <f>'EAST-EGM-FLSH'!E32+'EAST-LRC-FLSH'!E32</f>
        <v>-200331</v>
      </c>
      <c r="F32" s="60">
        <f>H32-D32</f>
        <v>0</v>
      </c>
      <c r="G32" s="37">
        <f>I32-E32</f>
        <v>0</v>
      </c>
      <c r="H32" s="60">
        <f>'EAST-EGM-FLSH'!H32+'EAST-LRC-FLSH'!H32</f>
        <v>-90493</v>
      </c>
      <c r="I32" s="38">
        <f>'EAST-EGM-FLSH'!I32+'EAST-LRC-FLSH'!I32</f>
        <v>-200331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-90493</v>
      </c>
      <c r="M32" s="38">
        <f t="shared" si="7"/>
        <v>-200331</v>
      </c>
    </row>
    <row r="33" spans="1:13" x14ac:dyDescent="0.25">
      <c r="A33" s="9">
        <v>14</v>
      </c>
      <c r="B33" s="7"/>
      <c r="C33" s="18" t="s">
        <v>40</v>
      </c>
      <c r="D33" s="65">
        <f>'EAST-EGM-FLSH'!D33+'EAST-LRC-FLSH'!D33</f>
        <v>275764</v>
      </c>
      <c r="E33" s="66">
        <f>'EAST-EGM-FLSH'!E33+'EAST-LRC-FLSH'!E33</f>
        <v>707479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275764</v>
      </c>
      <c r="I33" s="38">
        <f>'EAST-EGM-FLSH'!I33+'EAST-LRC-FLSH'!I33</f>
        <v>707479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275764</v>
      </c>
      <c r="M33" s="38">
        <f t="shared" si="7"/>
        <v>707479</v>
      </c>
    </row>
    <row r="34" spans="1:13" x14ac:dyDescent="0.25">
      <c r="A34" s="9">
        <v>15</v>
      </c>
      <c r="B34" s="7"/>
      <c r="C34" s="18" t="s">
        <v>41</v>
      </c>
      <c r="D34" s="65">
        <f>'EAST-EGM-FLSH'!D34+'EAST-LRC-FLSH'!D34</f>
        <v>-283140</v>
      </c>
      <c r="E34" s="66">
        <f>'EAST-EGM-FLSH'!E34+'EAST-LRC-FLSH'!E34</f>
        <v>-728171</v>
      </c>
      <c r="F34" s="60">
        <f t="shared" si="8"/>
        <v>0</v>
      </c>
      <c r="G34" s="37">
        <f t="shared" si="8"/>
        <v>0</v>
      </c>
      <c r="H34" s="60">
        <f>'EAST-EGM-FLSH'!H34+'EAST-LRC-FLSH'!H34</f>
        <v>-283140</v>
      </c>
      <c r="I34" s="38">
        <f>'EAST-EGM-FLSH'!I34+'EAST-LRC-FLSH'!I34</f>
        <v>-728171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-283140</v>
      </c>
      <c r="M34" s="38">
        <f t="shared" si="7"/>
        <v>-728171</v>
      </c>
    </row>
    <row r="35" spans="1:13" x14ac:dyDescent="0.25">
      <c r="A35" s="9">
        <v>16</v>
      </c>
      <c r="B35" s="7"/>
      <c r="C35" s="18" t="s">
        <v>42</v>
      </c>
      <c r="D35" s="65">
        <f>'EAST-EGM-FLSH'!D35+'EAST-LRC-FLSH'!D35</f>
        <v>200538</v>
      </c>
      <c r="E35" s="66">
        <f>'EAST-EGM-FLSH'!E35+'EAST-LRC-FLSH'!E35</f>
        <v>293198</v>
      </c>
      <c r="F35" s="60">
        <f t="shared" si="8"/>
        <v>0</v>
      </c>
      <c r="G35" s="37">
        <f t="shared" si="8"/>
        <v>0</v>
      </c>
      <c r="H35" s="60">
        <f>'EAST-EGM-FLSH'!H35+'EAST-LRC-FLSH'!H35</f>
        <v>200538</v>
      </c>
      <c r="I35" s="38">
        <f>'EAST-EGM-FLSH'!I35+'EAST-LRC-FLSH'!I35</f>
        <v>293198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200538</v>
      </c>
      <c r="M35" s="38">
        <f t="shared" si="7"/>
        <v>293198</v>
      </c>
    </row>
    <row r="36" spans="1:13" x14ac:dyDescent="0.25">
      <c r="A36" s="9"/>
      <c r="B36" s="7" t="s">
        <v>43</v>
      </c>
      <c r="C36" s="6"/>
      <c r="D36" s="61">
        <f t="shared" ref="D36:I36" si="9">SUM(D32:D35)</f>
        <v>102669</v>
      </c>
      <c r="E36" s="39">
        <f t="shared" si="9"/>
        <v>72175</v>
      </c>
      <c r="F36" s="61">
        <f t="shared" si="9"/>
        <v>0</v>
      </c>
      <c r="G36" s="39">
        <f t="shared" si="9"/>
        <v>0</v>
      </c>
      <c r="H36" s="61">
        <f t="shared" si="9"/>
        <v>102669</v>
      </c>
      <c r="I36" s="39">
        <f t="shared" si="9"/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f>'EAST-EGM-FLSH'!D39+'EAST-LRC-FLSH'!D39</f>
        <v>790440</v>
      </c>
      <c r="E39" s="66">
        <f>'EAST-EGM-FLSH'!E39+'EAST-LRC-FLSH'!E39</f>
        <v>2292277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790440</v>
      </c>
      <c r="I39" s="38">
        <f>'EAST-EGM-FLSH'!I39+'EAST-LRC-FLSH'!I39</f>
        <v>2292277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790440</v>
      </c>
      <c r="M39" s="38">
        <f t="shared" si="11"/>
        <v>2292277</v>
      </c>
    </row>
    <row r="40" spans="1:13" ht="22.5" customHeight="1" x14ac:dyDescent="0.25">
      <c r="A40" s="9">
        <v>18</v>
      </c>
      <c r="B40" s="7"/>
      <c r="C40" s="18" t="s">
        <v>46</v>
      </c>
      <c r="D40" s="65">
        <f>'EAST-EGM-FLSH'!D40+'EAST-LRC-FLSH'!D40</f>
        <v>-698587</v>
      </c>
      <c r="E40" s="66">
        <f>'EAST-EGM-FLSH'!E40+'EAST-LRC-FLSH'!E40</f>
        <v>-2025904</v>
      </c>
      <c r="F40" s="60">
        <f t="shared" si="10"/>
        <v>0</v>
      </c>
      <c r="G40" s="37">
        <f t="shared" si="10"/>
        <v>0</v>
      </c>
      <c r="H40" s="60">
        <f>'EAST-EGM-FLSH'!H40+'EAST-LRC-FLSH'!H40</f>
        <v>-698587</v>
      </c>
      <c r="I40" s="38">
        <f>'EAST-EGM-FLSH'!I40+'EAST-LRC-FLSH'!I40</f>
        <v>-2025904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-698587</v>
      </c>
      <c r="M40" s="38">
        <f t="shared" si="11"/>
        <v>-2025904</v>
      </c>
    </row>
    <row r="41" spans="1:13" x14ac:dyDescent="0.25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48</v>
      </c>
      <c r="D42" s="61">
        <f>SUM(D40:D41)</f>
        <v>-698587</v>
      </c>
      <c r="E42" s="39">
        <f>SUM(E40:E41)</f>
        <v>-2025904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-698587</v>
      </c>
      <c r="I42" s="39">
        <f t="shared" si="12"/>
        <v>-2025904</v>
      </c>
      <c r="J42" s="61">
        <f t="shared" si="12"/>
        <v>0</v>
      </c>
      <c r="K42" s="39">
        <f t="shared" si="12"/>
        <v>0</v>
      </c>
      <c r="L42" s="61">
        <f t="shared" si="12"/>
        <v>-698587</v>
      </c>
      <c r="M42" s="39">
        <f t="shared" si="12"/>
        <v>-2025904</v>
      </c>
    </row>
    <row r="43" spans="1:13" ht="21" customHeight="1" x14ac:dyDescent="0.25">
      <c r="A43" s="9"/>
      <c r="B43" s="7" t="s">
        <v>49</v>
      </c>
      <c r="C43" s="6"/>
      <c r="D43" s="61">
        <f>D42+D39</f>
        <v>91853</v>
      </c>
      <c r="E43" s="39">
        <f>E42+E39</f>
        <v>266373</v>
      </c>
      <c r="F43" s="61">
        <f t="shared" ref="F43:M43" si="13">F42+F39</f>
        <v>0</v>
      </c>
      <c r="G43" s="39">
        <f t="shared" si="13"/>
        <v>0</v>
      </c>
      <c r="H43" s="61">
        <f t="shared" si="13"/>
        <v>91853</v>
      </c>
      <c r="I43" s="39">
        <f t="shared" si="13"/>
        <v>266373</v>
      </c>
      <c r="J43" s="61">
        <f t="shared" si="13"/>
        <v>0</v>
      </c>
      <c r="K43" s="39">
        <f t="shared" si="13"/>
        <v>0</v>
      </c>
      <c r="L43" s="61">
        <f t="shared" si="13"/>
        <v>91853</v>
      </c>
      <c r="M43" s="39">
        <f t="shared" si="13"/>
        <v>266373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f>'EAST-EGM-FLSH'!D49+'EAST-LRC-FLSH'!D49</f>
        <v>80415</v>
      </c>
      <c r="E49" s="66">
        <f>'EAST-EGM-FLSH'!E49+'EAST-LRC-FLSH'!E49</f>
        <v>233036.12943284761</v>
      </c>
      <c r="F49" s="60">
        <f>H49-D49</f>
        <v>0</v>
      </c>
      <c r="G49" s="37">
        <f>I49-E49</f>
        <v>0</v>
      </c>
      <c r="H49" s="60">
        <f>'EAST-EGM-FLSH'!H49+'EAST-LRC-FLSH'!H49</f>
        <v>80415</v>
      </c>
      <c r="I49" s="38">
        <f>'EAST-EGM-FLSH'!I49+'EAST-LRC-FLSH'!I49</f>
        <v>233036.12943284761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80415</v>
      </c>
      <c r="M49" s="38">
        <f>I49+K49</f>
        <v>233036.12943284761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f>'EAST-EGM-FLSH'!D51+'EAST-LRC-FLSH'!D51</f>
        <v>-167430</v>
      </c>
      <c r="E51" s="66">
        <f>'EAST-EGM-FLSH'!E51+'EAST-LRC-FLSH'!E51</f>
        <v>-437179</v>
      </c>
      <c r="F51" s="60">
        <f>H51-D51</f>
        <v>0</v>
      </c>
      <c r="G51" s="37">
        <f>I51-E51</f>
        <v>0</v>
      </c>
      <c r="H51" s="60">
        <f>'EAST-EGM-FLSH'!H51+'EAST-LRC-FLSH'!H51</f>
        <v>-167430</v>
      </c>
      <c r="I51" s="38">
        <f>'EAST-EGM-FLSH'!I51+'EAST-LRC-FLSH'!I51</f>
        <v>-437179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-167430</v>
      </c>
      <c r="M51" s="38">
        <f>I51+K51</f>
        <v>-437179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-538736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-538736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-538736</v>
      </c>
    </row>
    <row r="55" spans="1:15" x14ac:dyDescent="0.25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-516532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-516532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-516532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-1055268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-1055268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-1055268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34990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34990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34990</v>
      </c>
    </row>
    <row r="65" spans="1:13" x14ac:dyDescent="0.25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34990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34990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34990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7144978.9450000003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7144978.9450000003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7144978.9450000003</v>
      </c>
    </row>
    <row r="71" spans="1:13" x14ac:dyDescent="0.25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-2527104.1154804802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-2527104.1154804802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-2527104.1154804802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4617874.8295195196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4617874.8295195196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4617874.8295195196</v>
      </c>
    </row>
    <row r="73" spans="1:13" x14ac:dyDescent="0.25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-2697680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-2697680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-2697680</v>
      </c>
    </row>
    <row r="75" spans="1:13" x14ac:dyDescent="0.25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59817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59817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59817</v>
      </c>
    </row>
    <row r="76" spans="1:13" x14ac:dyDescent="0.25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-15073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-15073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-15073</v>
      </c>
    </row>
    <row r="77" spans="1:13" x14ac:dyDescent="0.25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5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66">
        <f>'EAST-EGM-FLSH'!E81+'EAST-LRC-FLSH'!E81</f>
        <v>-182574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-182574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-182574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-2432507.0960476492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-2432507.0960476492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-2432507.0960476492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-2432507.0960476305</v>
      </c>
      <c r="M84" s="45"/>
    </row>
    <row r="85" spans="1:67" x14ac:dyDescent="0.25">
      <c r="A85" s="4" t="s">
        <v>165</v>
      </c>
      <c r="B85" s="3"/>
    </row>
    <row r="86" spans="1:67" s="3" customFormat="1" x14ac:dyDescent="0.25">
      <c r="A86" s="166"/>
      <c r="C86" s="10" t="s">
        <v>167</v>
      </c>
      <c r="D86" s="167">
        <f>'EAST-EGM-FLSH'!D86+'EAST-LRC-FLSH'!D86</f>
        <v>0</v>
      </c>
      <c r="E86" s="167">
        <f>'EAST-EGM-FLSH'!E86+'EAST-LRC-FLSH'!E86</f>
        <v>-1361327</v>
      </c>
      <c r="F86" s="167">
        <f>'EAST-EGM-FLSH'!F86+'EAST-LRC-FLSH'!F86</f>
        <v>0</v>
      </c>
      <c r="G86" s="167">
        <f>'EAST-EGM-FLSH'!G86+'EAST-LRC-FLSH'!G86</f>
        <v>0</v>
      </c>
      <c r="H86" s="167">
        <f>'EAST-EGM-FLSH'!H86+'EAST-LRC-FLSH'!H86</f>
        <v>0</v>
      </c>
      <c r="I86" s="167">
        <f>'EAST-EGM-FLSH'!I86+'EAST-LRC-FLSH'!I86</f>
        <v>-1361327</v>
      </c>
      <c r="J86" s="167">
        <f>'EAST-EGM-FLSH'!J86+'EAST-LRC-FLSH'!J86</f>
        <v>0</v>
      </c>
      <c r="K86" s="167">
        <f>'EAST-EGM-FLSH'!K86+'EAST-LRC-FLSH'!K86</f>
        <v>0</v>
      </c>
      <c r="L86" s="167">
        <f>'EAST-EGM-FLSH'!L86+'EAST-LRC-FLSH'!L86</f>
        <v>0</v>
      </c>
      <c r="M86" s="167">
        <f>'EAST-EGM-FLSH'!M86+'EAST-LRC-FLSH'!M86</f>
        <v>-1361327</v>
      </c>
    </row>
    <row r="87" spans="1:67" s="3" customFormat="1" x14ac:dyDescent="0.25">
      <c r="A87" s="166"/>
      <c r="C87" s="10" t="s">
        <v>71</v>
      </c>
      <c r="D87" s="168">
        <f>'EAST-EGM-FLSH'!D87+'EAST-LRC-FLSH'!D87</f>
        <v>0</v>
      </c>
      <c r="E87" s="168">
        <f>'EAST-EGM-FLSH'!E87+'EAST-LRC-FLSH'!E87</f>
        <v>0</v>
      </c>
      <c r="F87" s="168">
        <f>'EAST-EGM-FLSH'!F87+'EAST-LRC-FLSH'!F87</f>
        <v>0</v>
      </c>
      <c r="G87" s="168">
        <f>'EAST-EGM-FLSH'!G87+'EAST-LRC-FLSH'!G87</f>
        <v>0</v>
      </c>
      <c r="H87" s="168">
        <f>'EAST-EGM-FLSH'!H87+'EAST-LRC-FLSH'!H87</f>
        <v>0</v>
      </c>
      <c r="I87" s="168">
        <f>'EAST-EGM-FLSH'!I87+'EAST-LRC-FLSH'!I87</f>
        <v>0</v>
      </c>
      <c r="J87" s="168">
        <f>'EAST-EGM-FLSH'!J87+'EAST-LRC-FLSH'!J87</f>
        <v>0</v>
      </c>
      <c r="K87" s="168">
        <f>'EAST-EGM-FLSH'!K87+'EAST-LRC-FLSH'!K87</f>
        <v>0</v>
      </c>
      <c r="L87" s="168">
        <f>'EAST-EGM-FLSH'!L87+'EAST-LRC-FLSH'!L87</f>
        <v>0</v>
      </c>
      <c r="M87" s="168">
        <f>'EAST-EGM-FLSH'!M87+'EAST-LRC-FLSH'!M87</f>
        <v>0</v>
      </c>
    </row>
    <row r="88" spans="1:67" s="3" customFormat="1" x14ac:dyDescent="0.25">
      <c r="A88" s="166"/>
      <c r="C88" s="10" t="s">
        <v>72</v>
      </c>
      <c r="D88" s="169">
        <f>'EAST-EGM-FLSH'!D88+'EAST-LRC-FLSH'!D88</f>
        <v>0</v>
      </c>
      <c r="E88" s="169">
        <f>'EAST-EGM-FLSH'!E88+'EAST-LRC-FLSH'!E88</f>
        <v>1750096</v>
      </c>
      <c r="F88" s="169">
        <f>'EAST-EGM-FLSH'!F88+'EAST-LRC-FLSH'!F88</f>
        <v>0</v>
      </c>
      <c r="G88" s="169">
        <f>'EAST-EGM-FLSH'!G88+'EAST-LRC-FLSH'!G88</f>
        <v>0</v>
      </c>
      <c r="H88" s="169">
        <f>'EAST-EGM-FLSH'!H88+'EAST-LRC-FLSH'!H88</f>
        <v>0</v>
      </c>
      <c r="I88" s="169">
        <f>'EAST-EGM-FLSH'!I88+'EAST-LRC-FLSH'!I88</f>
        <v>1750096</v>
      </c>
      <c r="J88" s="169">
        <f>'EAST-EGM-FLSH'!J88+'EAST-LRC-FLSH'!J88</f>
        <v>0</v>
      </c>
      <c r="K88" s="169">
        <f>'EAST-EGM-FLSH'!K88+'EAST-LRC-FLSH'!K88</f>
        <v>0</v>
      </c>
      <c r="L88" s="169">
        <f>'EAST-EGM-FLSH'!L88+'EAST-LRC-FLSH'!L88</f>
        <v>0</v>
      </c>
      <c r="M88" s="169">
        <f>'EAST-EGM-FLSH'!M88+'EAST-LRC-FLSH'!M88</f>
        <v>1750096</v>
      </c>
    </row>
    <row r="89" spans="1:67" s="44" customFormat="1" ht="20.25" customHeight="1" x14ac:dyDescent="0.25">
      <c r="A89" s="173"/>
      <c r="B89" s="174"/>
      <c r="C89" s="175" t="s">
        <v>170</v>
      </c>
      <c r="D89" s="177">
        <f>SUM(D86:D88)</f>
        <v>0</v>
      </c>
      <c r="E89" s="177">
        <f t="shared" ref="E89:M89" si="20">SUM(E86:E88)</f>
        <v>388769</v>
      </c>
      <c r="F89" s="177">
        <f t="shared" si="20"/>
        <v>0</v>
      </c>
      <c r="G89" s="177">
        <f t="shared" si="20"/>
        <v>0</v>
      </c>
      <c r="H89" s="177">
        <f t="shared" si="20"/>
        <v>0</v>
      </c>
      <c r="I89" s="177">
        <f t="shared" si="20"/>
        <v>388769</v>
      </c>
      <c r="J89" s="177">
        <f t="shared" si="20"/>
        <v>0</v>
      </c>
      <c r="K89" s="177">
        <f t="shared" si="20"/>
        <v>0</v>
      </c>
      <c r="L89" s="177">
        <f t="shared" si="20"/>
        <v>0</v>
      </c>
      <c r="M89" s="177">
        <f t="shared" si="20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3"/>
      <c r="B91" s="174"/>
      <c r="C91" s="175" t="s">
        <v>168</v>
      </c>
      <c r="D91" s="177">
        <f>+D82+D89</f>
        <v>0</v>
      </c>
      <c r="E91" s="177">
        <f t="shared" ref="E91:M91" si="21">+E82+E89</f>
        <v>-2043738.0960476492</v>
      </c>
      <c r="F91" s="177">
        <f t="shared" si="21"/>
        <v>0</v>
      </c>
      <c r="G91" s="177">
        <f t="shared" si="21"/>
        <v>0</v>
      </c>
      <c r="H91" s="177">
        <f t="shared" si="21"/>
        <v>0</v>
      </c>
      <c r="I91" s="177">
        <f t="shared" si="21"/>
        <v>-2043738.0960476492</v>
      </c>
      <c r="J91" s="177">
        <f t="shared" si="21"/>
        <v>0</v>
      </c>
      <c r="K91" s="177">
        <f t="shared" si="21"/>
        <v>0</v>
      </c>
      <c r="L91" s="177">
        <f t="shared" si="21"/>
        <v>0</v>
      </c>
      <c r="M91" s="177">
        <f t="shared" si="21"/>
        <v>-2043738.0960476492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-1938963.15</v>
      </c>
      <c r="E11" s="38">
        <v>59738727.480000004</v>
      </c>
      <c r="F11" s="65">
        <f>H11-D11</f>
        <v>0</v>
      </c>
      <c r="G11" s="63">
        <f>I11-E11</f>
        <v>0</v>
      </c>
      <c r="H11" s="65">
        <f>D11</f>
        <v>-1938963.15</v>
      </c>
      <c r="I11" s="66">
        <f>E11</f>
        <v>59738727.480000004</v>
      </c>
      <c r="J11" s="60"/>
      <c r="K11" s="38"/>
      <c r="L11" s="60">
        <f t="shared" ref="L11:M15" si="0">H11+J11</f>
        <v>-1938963.15</v>
      </c>
      <c r="M11" s="38">
        <f t="shared" si="0"/>
        <v>59738727.480000004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2000</v>
      </c>
      <c r="E13" s="38">
        <v>4870</v>
      </c>
      <c r="F13" s="65">
        <f t="shared" si="1"/>
        <v>0</v>
      </c>
      <c r="G13" s="63">
        <f t="shared" si="1"/>
        <v>0</v>
      </c>
      <c r="H13" s="65">
        <f t="shared" si="2"/>
        <v>2000</v>
      </c>
      <c r="I13" s="66">
        <f t="shared" si="2"/>
        <v>4870</v>
      </c>
      <c r="J13" s="60"/>
      <c r="K13" s="38"/>
      <c r="L13" s="60">
        <f t="shared" si="0"/>
        <v>2000</v>
      </c>
      <c r="M13" s="38">
        <f t="shared" si="0"/>
        <v>4870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-1936963.15</v>
      </c>
      <c r="E16" s="39">
        <v>59743597.480000004</v>
      </c>
      <c r="F16" s="61">
        <f t="shared" ref="F16:M16" si="3">SUM(F11:F15)</f>
        <v>0</v>
      </c>
      <c r="G16" s="39">
        <f t="shared" si="3"/>
        <v>0</v>
      </c>
      <c r="H16" s="61">
        <f>SUM(H11:H15)</f>
        <v>-1936963.15</v>
      </c>
      <c r="I16" s="39">
        <f>SUM(I11:I15)</f>
        <v>59743597.480000004</v>
      </c>
      <c r="J16" s="61">
        <f t="shared" si="3"/>
        <v>0</v>
      </c>
      <c r="K16" s="39">
        <f t="shared" si="3"/>
        <v>0</v>
      </c>
      <c r="L16" s="61">
        <f t="shared" si="3"/>
        <v>-1936963.15</v>
      </c>
      <c r="M16" s="39">
        <f t="shared" si="3"/>
        <v>59743597.480000004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6515640.1499999985</v>
      </c>
      <c r="E19" s="38">
        <v>-45569835.540000007</v>
      </c>
      <c r="F19" s="65">
        <f>H19-D19</f>
        <v>0</v>
      </c>
      <c r="G19" s="63">
        <f>I19-E19</f>
        <v>0</v>
      </c>
      <c r="H19" s="65">
        <f t="shared" si="4"/>
        <v>6515640.1499999985</v>
      </c>
      <c r="I19" s="66">
        <f t="shared" si="4"/>
        <v>-45569835.540000007</v>
      </c>
      <c r="J19" s="60"/>
      <c r="K19" s="38"/>
      <c r="L19" s="60">
        <f t="shared" ref="L19:M23" si="5">H19+J19</f>
        <v>6515640.1499999985</v>
      </c>
      <c r="M19" s="38">
        <f t="shared" si="5"/>
        <v>-45569835.540000007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-7753</v>
      </c>
      <c r="E21" s="38">
        <v>-20157.8</v>
      </c>
      <c r="F21" s="65">
        <f t="shared" si="6"/>
        <v>0</v>
      </c>
      <c r="G21" s="63">
        <f t="shared" si="6"/>
        <v>0</v>
      </c>
      <c r="H21" s="65">
        <f t="shared" si="4"/>
        <v>-7753</v>
      </c>
      <c r="I21" s="66">
        <f t="shared" si="4"/>
        <v>-20157.8</v>
      </c>
      <c r="J21" s="60"/>
      <c r="K21" s="38"/>
      <c r="L21" s="60">
        <f t="shared" si="5"/>
        <v>-7753</v>
      </c>
      <c r="M21" s="38">
        <f t="shared" si="5"/>
        <v>-20157.8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56</v>
      </c>
      <c r="E23" s="38">
        <v>142.86000000000001</v>
      </c>
      <c r="F23" s="65">
        <f t="shared" si="6"/>
        <v>0</v>
      </c>
      <c r="G23" s="63">
        <f t="shared" si="6"/>
        <v>0</v>
      </c>
      <c r="H23" s="65">
        <f t="shared" si="4"/>
        <v>56</v>
      </c>
      <c r="I23" s="66">
        <f t="shared" si="4"/>
        <v>142.86000000000001</v>
      </c>
      <c r="J23" s="60"/>
      <c r="K23" s="38"/>
      <c r="L23" s="60">
        <f t="shared" si="5"/>
        <v>56</v>
      </c>
      <c r="M23" s="38">
        <f t="shared" si="5"/>
        <v>142.86000000000001</v>
      </c>
    </row>
    <row r="24" spans="1:13" x14ac:dyDescent="0.25">
      <c r="A24" s="9"/>
      <c r="B24" s="7" t="s">
        <v>33</v>
      </c>
      <c r="C24" s="6"/>
      <c r="D24" s="61">
        <v>6507943.1499999985</v>
      </c>
      <c r="E24" s="39">
        <v>-45589850.480000004</v>
      </c>
      <c r="F24" s="61">
        <f t="shared" ref="F24:M24" si="7">SUM(F19:F23)</f>
        <v>0</v>
      </c>
      <c r="G24" s="39">
        <f t="shared" si="7"/>
        <v>0</v>
      </c>
      <c r="H24" s="61">
        <f>SUM(H19:H23)</f>
        <v>6507943.1499999985</v>
      </c>
      <c r="I24" s="39">
        <f>SUM(I19:I23)</f>
        <v>-45589850.480000004</v>
      </c>
      <c r="J24" s="61">
        <f t="shared" si="7"/>
        <v>0</v>
      </c>
      <c r="K24" s="39">
        <f t="shared" si="7"/>
        <v>0</v>
      </c>
      <c r="L24" s="61">
        <f t="shared" si="7"/>
        <v>6507943.1499999985</v>
      </c>
      <c r="M24" s="39">
        <f t="shared" si="7"/>
        <v>-45589850.480000004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28594631.149999999</v>
      </c>
      <c r="E27" s="38">
        <v>11334756</v>
      </c>
      <c r="F27" s="65">
        <f>H27-D27</f>
        <v>0</v>
      </c>
      <c r="G27" s="63">
        <f>I27-E27</f>
        <v>0</v>
      </c>
      <c r="H27" s="65">
        <f>D27</f>
        <v>28594631.149999999</v>
      </c>
      <c r="I27" s="66">
        <f>E27</f>
        <v>11334756</v>
      </c>
      <c r="J27" s="60"/>
      <c r="K27" s="38"/>
      <c r="L27" s="60">
        <f>H27+J27</f>
        <v>28594631.149999999</v>
      </c>
      <c r="M27" s="38">
        <f>I27+K27</f>
        <v>11334756</v>
      </c>
    </row>
    <row r="28" spans="1:13" x14ac:dyDescent="0.25">
      <c r="A28" s="9">
        <v>12</v>
      </c>
      <c r="B28" s="7"/>
      <c r="C28" s="18" t="s">
        <v>36</v>
      </c>
      <c r="D28" s="60">
        <v>-28594631.149999999</v>
      </c>
      <c r="E28" s="38">
        <v>-11334756</v>
      </c>
      <c r="F28" s="65">
        <f>H28-D28</f>
        <v>0</v>
      </c>
      <c r="G28" s="63">
        <f>I28-E28</f>
        <v>0</v>
      </c>
      <c r="H28" s="65">
        <f>D28</f>
        <v>-28594631.149999999</v>
      </c>
      <c r="I28" s="66">
        <f>E28</f>
        <v>-11334756</v>
      </c>
      <c r="J28" s="60"/>
      <c r="K28" s="38"/>
      <c r="L28" s="60">
        <f>H28+J28</f>
        <v>-28594631.149999999</v>
      </c>
      <c r="M28" s="38">
        <f>I28+K28</f>
        <v>-11334756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30000</v>
      </c>
      <c r="E39" s="38">
        <v>87300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30000</v>
      </c>
      <c r="I39" s="66">
        <f t="shared" si="12"/>
        <v>87300</v>
      </c>
      <c r="J39" s="60"/>
      <c r="K39" s="38"/>
      <c r="L39" s="60">
        <f t="shared" ref="L39:M41" si="14">H39+J39</f>
        <v>30000</v>
      </c>
      <c r="M39" s="38">
        <f t="shared" si="14"/>
        <v>87300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-65000</v>
      </c>
      <c r="E40" s="38">
        <v>-189150</v>
      </c>
      <c r="F40" s="65">
        <f t="shared" si="13"/>
        <v>0</v>
      </c>
      <c r="G40" s="63">
        <f t="shared" si="13"/>
        <v>0</v>
      </c>
      <c r="H40" s="65">
        <f t="shared" si="12"/>
        <v>-65000</v>
      </c>
      <c r="I40" s="66">
        <f t="shared" si="12"/>
        <v>-189150</v>
      </c>
      <c r="J40" s="60"/>
      <c r="K40" s="38"/>
      <c r="L40" s="60">
        <f t="shared" si="14"/>
        <v>-65000</v>
      </c>
      <c r="M40" s="38">
        <f t="shared" si="14"/>
        <v>-189150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-65000</v>
      </c>
      <c r="E42" s="39">
        <v>-189150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-65000</v>
      </c>
      <c r="I42" s="39">
        <f>SUM(I40:I41)</f>
        <v>-189150</v>
      </c>
      <c r="J42" s="61">
        <f t="shared" si="15"/>
        <v>0</v>
      </c>
      <c r="K42" s="39">
        <f t="shared" si="15"/>
        <v>0</v>
      </c>
      <c r="L42" s="69">
        <f t="shared" si="15"/>
        <v>-65000</v>
      </c>
      <c r="M42" s="70">
        <f t="shared" si="15"/>
        <v>-189150</v>
      </c>
    </row>
    <row r="43" spans="1:13" ht="21" customHeight="1" x14ac:dyDescent="0.25">
      <c r="A43" s="9"/>
      <c r="B43" s="7" t="s">
        <v>49</v>
      </c>
      <c r="C43" s="6"/>
      <c r="D43" s="60">
        <v>-35000</v>
      </c>
      <c r="E43" s="38">
        <v>-101850</v>
      </c>
      <c r="F43" s="61">
        <f t="shared" ref="F43:M43" si="16">F42+F39</f>
        <v>0</v>
      </c>
      <c r="G43" s="39">
        <f t="shared" si="16"/>
        <v>0</v>
      </c>
      <c r="H43" s="61">
        <f>H42+H39</f>
        <v>-35000</v>
      </c>
      <c r="I43" s="39">
        <f>I42+I39</f>
        <v>-101850</v>
      </c>
      <c r="J43" s="61">
        <f t="shared" si="16"/>
        <v>0</v>
      </c>
      <c r="K43" s="39">
        <f t="shared" si="16"/>
        <v>0</v>
      </c>
      <c r="L43" s="61">
        <f t="shared" si="16"/>
        <v>-35000</v>
      </c>
      <c r="M43" s="39">
        <f t="shared" si="16"/>
        <v>-101850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-4535980</v>
      </c>
      <c r="E49" s="38">
        <v>-13010971.261590526</v>
      </c>
      <c r="F49" s="65">
        <f>H49-D49</f>
        <v>0</v>
      </c>
      <c r="G49" s="63">
        <f>I49-E49</f>
        <v>0</v>
      </c>
      <c r="H49" s="65">
        <f>D49</f>
        <v>-4535980</v>
      </c>
      <c r="I49" s="66">
        <f>E49</f>
        <v>-13010971.261590526</v>
      </c>
      <c r="J49" s="60"/>
      <c r="K49" s="38"/>
      <c r="L49" s="60">
        <f>H49+J49</f>
        <v>-4535980</v>
      </c>
      <c r="M49" s="38">
        <f>I49+K49</f>
        <v>-13010971.261590526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-56</v>
      </c>
      <c r="E51" s="38">
        <v>0</v>
      </c>
      <c r="F51" s="65">
        <f>H51-D51</f>
        <v>0</v>
      </c>
      <c r="G51" s="63">
        <f>I51-E51</f>
        <v>0</v>
      </c>
      <c r="H51" s="65">
        <f>D51</f>
        <v>-56</v>
      </c>
      <c r="I51" s="66">
        <f>E51</f>
        <v>0</v>
      </c>
      <c r="J51" s="60"/>
      <c r="K51" s="38"/>
      <c r="L51" s="60">
        <f>H51+J51</f>
        <v>-56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-472403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-472403</v>
      </c>
      <c r="J54" s="60"/>
      <c r="K54" s="38"/>
      <c r="L54" s="60">
        <f>H54+J54</f>
        <v>0</v>
      </c>
      <c r="M54" s="38">
        <f>I54+K54</f>
        <v>-472403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-472403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-472403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-472403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-1503217.93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-1503217.93</v>
      </c>
      <c r="J70" s="60"/>
      <c r="K70" s="38"/>
      <c r="L70" s="60">
        <f t="shared" si="20"/>
        <v>0</v>
      </c>
      <c r="M70" s="38">
        <f t="shared" si="20"/>
        <v>-1503217.93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1681622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1681622</v>
      </c>
      <c r="J71" s="60"/>
      <c r="K71" s="38"/>
      <c r="L71" s="60">
        <f t="shared" si="20"/>
        <v>0</v>
      </c>
      <c r="M71" s="38">
        <f t="shared" si="20"/>
        <v>1681622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178404.07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178404.07000000007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178404.07000000007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142646.04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142646.04</v>
      </c>
      <c r="J74" s="60"/>
      <c r="K74" s="38"/>
      <c r="L74" s="60">
        <f t="shared" si="23"/>
        <v>0</v>
      </c>
      <c r="M74" s="38">
        <f t="shared" si="23"/>
        <v>142646.04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-2466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-2466</v>
      </c>
      <c r="J76" s="60"/>
      <c r="K76" s="38"/>
      <c r="L76" s="60">
        <f t="shared" si="23"/>
        <v>0</v>
      </c>
      <c r="M76" s="38">
        <f t="shared" si="23"/>
        <v>-2466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-42013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2">
        <f t="shared" si="22"/>
        <v>-42013</v>
      </c>
      <c r="J81" s="60"/>
      <c r="K81" s="38"/>
      <c r="L81" s="60">
        <f t="shared" si="23"/>
        <v>0</v>
      </c>
      <c r="M81" s="38">
        <f t="shared" si="23"/>
        <v>-42013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845093.8484094739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845093.8484094739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845093.8484094739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171</v>
      </c>
      <c r="B85" s="3"/>
      <c r="M85" s="45">
        <f>M82+'TX-HPLR-FLSH'!M82</f>
        <v>855885.07588832825</v>
      </c>
    </row>
    <row r="86" spans="1:67" s="3" customFormat="1" x14ac:dyDescent="0.25">
      <c r="A86" s="166"/>
      <c r="C86" s="10" t="s">
        <v>167</v>
      </c>
      <c r="D86" s="170">
        <v>0</v>
      </c>
      <c r="E86" s="170">
        <v>-810329</v>
      </c>
      <c r="F86" s="170">
        <f t="shared" ref="F86:G88" si="25">H86-D86</f>
        <v>0</v>
      </c>
      <c r="G86" s="170">
        <f t="shared" si="25"/>
        <v>0</v>
      </c>
      <c r="H86" s="170">
        <f t="shared" ref="H86:I88" si="26">D86</f>
        <v>0</v>
      </c>
      <c r="I86" s="170">
        <f t="shared" si="26"/>
        <v>-810329</v>
      </c>
      <c r="J86" s="170"/>
      <c r="K86" s="170"/>
      <c r="L86" s="170">
        <f t="shared" ref="L86:M88" si="27">H86+J86</f>
        <v>0</v>
      </c>
      <c r="M86" s="170">
        <f t="shared" si="27"/>
        <v>-810329</v>
      </c>
    </row>
    <row r="87" spans="1:67" s="3" customFormat="1" x14ac:dyDescent="0.25">
      <c r="A87" s="166"/>
      <c r="C87" s="10" t="s">
        <v>71</v>
      </c>
      <c r="D87" s="171">
        <v>0</v>
      </c>
      <c r="E87" s="171">
        <v>0</v>
      </c>
      <c r="F87" s="171">
        <f t="shared" si="25"/>
        <v>0</v>
      </c>
      <c r="G87" s="171">
        <f t="shared" si="25"/>
        <v>0</v>
      </c>
      <c r="H87" s="171">
        <f t="shared" si="26"/>
        <v>0</v>
      </c>
      <c r="I87" s="171">
        <f t="shared" si="26"/>
        <v>0</v>
      </c>
      <c r="J87" s="171"/>
      <c r="K87" s="171"/>
      <c r="L87" s="171">
        <f t="shared" si="27"/>
        <v>0</v>
      </c>
      <c r="M87" s="171">
        <f t="shared" si="27"/>
        <v>0</v>
      </c>
    </row>
    <row r="88" spans="1:67" s="3" customFormat="1" x14ac:dyDescent="0.25">
      <c r="A88" s="166"/>
      <c r="C88" s="10" t="s">
        <v>72</v>
      </c>
      <c r="D88" s="172">
        <v>0</v>
      </c>
      <c r="E88" s="172">
        <v>924228</v>
      </c>
      <c r="F88" s="172">
        <f t="shared" si="25"/>
        <v>0</v>
      </c>
      <c r="G88" s="172">
        <f t="shared" si="25"/>
        <v>0</v>
      </c>
      <c r="H88" s="172">
        <f t="shared" si="26"/>
        <v>0</v>
      </c>
      <c r="I88" s="172">
        <f t="shared" si="26"/>
        <v>924228</v>
      </c>
      <c r="J88" s="172"/>
      <c r="K88" s="172"/>
      <c r="L88" s="172">
        <f t="shared" si="27"/>
        <v>0</v>
      </c>
      <c r="M88" s="172">
        <f t="shared" si="27"/>
        <v>924228</v>
      </c>
    </row>
    <row r="89" spans="1:67" s="44" customFormat="1" ht="20.25" customHeight="1" x14ac:dyDescent="0.25">
      <c r="A89" s="173"/>
      <c r="B89" s="174"/>
      <c r="C89" s="175" t="s">
        <v>170</v>
      </c>
      <c r="D89" s="177">
        <f>SUM(D86:D88)</f>
        <v>0</v>
      </c>
      <c r="E89" s="177">
        <f t="shared" ref="E89:M89" si="28">SUM(E86:E88)</f>
        <v>113899</v>
      </c>
      <c r="F89" s="177">
        <f t="shared" si="28"/>
        <v>0</v>
      </c>
      <c r="G89" s="177">
        <f t="shared" si="28"/>
        <v>0</v>
      </c>
      <c r="H89" s="177">
        <f t="shared" si="28"/>
        <v>0</v>
      </c>
      <c r="I89" s="177">
        <f t="shared" si="28"/>
        <v>113899</v>
      </c>
      <c r="J89" s="177">
        <f t="shared" si="28"/>
        <v>0</v>
      </c>
      <c r="K89" s="177">
        <f t="shared" si="28"/>
        <v>0</v>
      </c>
      <c r="L89" s="177">
        <f t="shared" si="28"/>
        <v>0</v>
      </c>
      <c r="M89" s="177">
        <f t="shared" si="28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3"/>
      <c r="B91" s="174"/>
      <c r="C91" s="175" t="s">
        <v>168</v>
      </c>
      <c r="D91" s="177">
        <f>+D82+D89</f>
        <v>0</v>
      </c>
      <c r="E91" s="177">
        <f t="shared" ref="E91:M91" si="29">+E82+E89</f>
        <v>958992.8484094739</v>
      </c>
      <c r="F91" s="177">
        <f t="shared" si="29"/>
        <v>0</v>
      </c>
      <c r="G91" s="177">
        <f t="shared" si="29"/>
        <v>0</v>
      </c>
      <c r="H91" s="177">
        <f t="shared" si="29"/>
        <v>0</v>
      </c>
      <c r="I91" s="177">
        <f t="shared" si="29"/>
        <v>958992.8484094739</v>
      </c>
      <c r="J91" s="177">
        <f t="shared" si="29"/>
        <v>0</v>
      </c>
      <c r="K91" s="177">
        <f t="shared" si="29"/>
        <v>0</v>
      </c>
      <c r="L91" s="177">
        <f t="shared" si="29"/>
        <v>0</v>
      </c>
      <c r="M91" s="177">
        <f t="shared" si="29"/>
        <v>958992.8484094739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65" sqref="H6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17799026.150000006</v>
      </c>
      <c r="E11" s="60">
        <v>-15700839.480000019</v>
      </c>
      <c r="F11" s="60">
        <f>H11-D11</f>
        <v>0</v>
      </c>
      <c r="G11" s="37">
        <f>I11-E11</f>
        <v>0</v>
      </c>
      <c r="H11" s="65">
        <f>D11</f>
        <v>17799026.150000006</v>
      </c>
      <c r="I11" s="66">
        <f>E11</f>
        <v>-15700839.480000019</v>
      </c>
      <c r="J11" s="60"/>
      <c r="K11" s="38"/>
      <c r="L11" s="60">
        <f t="shared" ref="L11:M15" si="0">H11+J11</f>
        <v>17799026.150000006</v>
      </c>
      <c r="M11" s="38">
        <f t="shared" si="0"/>
        <v>-15700839.480000019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17799026.150000006</v>
      </c>
      <c r="E16" s="39">
        <v>-15700839.480000019</v>
      </c>
      <c r="F16" s="61">
        <f t="shared" ref="F16:M16" si="3">SUM(F11:F15)</f>
        <v>0</v>
      </c>
      <c r="G16" s="39">
        <f t="shared" si="3"/>
        <v>0</v>
      </c>
      <c r="H16" s="61">
        <f>SUM(H11:H15)</f>
        <v>17799026.150000006</v>
      </c>
      <c r="I16" s="39">
        <f>SUM(I11:I15)</f>
        <v>-15700839.480000019</v>
      </c>
      <c r="J16" s="61">
        <f t="shared" si="3"/>
        <v>0</v>
      </c>
      <c r="K16" s="39">
        <f t="shared" si="3"/>
        <v>0</v>
      </c>
      <c r="L16" s="61">
        <f t="shared" si="3"/>
        <v>17799026.150000006</v>
      </c>
      <c r="M16" s="39">
        <f t="shared" si="3"/>
        <v>-15700839.480000019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-17800278.150000006</v>
      </c>
      <c r="E19" s="60">
        <v>15708339.540000021</v>
      </c>
      <c r="F19" s="60">
        <f>H19-D19</f>
        <v>0</v>
      </c>
      <c r="G19" s="37">
        <f>I19-E19</f>
        <v>0</v>
      </c>
      <c r="H19" s="65">
        <f t="shared" si="4"/>
        <v>-17800278.150000006</v>
      </c>
      <c r="I19" s="66">
        <f t="shared" si="4"/>
        <v>15708339.540000021</v>
      </c>
      <c r="J19" s="60"/>
      <c r="K19" s="38"/>
      <c r="L19" s="60">
        <f t="shared" ref="L19:M23" si="5">H19+J19</f>
        <v>-17800278.150000006</v>
      </c>
      <c r="M19" s="38">
        <f t="shared" si="5"/>
        <v>15708339.540000021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-0.20000000018626451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-0.20000000018626451</v>
      </c>
      <c r="J21" s="60"/>
      <c r="K21" s="38"/>
      <c r="L21" s="60">
        <f t="shared" si="5"/>
        <v>0</v>
      </c>
      <c r="M21" s="38">
        <f t="shared" si="5"/>
        <v>-0.20000000018626451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-299.86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-299.86</v>
      </c>
      <c r="J23" s="60"/>
      <c r="K23" s="38"/>
      <c r="L23" s="60">
        <f t="shared" si="5"/>
        <v>0</v>
      </c>
      <c r="M23" s="38">
        <f t="shared" si="5"/>
        <v>-299.86</v>
      </c>
    </row>
    <row r="24" spans="1:13" x14ac:dyDescent="0.25">
      <c r="A24" s="9"/>
      <c r="B24" s="7" t="s">
        <v>33</v>
      </c>
      <c r="C24" s="6"/>
      <c r="D24" s="61">
        <v>-17800278.150000006</v>
      </c>
      <c r="E24" s="39">
        <v>15708039.480000023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-17800278.150000006</v>
      </c>
      <c r="I24" s="39">
        <f>SUM(I19:I23)</f>
        <v>15708039.480000023</v>
      </c>
      <c r="J24" s="61">
        <f t="shared" si="7"/>
        <v>0</v>
      </c>
      <c r="K24" s="39">
        <f t="shared" si="7"/>
        <v>0</v>
      </c>
      <c r="L24" s="61">
        <f t="shared" si="7"/>
        <v>-17800278.150000006</v>
      </c>
      <c r="M24" s="39">
        <f t="shared" si="7"/>
        <v>15708039.480000023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-17259875.149999999</v>
      </c>
      <c r="E27" s="60">
        <v>17259882</v>
      </c>
      <c r="F27" s="60">
        <f>H27-D27</f>
        <v>0</v>
      </c>
      <c r="G27" s="37">
        <f>I27-E27</f>
        <v>0</v>
      </c>
      <c r="H27" s="65">
        <f>D27</f>
        <v>-17259875.149999999</v>
      </c>
      <c r="I27" s="66">
        <f>E27</f>
        <v>17259882</v>
      </c>
      <c r="J27" s="60"/>
      <c r="K27" s="38"/>
      <c r="L27" s="60">
        <f>H27+J27</f>
        <v>-17259875.149999999</v>
      </c>
      <c r="M27" s="38">
        <f>I27+K27</f>
        <v>17259882</v>
      </c>
    </row>
    <row r="28" spans="1:13" x14ac:dyDescent="0.25">
      <c r="A28" s="9">
        <v>12</v>
      </c>
      <c r="B28" s="7"/>
      <c r="C28" s="18" t="s">
        <v>36</v>
      </c>
      <c r="D28" s="60">
        <v>17259875.149999999</v>
      </c>
      <c r="E28" s="60">
        <v>-17259882</v>
      </c>
      <c r="F28" s="60">
        <f>H28-D28</f>
        <v>0</v>
      </c>
      <c r="G28" s="37">
        <f>I28-E28</f>
        <v>0</v>
      </c>
      <c r="H28" s="65">
        <f>D28</f>
        <v>17259875.149999999</v>
      </c>
      <c r="I28" s="66">
        <f>E28</f>
        <v>-17259882</v>
      </c>
      <c r="J28" s="60"/>
      <c r="K28" s="38"/>
      <c r="L28" s="60">
        <f>H28+J28</f>
        <v>17259875.149999999</v>
      </c>
      <c r="M28" s="38">
        <f>I28+K28</f>
        <v>-17259882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1252</v>
      </c>
      <c r="E49" s="60">
        <v>3591.2274788506329</v>
      </c>
      <c r="F49" s="60">
        <f>H49-D49</f>
        <v>0</v>
      </c>
      <c r="G49" s="37">
        <f>I49-E49</f>
        <v>0</v>
      </c>
      <c r="H49" s="65">
        <f>D49</f>
        <v>1252</v>
      </c>
      <c r="I49" s="66">
        <f>E49</f>
        <v>3591.2274788506329</v>
      </c>
      <c r="J49" s="60"/>
      <c r="K49" s="38"/>
      <c r="L49" s="60">
        <f>H49+J49</f>
        <v>1252</v>
      </c>
      <c r="M49" s="38">
        <f>I49+K49</f>
        <v>3591.2274788506329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56</v>
      </c>
      <c r="E51" s="60">
        <v>0</v>
      </c>
      <c r="F51" s="60">
        <f>H51-D51</f>
        <v>0</v>
      </c>
      <c r="G51" s="37">
        <f>I51-E51</f>
        <v>0</v>
      </c>
      <c r="H51" s="65">
        <f>D51</f>
        <v>56</v>
      </c>
      <c r="I51" s="66">
        <f>E51</f>
        <v>0</v>
      </c>
      <c r="J51" s="60"/>
      <c r="K51" s="38"/>
      <c r="L51" s="60">
        <f>H51+J51</f>
        <v>56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10791.227478854358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10791.227478854358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10791.227478854358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93" zoomScale="75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63522118</v>
      </c>
      <c r="E11" s="60">
        <v>173093269</v>
      </c>
      <c r="F11" s="60">
        <f>H11-D11</f>
        <v>0</v>
      </c>
      <c r="G11" s="37">
        <f>I11-E11</f>
        <v>0</v>
      </c>
      <c r="H11" s="65">
        <f>D11</f>
        <v>63522118</v>
      </c>
      <c r="I11" s="66">
        <f>E11</f>
        <v>173093269</v>
      </c>
      <c r="J11" s="60"/>
      <c r="K11" s="38"/>
      <c r="L11" s="60">
        <f t="shared" ref="L11:M15" si="0">H11+J11</f>
        <v>63522118</v>
      </c>
      <c r="M11" s="38">
        <f t="shared" si="0"/>
        <v>173093269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635030</v>
      </c>
      <c r="E13" s="60">
        <v>1543961</v>
      </c>
      <c r="F13" s="60">
        <f t="shared" si="1"/>
        <v>0</v>
      </c>
      <c r="G13" s="37">
        <f t="shared" si="1"/>
        <v>0</v>
      </c>
      <c r="H13" s="65">
        <f t="shared" si="2"/>
        <v>635030</v>
      </c>
      <c r="I13" s="66">
        <f t="shared" si="2"/>
        <v>1543961</v>
      </c>
      <c r="J13" s="60"/>
      <c r="K13" s="38"/>
      <c r="L13" s="60">
        <f t="shared" si="0"/>
        <v>635030</v>
      </c>
      <c r="M13" s="38">
        <f t="shared" si="0"/>
        <v>1543961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64157148</v>
      </c>
      <c r="E16" s="39">
        <v>174637230</v>
      </c>
      <c r="F16" s="61">
        <f t="shared" ref="F16:M16" si="3">SUM(F11:F15)</f>
        <v>0</v>
      </c>
      <c r="G16" s="39">
        <f t="shared" si="3"/>
        <v>0</v>
      </c>
      <c r="H16" s="61">
        <f>SUM(H11:H15)</f>
        <v>64157148</v>
      </c>
      <c r="I16" s="39">
        <f>SUM(I11:I15)</f>
        <v>174637230</v>
      </c>
      <c r="J16" s="61">
        <f t="shared" si="3"/>
        <v>0</v>
      </c>
      <c r="K16" s="39">
        <f t="shared" si="3"/>
        <v>0</v>
      </c>
      <c r="L16" s="61">
        <f t="shared" si="3"/>
        <v>64157148</v>
      </c>
      <c r="M16" s="39">
        <f t="shared" si="3"/>
        <v>174637230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-71960506</v>
      </c>
      <c r="E19" s="60">
        <v>-193862687</v>
      </c>
      <c r="F19" s="60">
        <f>H19-D19</f>
        <v>0</v>
      </c>
      <c r="G19" s="37">
        <f>I19-E19</f>
        <v>0</v>
      </c>
      <c r="H19" s="65">
        <f t="shared" si="4"/>
        <v>-71960506</v>
      </c>
      <c r="I19" s="66">
        <f t="shared" si="4"/>
        <v>-193862687</v>
      </c>
      <c r="J19" s="60"/>
      <c r="K19" s="38"/>
      <c r="L19" s="60">
        <f t="shared" ref="L19:M23" si="5">H19+J19</f>
        <v>-71960506</v>
      </c>
      <c r="M19" s="38">
        <f t="shared" si="5"/>
        <v>-193862687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-1846882</v>
      </c>
      <c r="E21" s="60">
        <v>-4886583</v>
      </c>
      <c r="F21" s="60">
        <f t="shared" si="6"/>
        <v>0</v>
      </c>
      <c r="G21" s="37">
        <f t="shared" si="6"/>
        <v>0</v>
      </c>
      <c r="H21" s="65">
        <f t="shared" si="4"/>
        <v>-1846882</v>
      </c>
      <c r="I21" s="66">
        <f t="shared" si="4"/>
        <v>-4886583</v>
      </c>
      <c r="J21" s="60"/>
      <c r="K21" s="38"/>
      <c r="L21" s="60">
        <f t="shared" si="5"/>
        <v>-1846882</v>
      </c>
      <c r="M21" s="38">
        <f t="shared" si="5"/>
        <v>-4886583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60</v>
      </c>
      <c r="E23" s="60">
        <v>151</v>
      </c>
      <c r="F23" s="60">
        <f t="shared" si="6"/>
        <v>0</v>
      </c>
      <c r="G23" s="37">
        <f t="shared" si="6"/>
        <v>0</v>
      </c>
      <c r="H23" s="65">
        <f t="shared" si="4"/>
        <v>60</v>
      </c>
      <c r="I23" s="66">
        <f t="shared" si="4"/>
        <v>151</v>
      </c>
      <c r="J23" s="60"/>
      <c r="K23" s="38"/>
      <c r="L23" s="60">
        <f t="shared" si="5"/>
        <v>60</v>
      </c>
      <c r="M23" s="38">
        <f t="shared" si="5"/>
        <v>151</v>
      </c>
    </row>
    <row r="24" spans="1:13" x14ac:dyDescent="0.25">
      <c r="A24" s="9"/>
      <c r="B24" s="7" t="s">
        <v>33</v>
      </c>
      <c r="C24" s="6"/>
      <c r="D24" s="61">
        <v>-73807328</v>
      </c>
      <c r="E24" s="39">
        <v>-198749119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-73807328</v>
      </c>
      <c r="I24" s="39">
        <f>SUM(I19:I23)</f>
        <v>-198749119</v>
      </c>
      <c r="J24" s="61">
        <f t="shared" si="7"/>
        <v>0</v>
      </c>
      <c r="K24" s="39">
        <f t="shared" si="7"/>
        <v>0</v>
      </c>
      <c r="L24" s="61">
        <f t="shared" si="7"/>
        <v>-73807328</v>
      </c>
      <c r="M24" s="39">
        <f t="shared" si="7"/>
        <v>-198749119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8785279</v>
      </c>
      <c r="E27" s="60">
        <v>22798988</v>
      </c>
      <c r="F27" s="60">
        <f>H27-D27</f>
        <v>0</v>
      </c>
      <c r="G27" s="37">
        <f>I27-E27</f>
        <v>0</v>
      </c>
      <c r="H27" s="65">
        <f>D27</f>
        <v>8785279</v>
      </c>
      <c r="I27" s="66">
        <f>E27</f>
        <v>22798988</v>
      </c>
      <c r="J27" s="60"/>
      <c r="K27" s="38"/>
      <c r="L27" s="60">
        <f>H27+J27</f>
        <v>8785279</v>
      </c>
      <c r="M27" s="38">
        <f>I27+K27</f>
        <v>22798988</v>
      </c>
    </row>
    <row r="28" spans="1:13" x14ac:dyDescent="0.25">
      <c r="A28" s="9">
        <v>12</v>
      </c>
      <c r="B28" s="7"/>
      <c r="C28" s="18" t="s">
        <v>36</v>
      </c>
      <c r="D28" s="60">
        <v>-4697779</v>
      </c>
      <c r="E28" s="60">
        <v>-11956037</v>
      </c>
      <c r="F28" s="60">
        <f>H28-D28</f>
        <v>0</v>
      </c>
      <c r="G28" s="37">
        <f>I28-E28</f>
        <v>0</v>
      </c>
      <c r="H28" s="65">
        <f>D28</f>
        <v>-4697779</v>
      </c>
      <c r="I28" s="66">
        <f>E28</f>
        <v>-11956037</v>
      </c>
      <c r="J28" s="60"/>
      <c r="K28" s="38"/>
      <c r="L28" s="60">
        <f>H28+J28</f>
        <v>-4697779</v>
      </c>
      <c r="M28" s="38">
        <f>I28+K28</f>
        <v>-11956037</v>
      </c>
    </row>
    <row r="29" spans="1:13" x14ac:dyDescent="0.25">
      <c r="A29" s="9"/>
      <c r="B29" s="7" t="s">
        <v>37</v>
      </c>
      <c r="C29" s="6"/>
      <c r="D29" s="61">
        <v>4087500</v>
      </c>
      <c r="E29" s="39">
        <v>10842951</v>
      </c>
      <c r="F29" s="61">
        <f t="shared" ref="F29:M29" si="8">SUM(F27:F28)</f>
        <v>0</v>
      </c>
      <c r="G29" s="39">
        <f t="shared" si="8"/>
        <v>0</v>
      </c>
      <c r="H29" s="61">
        <f>SUM(H27:H28)</f>
        <v>4087500</v>
      </c>
      <c r="I29" s="39">
        <f>SUM(I27:I28)</f>
        <v>10842951</v>
      </c>
      <c r="J29" s="61">
        <f t="shared" si="8"/>
        <v>0</v>
      </c>
      <c r="K29" s="39">
        <f t="shared" si="8"/>
        <v>0</v>
      </c>
      <c r="L29" s="61">
        <f t="shared" si="8"/>
        <v>4087500</v>
      </c>
      <c r="M29" s="39">
        <f t="shared" si="8"/>
        <v>10842951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1667992</v>
      </c>
      <c r="E39" s="60">
        <v>4842683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1667992</v>
      </c>
      <c r="I39" s="66">
        <f t="shared" si="12"/>
        <v>4842683</v>
      </c>
      <c r="J39" s="60"/>
      <c r="K39" s="38"/>
      <c r="L39" s="60">
        <f t="shared" ref="L39:M41" si="14">H39+J39</f>
        <v>1667992</v>
      </c>
      <c r="M39" s="38">
        <f t="shared" si="14"/>
        <v>4842683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-855296</v>
      </c>
      <c r="E40" s="60">
        <v>-2483182</v>
      </c>
      <c r="F40" s="60">
        <f t="shared" si="13"/>
        <v>0</v>
      </c>
      <c r="G40" s="37">
        <f t="shared" si="13"/>
        <v>0</v>
      </c>
      <c r="H40" s="65">
        <f t="shared" si="12"/>
        <v>-855296</v>
      </c>
      <c r="I40" s="66">
        <f t="shared" si="12"/>
        <v>-2483182</v>
      </c>
      <c r="J40" s="60"/>
      <c r="K40" s="38"/>
      <c r="L40" s="60">
        <f t="shared" si="14"/>
        <v>-855296</v>
      </c>
      <c r="M40" s="38">
        <f t="shared" si="14"/>
        <v>-2483182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-855296</v>
      </c>
      <c r="E42" s="39">
        <v>-2483182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-855296</v>
      </c>
      <c r="I42" s="39">
        <f>SUM(I40:I41)</f>
        <v>-2483182</v>
      </c>
      <c r="J42" s="61">
        <f t="shared" si="15"/>
        <v>0</v>
      </c>
      <c r="K42" s="39">
        <f t="shared" si="15"/>
        <v>0</v>
      </c>
      <c r="L42" s="61">
        <f t="shared" si="15"/>
        <v>-855296</v>
      </c>
      <c r="M42" s="39">
        <f t="shared" si="15"/>
        <v>-2483182</v>
      </c>
    </row>
    <row r="43" spans="1:13" ht="21" customHeight="1" x14ac:dyDescent="0.25">
      <c r="A43" s="9"/>
      <c r="B43" s="7" t="s">
        <v>49</v>
      </c>
      <c r="C43" s="6"/>
      <c r="D43" s="61">
        <v>812696</v>
      </c>
      <c r="E43" s="39">
        <v>2359501</v>
      </c>
      <c r="F43" s="61">
        <f t="shared" ref="F43:M43" si="16">F42+F39</f>
        <v>0</v>
      </c>
      <c r="G43" s="39">
        <f t="shared" si="16"/>
        <v>0</v>
      </c>
      <c r="H43" s="61">
        <f>H42+H39</f>
        <v>812696</v>
      </c>
      <c r="I43" s="39">
        <f>I42+I39</f>
        <v>2359501</v>
      </c>
      <c r="J43" s="61">
        <f t="shared" si="16"/>
        <v>0</v>
      </c>
      <c r="K43" s="39">
        <f t="shared" si="16"/>
        <v>0</v>
      </c>
      <c r="L43" s="61">
        <f t="shared" si="16"/>
        <v>812696</v>
      </c>
      <c r="M43" s="39">
        <f t="shared" si="16"/>
        <v>2359501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4749984</v>
      </c>
      <c r="E49" s="60">
        <v>13476548.924070567</v>
      </c>
      <c r="F49" s="60">
        <f>H49-D49</f>
        <v>0</v>
      </c>
      <c r="G49" s="37">
        <f>I49-E49</f>
        <v>0</v>
      </c>
      <c r="H49" s="65">
        <f>D49</f>
        <v>4749984</v>
      </c>
      <c r="I49" s="66">
        <f>E49</f>
        <v>13476548.924070567</v>
      </c>
      <c r="J49" s="60"/>
      <c r="K49" s="38"/>
      <c r="L49" s="60">
        <f>H49+J49</f>
        <v>4749984</v>
      </c>
      <c r="M49" s="38">
        <f>I49+K49</f>
        <v>13476548.924070567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-1704912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-1704912</v>
      </c>
      <c r="J54" s="60"/>
      <c r="K54" s="38"/>
      <c r="L54" s="60">
        <f>H54+J54</f>
        <v>0</v>
      </c>
      <c r="M54" s="38">
        <f>I54+K54</f>
        <v>-1704912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-1704912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-1704912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-1704912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895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895</v>
      </c>
      <c r="J75" s="60"/>
      <c r="K75" s="38"/>
      <c r="L75" s="60">
        <f t="shared" si="22"/>
        <v>0</v>
      </c>
      <c r="M75" s="38">
        <f t="shared" si="22"/>
        <v>895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754794.92407056689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754794.92407056689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754794.92407056689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27656689</v>
      </c>
      <c r="G11" s="37">
        <f>I11-E11</f>
        <v>96653779</v>
      </c>
      <c r="H11" s="60">
        <f>'TX-EGM-FLSH'!H11+'TX-HPLR-FLSH'!H11+'TX-HPLC-FLSH'!H11</f>
        <v>79382181</v>
      </c>
      <c r="I11" s="38">
        <f>'TX-EGM-FLSH'!I11+'TX-HPLR-FLSH'!I11+'TX-HPLC-FLSH'!I11</f>
        <v>217131157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79382181</v>
      </c>
      <c r="M11" s="38">
        <f t="shared" si="0"/>
        <v>217131157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565903</v>
      </c>
      <c r="G13" s="37">
        <f t="shared" si="1"/>
        <v>1388887</v>
      </c>
      <c r="H13" s="60">
        <f>'TX-EGM-FLSH'!H13+'TX-HPLR-FLSH'!H13+'TX-HPLC-FLSH'!H13</f>
        <v>637030</v>
      </c>
      <c r="I13" s="38">
        <f>'TX-EGM-FLSH'!I13+'TX-HPLR-FLSH'!I13+'TX-HPLC-FLSH'!I13</f>
        <v>1548831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637030</v>
      </c>
      <c r="M13" s="38">
        <f t="shared" si="0"/>
        <v>1548831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28222592</v>
      </c>
      <c r="G16" s="39">
        <f t="shared" si="2"/>
        <v>98042666</v>
      </c>
      <c r="H16" s="61">
        <f t="shared" si="2"/>
        <v>80019211</v>
      </c>
      <c r="I16" s="39">
        <f t="shared" si="2"/>
        <v>218679988</v>
      </c>
      <c r="J16" s="61">
        <f t="shared" si="2"/>
        <v>0</v>
      </c>
      <c r="K16" s="39">
        <f t="shared" si="2"/>
        <v>0</v>
      </c>
      <c r="L16" s="61">
        <f t="shared" si="2"/>
        <v>80019211</v>
      </c>
      <c r="M16" s="39">
        <f t="shared" si="2"/>
        <v>218679988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-25555791</v>
      </c>
      <c r="G19" s="37">
        <f>I19-E19</f>
        <v>-91578894</v>
      </c>
      <c r="H19" s="60">
        <f>'TX-EGM-FLSH'!H19+'TX-HPLR-FLSH'!H19+'TX-HPLC-FLSH'!H19</f>
        <v>-83245144</v>
      </c>
      <c r="I19" s="38">
        <f>'TX-EGM-FLSH'!I19+'TX-HPLR-FLSH'!I19+'TX-HPLC-FLSH'!I19</f>
        <v>-223724183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-83245144</v>
      </c>
      <c r="M19" s="38">
        <f t="shared" si="3"/>
        <v>-223724183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197640</v>
      </c>
      <c r="G21" s="37">
        <f t="shared" si="4"/>
        <v>-434062</v>
      </c>
      <c r="H21" s="60">
        <f>'TX-EGM-FLSH'!H21+'TX-HPLR-FLSH'!H21+'TX-HPLC-FLSH'!H21</f>
        <v>-1854635</v>
      </c>
      <c r="I21" s="38">
        <f>'TX-EGM-FLSH'!I21+'TX-HPLR-FLSH'!I21+'TX-HPLC-FLSH'!I21</f>
        <v>-4906741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-1854635</v>
      </c>
      <c r="M21" s="38">
        <f t="shared" si="3"/>
        <v>-4906741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116</v>
      </c>
      <c r="G23" s="37">
        <f t="shared" si="4"/>
        <v>-6</v>
      </c>
      <c r="H23" s="60">
        <f>'TX-EGM-FLSH'!H23+'TX-HPLR-FLSH'!H23+'TX-HPLC-FLSH'!H23</f>
        <v>116</v>
      </c>
      <c r="I23" s="38">
        <f>'TX-EGM-FLSH'!I23+'TX-HPLR-FLSH'!I23+'TX-HPLC-FLSH'!I23</f>
        <v>-6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116</v>
      </c>
      <c r="M23" s="38">
        <f t="shared" si="3"/>
        <v>-6</v>
      </c>
    </row>
    <row r="24" spans="1:13" x14ac:dyDescent="0.25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-25358035</v>
      </c>
      <c r="G24" s="39">
        <f t="shared" si="5"/>
        <v>-92012962</v>
      </c>
      <c r="H24" s="61">
        <f t="shared" si="5"/>
        <v>-85099663</v>
      </c>
      <c r="I24" s="39">
        <f t="shared" si="5"/>
        <v>-228630930</v>
      </c>
      <c r="J24" s="61">
        <f t="shared" si="5"/>
        <v>0</v>
      </c>
      <c r="K24" s="39">
        <f t="shared" si="5"/>
        <v>0</v>
      </c>
      <c r="L24" s="61">
        <f t="shared" si="5"/>
        <v>-85099663</v>
      </c>
      <c r="M24" s="39">
        <f t="shared" si="5"/>
        <v>-228630930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-12877239</v>
      </c>
      <c r="G27" s="37">
        <f>I27-E27</f>
        <v>-22851048.739999995</v>
      </c>
      <c r="H27" s="60">
        <f>'TX-EGM-FLSH'!H27+'TX-HPLR-FLSH'!H27+'TX-HPLC-FLSH'!H27</f>
        <v>20120035</v>
      </c>
      <c r="I27" s="38">
        <f>'TX-EGM-FLSH'!I27+'TX-HPLR-FLSH'!I27+'TX-HPLC-FLSH'!I27</f>
        <v>51393626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20120035</v>
      </c>
      <c r="M27" s="38">
        <f>I27+K27</f>
        <v>51393626</v>
      </c>
    </row>
    <row r="28" spans="1:13" x14ac:dyDescent="0.25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16989539</v>
      </c>
      <c r="G28" s="37">
        <f>I28-E28</f>
        <v>33752278</v>
      </c>
      <c r="H28" s="60">
        <f>'TX-EGM-FLSH'!H28+'TX-HPLR-FLSH'!H28+'TX-HPLC-FLSH'!H28</f>
        <v>-16032535</v>
      </c>
      <c r="I28" s="38">
        <f>'TX-EGM-FLSH'!I28+'TX-HPLR-FLSH'!I28+'TX-HPLC-FLSH'!I28</f>
        <v>-40550675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-16032535</v>
      </c>
      <c r="M28" s="38">
        <f>I28+K28</f>
        <v>-40550675</v>
      </c>
    </row>
    <row r="29" spans="1:13" x14ac:dyDescent="0.25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4112300</v>
      </c>
      <c r="G29" s="39">
        <f t="shared" si="6"/>
        <v>10901229.260000005</v>
      </c>
      <c r="H29" s="61">
        <f t="shared" si="6"/>
        <v>4087500</v>
      </c>
      <c r="I29" s="39">
        <f t="shared" si="6"/>
        <v>10842951</v>
      </c>
      <c r="J29" s="61">
        <f t="shared" si="6"/>
        <v>0</v>
      </c>
      <c r="K29" s="39">
        <f t="shared" si="6"/>
        <v>0</v>
      </c>
      <c r="L29" s="61">
        <f t="shared" si="6"/>
        <v>4087500</v>
      </c>
      <c r="M29" s="39">
        <f t="shared" si="6"/>
        <v>10842951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-5639153</v>
      </c>
      <c r="G39" s="37">
        <f t="shared" si="9"/>
        <v>-12015482</v>
      </c>
      <c r="H39" s="60">
        <f>'TX-EGM-FLSH'!H39+'TX-HPLR-FLSH'!H39+'TX-HPLC-FLSH'!H39</f>
        <v>1697992</v>
      </c>
      <c r="I39" s="38">
        <f>'TX-EGM-FLSH'!I39+'TX-HPLR-FLSH'!I39+'TX-HPLC-FLSH'!I39</f>
        <v>4929983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1697992</v>
      </c>
      <c r="M39" s="38">
        <f t="shared" si="10"/>
        <v>4929983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-343753</v>
      </c>
      <c r="G40" s="37">
        <f t="shared" si="9"/>
        <v>-1378675</v>
      </c>
      <c r="H40" s="60">
        <f>'TX-EGM-FLSH'!H40+'TX-HPLR-FLSH'!H40+'TX-HPLC-FLSH'!H40</f>
        <v>-920296</v>
      </c>
      <c r="I40" s="38">
        <f>'TX-EGM-FLSH'!I40+'TX-HPLR-FLSH'!I40+'TX-HPLC-FLSH'!I40</f>
        <v>-2672332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-920296</v>
      </c>
      <c r="M40" s="38">
        <f t="shared" si="10"/>
        <v>-2672332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-343753</v>
      </c>
      <c r="G42" s="39">
        <f t="shared" si="11"/>
        <v>-1378675</v>
      </c>
      <c r="H42" s="61">
        <f t="shared" si="11"/>
        <v>-920296</v>
      </c>
      <c r="I42" s="39">
        <f t="shared" si="11"/>
        <v>-2672332</v>
      </c>
      <c r="J42" s="61">
        <f t="shared" si="11"/>
        <v>0</v>
      </c>
      <c r="K42" s="39">
        <f t="shared" si="11"/>
        <v>0</v>
      </c>
      <c r="L42" s="61">
        <f t="shared" si="11"/>
        <v>-920296</v>
      </c>
      <c r="M42" s="39">
        <f t="shared" si="11"/>
        <v>-2672332</v>
      </c>
    </row>
    <row r="43" spans="1:13" ht="21" customHeight="1" x14ac:dyDescent="0.25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-5982906</v>
      </c>
      <c r="G43" s="39">
        <f t="shared" si="12"/>
        <v>-13394157</v>
      </c>
      <c r="H43" s="61">
        <f t="shared" si="12"/>
        <v>777696</v>
      </c>
      <c r="I43" s="39">
        <f t="shared" si="12"/>
        <v>2257651</v>
      </c>
      <c r="J43" s="61">
        <f t="shared" si="12"/>
        <v>0</v>
      </c>
      <c r="K43" s="39">
        <f t="shared" si="12"/>
        <v>0</v>
      </c>
      <c r="L43" s="61">
        <f t="shared" si="12"/>
        <v>777696</v>
      </c>
      <c r="M43" s="39">
        <f t="shared" si="12"/>
        <v>2257651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215256</v>
      </c>
      <c r="G49" s="37">
        <f>I49-E49</f>
        <v>469168.88995889202</v>
      </c>
      <c r="H49" s="60">
        <f>'TX-EGM-FLSH'!H49+'TX-HPLR-FLSH'!H49+'TX-HPLC-FLSH'!H49</f>
        <v>215256</v>
      </c>
      <c r="I49" s="38">
        <f>'TX-EGM-FLSH'!I49+'TX-HPLR-FLSH'!I49+'TX-HPLC-FLSH'!I49</f>
        <v>469168.88995889202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215256</v>
      </c>
      <c r="M49" s="38">
        <f>I49+K49</f>
        <v>469168.88995889202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-1184746.73</v>
      </c>
      <c r="H54" s="60">
        <f>'TX-EGM-FLSH'!H54+'TX-HPLR-FLSH'!H54+'TX-HPLC-FLSH'!H54</f>
        <v>0</v>
      </c>
      <c r="I54" s="38">
        <f>'TX-EGM-FLSH'!I54+'TX-HPLR-FLSH'!I54+'TX-HPLC-FLSH'!I54</f>
        <v>-2177315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-2177315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-1184746.73</v>
      </c>
      <c r="H56" s="61">
        <f t="shared" si="13"/>
        <v>0</v>
      </c>
      <c r="I56" s="39">
        <f t="shared" si="13"/>
        <v>-2177315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-2177315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-1754216.99</v>
      </c>
      <c r="H70" s="60">
        <f>'TX-EGM-FLSH'!H70+'TX-HPLR-FLSH'!H70+'TX-HPLC-FLSH'!H70</f>
        <v>0</v>
      </c>
      <c r="I70" s="38">
        <f>'TX-EGM-FLSH'!I70+'TX-HPLR-FLSH'!I70+'TX-HPLC-FLSH'!I70</f>
        <v>-1503217.93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-1503217.93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2736300</v>
      </c>
      <c r="H71" s="60">
        <f>'TX-EGM-FLSH'!H71+'TX-HPLR-FLSH'!H71+'TX-HPLC-FLSH'!H71</f>
        <v>0</v>
      </c>
      <c r="I71" s="38">
        <f>'TX-EGM-FLSH'!I71+'TX-HPLR-FLSH'!I71+'TX-HPLC-FLSH'!I71</f>
        <v>1681622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1681622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982083.01</v>
      </c>
      <c r="H72" s="61">
        <f t="shared" si="16"/>
        <v>0</v>
      </c>
      <c r="I72" s="39">
        <f t="shared" si="16"/>
        <v>178404.07000000007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178404.07000000007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-877102.37</v>
      </c>
      <c r="H74" s="60">
        <f>'TX-EGM-FLSH'!H74+'TX-HPLR-FLSH'!H74+'TX-HPLC-FLSH'!H74</f>
        <v>0</v>
      </c>
      <c r="I74" s="38">
        <f>'TX-EGM-FLSH'!I74+'TX-HPLR-FLSH'!I74+'TX-HPLC-FLSH'!I74</f>
        <v>142646.04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142646.04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-80305</v>
      </c>
      <c r="H75" s="60">
        <f>'TX-EGM-FLSH'!H75+'TX-HPLR-FLSH'!H75+'TX-HPLC-FLSH'!H75</f>
        <v>0</v>
      </c>
      <c r="I75" s="38">
        <f>'TX-EGM-FLSH'!I75+'TX-HPLR-FLSH'!I75+'TX-HPLC-FLSH'!I75</f>
        <v>895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895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1594</v>
      </c>
      <c r="H76" s="60">
        <f>'TX-EGM-FLSH'!H76+'TX-HPLR-FLSH'!H76+'TX-HPLC-FLSH'!H76</f>
        <v>0</v>
      </c>
      <c r="I76" s="38">
        <f>'TX-EGM-FLSH'!I76+'TX-HPLR-FLSH'!I76+'TX-HPLC-FLSH'!I76</f>
        <v>-2466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-2466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-42013</v>
      </c>
      <c r="H81" s="60">
        <f>'TX-EGM-FLSH'!H81+'TX-HPLR-FLSH'!H81+'TX-HPLC-FLSH'!H81</f>
        <v>0</v>
      </c>
      <c r="I81" s="38">
        <f>'TX-EGM-FLSH'!I81+'TX-HPLR-FLSH'!I81+'TX-HPLC-FLSH'!I81</f>
        <v>-42013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-42013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38511.933513278607</v>
      </c>
      <c r="H82" s="73">
        <f>H16+H24+H29+H36+H43+H45+H47+H49</f>
        <v>0</v>
      </c>
      <c r="I82" s="74">
        <f>SUM(I72:I81)+I16+I24+I29+I36+I43+I45+I47+I49+I51+I56+I61+I66</f>
        <v>1610679.9999589063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1610679.9999589063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166</v>
      </c>
      <c r="B85" s="3"/>
      <c r="E85" s="31">
        <f>+'TX-HPLR-FLSH'!E82+'TX-EGM-FLSH'!E82</f>
        <v>855885.07588832825</v>
      </c>
    </row>
    <row r="86" spans="1:67" s="3" customFormat="1" x14ac:dyDescent="0.25">
      <c r="A86" s="166"/>
      <c r="C86" s="10" t="s">
        <v>167</v>
      </c>
      <c r="D86" s="170">
        <f>'TX-EGM-FLSH'!D86+'TX-HPLR-FLSH'!D86</f>
        <v>0</v>
      </c>
      <c r="E86" s="170">
        <f>'TX-EGM-FLSH'!E86+'TX-HPLR-FLSH'!E86</f>
        <v>-810329</v>
      </c>
      <c r="F86" s="170">
        <f>'TX-EGM-FLSH'!F86+'TX-HPLR-FLSH'!F86</f>
        <v>0</v>
      </c>
      <c r="G86" s="170">
        <f>'TX-EGM-FLSH'!G86+'TX-HPLR-FLSH'!G86</f>
        <v>0</v>
      </c>
      <c r="H86" s="170">
        <f>'TX-EGM-FLSH'!H86+'TX-HPLR-FLSH'!H86+'TX-HPLC-FLSH'!H86</f>
        <v>0</v>
      </c>
      <c r="I86" s="170">
        <f>'TX-EGM-FLSH'!I86+'TX-HPLR-FLSH'!I86+'TX-HPLC-FLSH'!I86</f>
        <v>-810329</v>
      </c>
      <c r="J86" s="170">
        <f>'TX-EGM-FLSH'!J86+'TX-HPLR-FLSH'!J86</f>
        <v>0</v>
      </c>
      <c r="K86" s="170">
        <f>'TX-EGM-FLSH'!K86+'TX-HPLR-FLSH'!K86</f>
        <v>0</v>
      </c>
      <c r="L86" s="170">
        <f>'TX-EGM-FLSH'!L86+'TX-HPLR-FLSH'!L86</f>
        <v>0</v>
      </c>
      <c r="M86" s="170">
        <f>'TX-EGM-FLSH'!M86+'TX-HPLR-FLSH'!M86</f>
        <v>-810329</v>
      </c>
    </row>
    <row r="87" spans="1:67" s="3" customFormat="1" x14ac:dyDescent="0.25">
      <c r="A87" s="166"/>
      <c r="C87" s="10" t="s">
        <v>71</v>
      </c>
      <c r="D87" s="171">
        <f>'TX-EGM-FLSH'!D87+'TX-HPLR-FLSH'!D87</f>
        <v>0</v>
      </c>
      <c r="E87" s="171">
        <f>'TX-EGM-FLSH'!E87+'TX-HPLR-FLSH'!E87</f>
        <v>0</v>
      </c>
      <c r="F87" s="171">
        <f>'TX-EGM-FLSH'!F87+'TX-HPLR-FLSH'!F87</f>
        <v>0</v>
      </c>
      <c r="G87" s="171">
        <f>'TX-EGM-FLSH'!G87+'TX-HPLR-FLSH'!G87</f>
        <v>0</v>
      </c>
      <c r="H87" s="171">
        <f>'TX-EGM-FLSH'!H87+'TX-HPLR-FLSH'!H87+'TX-HPLC-FLSH'!H87</f>
        <v>0</v>
      </c>
      <c r="I87" s="171">
        <f>'TX-EGM-FLSH'!I87+'TX-HPLR-FLSH'!I87+'TX-HPLC-FLSH'!I87</f>
        <v>0</v>
      </c>
      <c r="J87" s="171">
        <f>'TX-EGM-FLSH'!J87+'TX-HPLR-FLSH'!J87</f>
        <v>0</v>
      </c>
      <c r="K87" s="171">
        <f>'TX-EGM-FLSH'!K87+'TX-HPLR-FLSH'!K87</f>
        <v>0</v>
      </c>
      <c r="L87" s="171">
        <f>'TX-EGM-FLSH'!L87+'TX-HPLR-FLSH'!L87</f>
        <v>0</v>
      </c>
      <c r="M87" s="171">
        <f>'TX-EGM-FLSH'!M87+'TX-HPLR-FLSH'!M87</f>
        <v>0</v>
      </c>
    </row>
    <row r="88" spans="1:67" s="3" customFormat="1" x14ac:dyDescent="0.25">
      <c r="A88" s="166"/>
      <c r="C88" s="10" t="s">
        <v>72</v>
      </c>
      <c r="D88" s="172">
        <f>'TX-EGM-FLSH'!D88+'TX-HPLR-FLSH'!D88</f>
        <v>0</v>
      </c>
      <c r="E88" s="172">
        <f>'TX-EGM-FLSH'!E88+'TX-HPLR-FLSH'!E88</f>
        <v>924228</v>
      </c>
      <c r="F88" s="172">
        <f>'TX-EGM-FLSH'!F88+'TX-HPLR-FLSH'!F88</f>
        <v>0</v>
      </c>
      <c r="G88" s="172">
        <f>'TX-EGM-FLSH'!G88+'TX-HPLR-FLSH'!G88</f>
        <v>0</v>
      </c>
      <c r="H88" s="172">
        <f>'TX-EGM-FLSH'!H88+'TX-HPLR-FLSH'!H88+'TX-HPLC-FLSH'!H88</f>
        <v>0</v>
      </c>
      <c r="I88" s="172">
        <f>'TX-EGM-FLSH'!I88+'TX-HPLR-FLSH'!I88+'TX-HPLC-FLSH'!I88</f>
        <v>924228</v>
      </c>
      <c r="J88" s="172">
        <f>'TX-EGM-FLSH'!J88+'TX-HPLR-FLSH'!J88</f>
        <v>0</v>
      </c>
      <c r="K88" s="172">
        <f>'TX-EGM-FLSH'!K88+'TX-HPLR-FLSH'!K88</f>
        <v>0</v>
      </c>
      <c r="L88" s="172">
        <f>'TX-EGM-FLSH'!L88+'TX-HPLR-FLSH'!L88</f>
        <v>0</v>
      </c>
      <c r="M88" s="172">
        <f>'TX-EGM-FLSH'!M88+'TX-HPLR-FLSH'!M88</f>
        <v>924228</v>
      </c>
    </row>
    <row r="89" spans="1:67" s="44" customFormat="1" ht="20.25" customHeight="1" x14ac:dyDescent="0.25">
      <c r="A89" s="173"/>
      <c r="B89" s="174"/>
      <c r="C89" s="175" t="s">
        <v>170</v>
      </c>
      <c r="D89" s="177">
        <f>SUM(D86:D88)</f>
        <v>0</v>
      </c>
      <c r="E89" s="177">
        <f t="shared" ref="E89:M89" si="19">SUM(E86:E88)</f>
        <v>113899</v>
      </c>
      <c r="F89" s="177">
        <f t="shared" si="19"/>
        <v>0</v>
      </c>
      <c r="G89" s="177">
        <f t="shared" si="19"/>
        <v>0</v>
      </c>
      <c r="H89" s="177">
        <f t="shared" si="19"/>
        <v>0</v>
      </c>
      <c r="I89" s="177">
        <f t="shared" si="19"/>
        <v>113899</v>
      </c>
      <c r="J89" s="177">
        <f t="shared" si="19"/>
        <v>0</v>
      </c>
      <c r="K89" s="177">
        <f t="shared" si="19"/>
        <v>0</v>
      </c>
      <c r="L89" s="177">
        <f t="shared" si="19"/>
        <v>0</v>
      </c>
      <c r="M89" s="177">
        <f t="shared" si="19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3"/>
      <c r="B91" s="174"/>
      <c r="C91" s="175" t="s">
        <v>168</v>
      </c>
      <c r="D91" s="177">
        <f>+D82+D89</f>
        <v>0</v>
      </c>
      <c r="E91" s="177">
        <f t="shared" ref="E91:M91" si="20">+E82+E89</f>
        <v>1686067.0664456128</v>
      </c>
      <c r="F91" s="177">
        <f t="shared" si="20"/>
        <v>0</v>
      </c>
      <c r="G91" s="177">
        <f t="shared" si="20"/>
        <v>38511.933513278607</v>
      </c>
      <c r="H91" s="177">
        <f t="shared" si="20"/>
        <v>0</v>
      </c>
      <c r="I91" s="177">
        <f t="shared" si="20"/>
        <v>1724578.9999589063</v>
      </c>
      <c r="J91" s="177">
        <f t="shared" si="20"/>
        <v>0</v>
      </c>
      <c r="K91" s="177">
        <f t="shared" si="20"/>
        <v>0</v>
      </c>
      <c r="L91" s="177">
        <f t="shared" si="20"/>
        <v>0</v>
      </c>
      <c r="M91" s="177">
        <f t="shared" si="20"/>
        <v>1724578.9999589063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29506141</v>
      </c>
      <c r="E11" s="65">
        <v>79305771</v>
      </c>
      <c r="F11" s="60">
        <f>H11-D11</f>
        <v>0</v>
      </c>
      <c r="G11" s="37">
        <f>I11-E11</f>
        <v>0</v>
      </c>
      <c r="H11" s="65">
        <f>D11</f>
        <v>29506141</v>
      </c>
      <c r="I11" s="66">
        <f>E11</f>
        <v>79305771</v>
      </c>
      <c r="J11" s="60"/>
      <c r="K11" s="38"/>
      <c r="L11" s="60">
        <f t="shared" ref="L11:M15" si="0">H11+J11</f>
        <v>29506141</v>
      </c>
      <c r="M11" s="38">
        <f t="shared" si="0"/>
        <v>79305771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15672974</v>
      </c>
      <c r="E13" s="65">
        <v>38359595</v>
      </c>
      <c r="F13" s="60">
        <f t="shared" si="1"/>
        <v>0</v>
      </c>
      <c r="G13" s="37">
        <f t="shared" si="1"/>
        <v>0</v>
      </c>
      <c r="H13" s="65">
        <f t="shared" si="2"/>
        <v>15672974</v>
      </c>
      <c r="I13" s="66">
        <f t="shared" si="2"/>
        <v>38359595</v>
      </c>
      <c r="J13" s="60"/>
      <c r="K13" s="38"/>
      <c r="L13" s="60">
        <f t="shared" si="0"/>
        <v>15672974</v>
      </c>
      <c r="M13" s="38">
        <f t="shared" si="0"/>
        <v>38359595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45179115</v>
      </c>
      <c r="E16" s="39">
        <v>117665366</v>
      </c>
      <c r="F16" s="61">
        <f t="shared" ref="F16:M16" si="3">SUM(F11:F15)</f>
        <v>0</v>
      </c>
      <c r="G16" s="39">
        <f t="shared" si="3"/>
        <v>0</v>
      </c>
      <c r="H16" s="61">
        <f>SUM(H11:H15)</f>
        <v>45179115</v>
      </c>
      <c r="I16" s="39">
        <f>SUM(I11:I15)</f>
        <v>117665366</v>
      </c>
      <c r="J16" s="61">
        <f t="shared" si="3"/>
        <v>0</v>
      </c>
      <c r="K16" s="39">
        <f t="shared" si="3"/>
        <v>0</v>
      </c>
      <c r="L16" s="61">
        <f t="shared" si="3"/>
        <v>45179115</v>
      </c>
      <c r="M16" s="39">
        <f t="shared" si="3"/>
        <v>117665366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-30580828</v>
      </c>
      <c r="E19" s="65">
        <v>-79714556</v>
      </c>
      <c r="F19" s="60">
        <f>H19-D19</f>
        <v>0</v>
      </c>
      <c r="G19" s="37">
        <f>I19-E19</f>
        <v>0</v>
      </c>
      <c r="H19" s="65">
        <f t="shared" si="4"/>
        <v>-30580828</v>
      </c>
      <c r="I19" s="66">
        <f t="shared" si="4"/>
        <v>-79714556</v>
      </c>
      <c r="J19" s="60"/>
      <c r="K19" s="38"/>
      <c r="L19" s="60">
        <f t="shared" ref="L19:M23" si="5">H19+J19</f>
        <v>-30580828</v>
      </c>
      <c r="M19" s="38">
        <f t="shared" si="5"/>
        <v>-79714556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-15154169</v>
      </c>
      <c r="E21" s="65">
        <v>-36942817</v>
      </c>
      <c r="F21" s="60">
        <f t="shared" si="6"/>
        <v>0</v>
      </c>
      <c r="G21" s="37">
        <f t="shared" si="6"/>
        <v>0</v>
      </c>
      <c r="H21" s="65">
        <f t="shared" si="4"/>
        <v>-15154169</v>
      </c>
      <c r="I21" s="66">
        <f t="shared" si="4"/>
        <v>-36942817</v>
      </c>
      <c r="J21" s="60"/>
      <c r="K21" s="38"/>
      <c r="L21" s="60">
        <f t="shared" si="5"/>
        <v>-15154169</v>
      </c>
      <c r="M21" s="38">
        <f t="shared" si="5"/>
        <v>-36942817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273688</v>
      </c>
      <c r="E23" s="65">
        <v>625452</v>
      </c>
      <c r="F23" s="60">
        <f t="shared" si="6"/>
        <v>0</v>
      </c>
      <c r="G23" s="37">
        <f t="shared" si="6"/>
        <v>0</v>
      </c>
      <c r="H23" s="65">
        <f t="shared" si="4"/>
        <v>273688</v>
      </c>
      <c r="I23" s="66">
        <f t="shared" si="4"/>
        <v>625452</v>
      </c>
      <c r="J23" s="60"/>
      <c r="K23" s="38"/>
      <c r="L23" s="60">
        <f t="shared" si="5"/>
        <v>273688</v>
      </c>
      <c r="M23" s="38">
        <f t="shared" si="5"/>
        <v>625452</v>
      </c>
    </row>
    <row r="24" spans="1:13" x14ac:dyDescent="0.25">
      <c r="A24" s="9"/>
      <c r="B24" s="7" t="s">
        <v>33</v>
      </c>
      <c r="C24" s="6"/>
      <c r="D24" s="61">
        <v>-45461309</v>
      </c>
      <c r="E24" s="39">
        <v>-116031921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-45461309</v>
      </c>
      <c r="I24" s="39">
        <f>SUM(I19:I23)</f>
        <v>-116031921</v>
      </c>
      <c r="J24" s="61">
        <f t="shared" si="7"/>
        <v>0</v>
      </c>
      <c r="K24" s="39">
        <f t="shared" si="7"/>
        <v>0</v>
      </c>
      <c r="L24" s="61">
        <f t="shared" si="7"/>
        <v>-45461309</v>
      </c>
      <c r="M24" s="39">
        <f t="shared" si="7"/>
        <v>-116031921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-17540</v>
      </c>
      <c r="E32" s="65">
        <v>-105055</v>
      </c>
      <c r="F32" s="60">
        <f>H32-D32</f>
        <v>0</v>
      </c>
      <c r="G32" s="37">
        <f>I32-E32</f>
        <v>0</v>
      </c>
      <c r="H32" s="65">
        <f t="shared" ref="H32:I35" si="9">D32</f>
        <v>-17540</v>
      </c>
      <c r="I32" s="66">
        <f t="shared" si="9"/>
        <v>-105055</v>
      </c>
      <c r="J32" s="60"/>
      <c r="K32" s="38"/>
      <c r="L32" s="60">
        <f t="shared" ref="L32:M35" si="10">H32+J32</f>
        <v>-17540</v>
      </c>
      <c r="M32" s="38">
        <f t="shared" si="10"/>
        <v>-105055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313858</v>
      </c>
      <c r="E35" s="65">
        <v>924854</v>
      </c>
      <c r="F35" s="60">
        <f t="shared" si="11"/>
        <v>0</v>
      </c>
      <c r="G35" s="37">
        <f t="shared" si="11"/>
        <v>0</v>
      </c>
      <c r="H35" s="65">
        <f t="shared" si="9"/>
        <v>313858</v>
      </c>
      <c r="I35" s="66">
        <f t="shared" si="9"/>
        <v>924854</v>
      </c>
      <c r="J35" s="60"/>
      <c r="K35" s="38"/>
      <c r="L35" s="60">
        <f t="shared" si="10"/>
        <v>313858</v>
      </c>
      <c r="M35" s="38">
        <f t="shared" si="10"/>
        <v>924854</v>
      </c>
    </row>
    <row r="36" spans="1:13" x14ac:dyDescent="0.25">
      <c r="A36" s="9"/>
      <c r="B36" s="7" t="s">
        <v>43</v>
      </c>
      <c r="C36" s="6"/>
      <c r="D36" s="61">
        <v>296318</v>
      </c>
      <c r="E36" s="39">
        <v>819799</v>
      </c>
      <c r="F36" s="61">
        <f>SUM(F32:F35)</f>
        <v>0</v>
      </c>
      <c r="G36" s="39">
        <f>SUM(G32:G35)</f>
        <v>0</v>
      </c>
      <c r="H36" s="61">
        <f>SUM(H32:H35)</f>
        <v>296318</v>
      </c>
      <c r="I36" s="39">
        <f>SUM(I32:I35)</f>
        <v>819799</v>
      </c>
      <c r="J36" s="61">
        <f>SUM(J32:J34)</f>
        <v>0</v>
      </c>
      <c r="K36" s="39">
        <f>SUM(K32:K34)</f>
        <v>0</v>
      </c>
      <c r="L36" s="61">
        <f>SUM(L32:L35)</f>
        <v>296318</v>
      </c>
      <c r="M36" s="39">
        <f>SUM(M32:M35)</f>
        <v>819799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27687</v>
      </c>
      <c r="E39" s="65">
        <v>60954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27687</v>
      </c>
      <c r="I39" s="66">
        <f t="shared" si="12"/>
        <v>60954</v>
      </c>
      <c r="J39" s="60"/>
      <c r="K39" s="38"/>
      <c r="L39" s="60">
        <f t="shared" ref="L39:M41" si="14">H39+J39</f>
        <v>27687</v>
      </c>
      <c r="M39" s="38">
        <f t="shared" si="14"/>
        <v>60954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-40151</v>
      </c>
      <c r="E40" s="65">
        <v>-94691</v>
      </c>
      <c r="F40" s="60">
        <f t="shared" si="13"/>
        <v>0</v>
      </c>
      <c r="G40" s="37">
        <f t="shared" si="13"/>
        <v>0</v>
      </c>
      <c r="H40" s="65">
        <f t="shared" si="12"/>
        <v>-40151</v>
      </c>
      <c r="I40" s="66">
        <f t="shared" si="12"/>
        <v>-94691</v>
      </c>
      <c r="J40" s="60"/>
      <c r="K40" s="38"/>
      <c r="L40" s="60">
        <f t="shared" si="14"/>
        <v>-40151</v>
      </c>
      <c r="M40" s="38">
        <f t="shared" si="14"/>
        <v>-94691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-40151</v>
      </c>
      <c r="E42" s="39">
        <v>-94691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-40151</v>
      </c>
      <c r="I42" s="39">
        <f>SUM(I40:I41)</f>
        <v>-94691</v>
      </c>
      <c r="J42" s="61">
        <f t="shared" si="15"/>
        <v>0</v>
      </c>
      <c r="K42" s="39">
        <f t="shared" si="15"/>
        <v>0</v>
      </c>
      <c r="L42" s="61">
        <f t="shared" si="15"/>
        <v>-40151</v>
      </c>
      <c r="M42" s="39">
        <f t="shared" si="15"/>
        <v>-94691</v>
      </c>
    </row>
    <row r="43" spans="1:13" ht="21" customHeight="1" x14ac:dyDescent="0.25">
      <c r="A43" s="9"/>
      <c r="B43" s="7" t="s">
        <v>49</v>
      </c>
      <c r="C43" s="6"/>
      <c r="D43" s="61">
        <v>-12464</v>
      </c>
      <c r="E43" s="39">
        <v>-33737</v>
      </c>
      <c r="F43" s="61">
        <f t="shared" ref="F43:M43" si="16">F42+F39</f>
        <v>0</v>
      </c>
      <c r="G43" s="39">
        <f t="shared" si="16"/>
        <v>0</v>
      </c>
      <c r="H43" s="61">
        <f>H42+H39</f>
        <v>-12464</v>
      </c>
      <c r="I43" s="39">
        <f>I42+I39</f>
        <v>-33737</v>
      </c>
      <c r="J43" s="61">
        <f t="shared" si="16"/>
        <v>0</v>
      </c>
      <c r="K43" s="39">
        <f t="shared" si="16"/>
        <v>0</v>
      </c>
      <c r="L43" s="61">
        <f t="shared" si="16"/>
        <v>-12464</v>
      </c>
      <c r="M43" s="39">
        <f t="shared" si="16"/>
        <v>-33737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-1660</v>
      </c>
      <c r="E49" s="65">
        <v>-4375.3585052358821</v>
      </c>
      <c r="F49" s="60">
        <f>H49-D49</f>
        <v>0</v>
      </c>
      <c r="G49" s="37">
        <f>I49-E49</f>
        <v>0</v>
      </c>
      <c r="H49" s="65">
        <f>D49</f>
        <v>-1660</v>
      </c>
      <c r="I49" s="66">
        <f>E49</f>
        <v>-4375.3585052358821</v>
      </c>
      <c r="J49" s="60"/>
      <c r="K49" s="38"/>
      <c r="L49" s="60">
        <f>H49+J49</f>
        <v>-1660</v>
      </c>
      <c r="M49" s="38">
        <f>I49+K49</f>
        <v>-4375.3585052358821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-273688</v>
      </c>
      <c r="E51" s="65">
        <v>-625452</v>
      </c>
      <c r="F51" s="60">
        <f>H51-D51</f>
        <v>0</v>
      </c>
      <c r="G51" s="37">
        <f>I51-E51</f>
        <v>0</v>
      </c>
      <c r="H51" s="65">
        <f>D51</f>
        <v>-273688</v>
      </c>
      <c r="I51" s="66">
        <f>E51</f>
        <v>-625452</v>
      </c>
      <c r="J51" s="60"/>
      <c r="K51" s="38"/>
      <c r="L51" s="60">
        <f>H51+J51</f>
        <v>-273688</v>
      </c>
      <c r="M51" s="38">
        <f>I51+K51</f>
        <v>-625452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-284126.77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-284126.77</v>
      </c>
      <c r="J54" s="60"/>
      <c r="K54" s="38"/>
      <c r="L54" s="60">
        <f>H54+J54</f>
        <v>0</v>
      </c>
      <c r="M54" s="38">
        <f>I54+K54</f>
        <v>-284126.77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-1289909.17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-1289909.17</v>
      </c>
      <c r="J55" s="60"/>
      <c r="K55" s="38"/>
      <c r="L55" s="60">
        <f>H55+J55</f>
        <v>0</v>
      </c>
      <c r="M55" s="38">
        <f>I55+K55</f>
        <v>-1289909.17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-1574035.94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-1574035.94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-1574035.94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2316418.4004000002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2316418.4004000002</v>
      </c>
      <c r="J70" s="60"/>
      <c r="K70" s="38"/>
      <c r="L70" s="60">
        <f>H70+J70</f>
        <v>0</v>
      </c>
      <c r="M70" s="38">
        <f>I70+K70</f>
        <v>2316418.4004000002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-1281047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-1281047</v>
      </c>
      <c r="J71" s="60"/>
      <c r="K71" s="38"/>
      <c r="L71" s="60">
        <f>H71+J71</f>
        <v>0</v>
      </c>
      <c r="M71" s="38">
        <f>I71+K71</f>
        <v>-1281047</v>
      </c>
    </row>
    <row r="72" spans="1:13" x14ac:dyDescent="0.25">
      <c r="A72" s="9"/>
      <c r="B72" s="3"/>
      <c r="C72" s="55" t="s">
        <v>69</v>
      </c>
      <c r="D72" s="61">
        <v>0</v>
      </c>
      <c r="E72" s="39">
        <v>1035371.4004000002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1035371.4004000002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1035371.4004000002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158710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158710</v>
      </c>
      <c r="J74" s="60"/>
      <c r="K74" s="38"/>
      <c r="L74" s="60">
        <f t="shared" si="22"/>
        <v>0</v>
      </c>
      <c r="M74" s="38">
        <f t="shared" si="22"/>
        <v>158710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13464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13464</v>
      </c>
      <c r="J75" s="60"/>
      <c r="K75" s="38"/>
      <c r="L75" s="60">
        <f t="shared" si="22"/>
        <v>0</v>
      </c>
      <c r="M75" s="38">
        <f t="shared" si="22"/>
        <v>13464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-10883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-10883</v>
      </c>
      <c r="J76" s="60"/>
      <c r="K76" s="38"/>
      <c r="L76" s="60">
        <f t="shared" si="22"/>
        <v>0</v>
      </c>
      <c r="M76" s="38">
        <f t="shared" si="22"/>
        <v>-10883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225847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225847</v>
      </c>
      <c r="J81" s="60"/>
      <c r="K81" s="38"/>
      <c r="L81" s="60">
        <f t="shared" si="22"/>
        <v>0</v>
      </c>
      <c r="M81" s="38">
        <f t="shared" si="22"/>
        <v>225847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1638153.1018947619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1638153.1018947619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1638153.1018947619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</row>
    <row r="86" spans="1:67" s="3" customFormat="1" x14ac:dyDescent="0.25">
      <c r="A86" s="166"/>
      <c r="C86" s="10" t="s">
        <v>167</v>
      </c>
      <c r="D86" s="167">
        <v>0</v>
      </c>
      <c r="E86" s="167">
        <v>0</v>
      </c>
      <c r="F86" s="167">
        <v>0</v>
      </c>
      <c r="G86" s="167">
        <v>0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</row>
    <row r="87" spans="1:67" s="3" customFormat="1" x14ac:dyDescent="0.25">
      <c r="A87" s="166"/>
      <c r="C87" s="10" t="s">
        <v>71</v>
      </c>
      <c r="D87" s="168">
        <v>0</v>
      </c>
      <c r="E87" s="168">
        <v>0</v>
      </c>
      <c r="F87" s="168">
        <v>0</v>
      </c>
      <c r="G87" s="168"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</row>
    <row r="88" spans="1:67" s="3" customFormat="1" x14ac:dyDescent="0.25">
      <c r="A88" s="166"/>
      <c r="C88" s="10" t="s">
        <v>72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</row>
    <row r="89" spans="1:67" s="44" customFormat="1" ht="20.25" customHeight="1" x14ac:dyDescent="0.25">
      <c r="A89" s="173"/>
      <c r="B89" s="174"/>
      <c r="C89" s="175" t="s">
        <v>170</v>
      </c>
      <c r="D89" s="177">
        <f>SUM(D86:D88)</f>
        <v>0</v>
      </c>
      <c r="E89" s="177">
        <f t="shared" ref="E89:M89" si="24">SUM(E86:E88)</f>
        <v>0</v>
      </c>
      <c r="F89" s="177">
        <f t="shared" si="24"/>
        <v>0</v>
      </c>
      <c r="G89" s="177">
        <f t="shared" si="24"/>
        <v>0</v>
      </c>
      <c r="H89" s="177">
        <f t="shared" si="24"/>
        <v>0</v>
      </c>
      <c r="I89" s="177">
        <f t="shared" si="24"/>
        <v>0</v>
      </c>
      <c r="J89" s="177">
        <f t="shared" si="24"/>
        <v>0</v>
      </c>
      <c r="K89" s="177">
        <f t="shared" si="24"/>
        <v>0</v>
      </c>
      <c r="L89" s="177">
        <f t="shared" si="24"/>
        <v>0</v>
      </c>
      <c r="M89" s="177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3"/>
      <c r="B91" s="174"/>
      <c r="C91" s="175" t="s">
        <v>168</v>
      </c>
      <c r="D91" s="177">
        <f>+D82+D89</f>
        <v>0</v>
      </c>
      <c r="E91" s="177">
        <f t="shared" ref="E91:M91" si="25">+E82+E89</f>
        <v>1638153.1018947619</v>
      </c>
      <c r="F91" s="177">
        <f t="shared" si="25"/>
        <v>0</v>
      </c>
      <c r="G91" s="177">
        <f t="shared" si="25"/>
        <v>0</v>
      </c>
      <c r="H91" s="177">
        <f t="shared" si="25"/>
        <v>0</v>
      </c>
      <c r="I91" s="177">
        <f t="shared" si="25"/>
        <v>1638153.1018947619</v>
      </c>
      <c r="J91" s="177">
        <f t="shared" si="25"/>
        <v>0</v>
      </c>
      <c r="K91" s="177">
        <f t="shared" si="25"/>
        <v>0</v>
      </c>
      <c r="L91" s="177">
        <f t="shared" si="25"/>
        <v>0</v>
      </c>
      <c r="M91" s="177">
        <f t="shared" si="25"/>
        <v>1638153.1018947619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5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5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38">
        <v>2172000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2172000</v>
      </c>
      <c r="J81" s="60"/>
      <c r="K81" s="38"/>
      <c r="L81" s="60">
        <f t="shared" si="24"/>
        <v>0</v>
      </c>
      <c r="M81" s="38">
        <f t="shared" si="24"/>
        <v>2172000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2172000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2172000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2172000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68">
        <v>15784027</v>
      </c>
      <c r="E11" s="168">
        <v>46298293</v>
      </c>
      <c r="F11" s="60">
        <f>H11-D11</f>
        <v>0</v>
      </c>
      <c r="G11" s="37">
        <f>I11-E11</f>
        <v>0</v>
      </c>
      <c r="H11" s="65">
        <f>D11</f>
        <v>15784027</v>
      </c>
      <c r="I11" s="66">
        <f>E11</f>
        <v>46298293</v>
      </c>
      <c r="J11" s="60"/>
      <c r="K11" s="38"/>
      <c r="L11" s="60">
        <f t="shared" ref="L11:M15" si="0">H11+J11</f>
        <v>15784027</v>
      </c>
      <c r="M11" s="38">
        <f t="shared" si="0"/>
        <v>46298293</v>
      </c>
    </row>
    <row r="12" spans="1:26" x14ac:dyDescent="0.25">
      <c r="A12" s="9">
        <v>2</v>
      </c>
      <c r="B12" s="7"/>
      <c r="C12" s="18" t="s">
        <v>26</v>
      </c>
      <c r="D12" s="168">
        <v>0</v>
      </c>
      <c r="E12" s="16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168">
        <v>4750308</v>
      </c>
      <c r="E13" s="168">
        <v>13933581</v>
      </c>
      <c r="F13" s="60">
        <f t="shared" si="1"/>
        <v>0</v>
      </c>
      <c r="G13" s="37">
        <f t="shared" si="1"/>
        <v>0</v>
      </c>
      <c r="H13" s="65">
        <f t="shared" si="2"/>
        <v>4750308</v>
      </c>
      <c r="I13" s="66">
        <f t="shared" si="2"/>
        <v>13933581</v>
      </c>
      <c r="J13" s="60"/>
      <c r="K13" s="38"/>
      <c r="L13" s="60">
        <f t="shared" si="0"/>
        <v>4750308</v>
      </c>
      <c r="M13" s="38">
        <f t="shared" si="0"/>
        <v>13933581</v>
      </c>
    </row>
    <row r="14" spans="1:26" x14ac:dyDescent="0.25">
      <c r="A14" s="9">
        <v>4</v>
      </c>
      <c r="B14" s="7"/>
      <c r="C14" s="18" t="s">
        <v>28</v>
      </c>
      <c r="D14" s="168">
        <v>0</v>
      </c>
      <c r="E14" s="16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168">
        <v>0</v>
      </c>
      <c r="E15" s="16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189">
        <v>20534335</v>
      </c>
      <c r="E16" s="189">
        <v>60231874</v>
      </c>
      <c r="F16" s="61">
        <f t="shared" ref="F16:M16" si="3">SUM(F11:F15)</f>
        <v>0</v>
      </c>
      <c r="G16" s="39">
        <f t="shared" si="3"/>
        <v>0</v>
      </c>
      <c r="H16" s="61">
        <f>SUM(H11:H15)</f>
        <v>20534335</v>
      </c>
      <c r="I16" s="39">
        <f>SUM(I11:I15)</f>
        <v>60231874</v>
      </c>
      <c r="J16" s="61">
        <f t="shared" si="3"/>
        <v>0</v>
      </c>
      <c r="K16" s="39">
        <f t="shared" si="3"/>
        <v>0</v>
      </c>
      <c r="L16" s="61">
        <f t="shared" si="3"/>
        <v>20534335</v>
      </c>
      <c r="M16" s="39">
        <f t="shared" si="3"/>
        <v>60231874</v>
      </c>
    </row>
    <row r="17" spans="1:13" x14ac:dyDescent="0.25">
      <c r="A17" s="9"/>
      <c r="B17" s="7"/>
      <c r="C17" s="6"/>
      <c r="D17" s="171"/>
      <c r="E17" s="171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171"/>
      <c r="E18" s="171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68">
        <v>-15913928</v>
      </c>
      <c r="E19" s="168">
        <v>-46630843</v>
      </c>
      <c r="F19" s="60">
        <f>H19-D19</f>
        <v>0</v>
      </c>
      <c r="G19" s="37">
        <f>I19-E19</f>
        <v>0</v>
      </c>
      <c r="H19" s="65">
        <f t="shared" si="4"/>
        <v>-15913928</v>
      </c>
      <c r="I19" s="66">
        <f t="shared" si="4"/>
        <v>-46630843</v>
      </c>
      <c r="J19" s="60"/>
      <c r="K19" s="38"/>
      <c r="L19" s="60">
        <f t="shared" ref="L19:M23" si="5">H19+J19</f>
        <v>-15913928</v>
      </c>
      <c r="M19" s="38">
        <f t="shared" si="5"/>
        <v>-46630843</v>
      </c>
    </row>
    <row r="20" spans="1:13" x14ac:dyDescent="0.25">
      <c r="A20" s="9">
        <v>7</v>
      </c>
      <c r="B20" s="7"/>
      <c r="C20" s="18" t="s">
        <v>26</v>
      </c>
      <c r="D20" s="168">
        <v>0</v>
      </c>
      <c r="E20" s="16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68">
        <v>-4617010</v>
      </c>
      <c r="E21" s="168">
        <v>-13548941</v>
      </c>
      <c r="F21" s="60">
        <f t="shared" si="6"/>
        <v>0</v>
      </c>
      <c r="G21" s="37">
        <f t="shared" si="6"/>
        <v>0</v>
      </c>
      <c r="H21" s="65">
        <f t="shared" si="4"/>
        <v>-4617010</v>
      </c>
      <c r="I21" s="66">
        <f t="shared" si="4"/>
        <v>-13548941</v>
      </c>
      <c r="J21" s="60"/>
      <c r="K21" s="38"/>
      <c r="L21" s="60">
        <f t="shared" si="5"/>
        <v>-4617010</v>
      </c>
      <c r="M21" s="38">
        <f t="shared" si="5"/>
        <v>-13548941</v>
      </c>
    </row>
    <row r="22" spans="1:13" x14ac:dyDescent="0.25">
      <c r="A22" s="9">
        <v>9</v>
      </c>
      <c r="B22" s="7"/>
      <c r="C22" s="18" t="s">
        <v>28</v>
      </c>
      <c r="D22" s="168">
        <v>0</v>
      </c>
      <c r="E22" s="16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68">
        <v>0</v>
      </c>
      <c r="E23" s="16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89">
        <v>-20530938</v>
      </c>
      <c r="E24" s="189">
        <v>-60179784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-20530938</v>
      </c>
      <c r="I24" s="39">
        <f>SUM(I19:I23)</f>
        <v>-60179784</v>
      </c>
      <c r="J24" s="61">
        <f t="shared" si="7"/>
        <v>0</v>
      </c>
      <c r="K24" s="39">
        <f t="shared" si="7"/>
        <v>0</v>
      </c>
      <c r="L24" s="61">
        <f t="shared" si="7"/>
        <v>-20530938</v>
      </c>
      <c r="M24" s="39">
        <f t="shared" si="7"/>
        <v>-60179784</v>
      </c>
    </row>
    <row r="25" spans="1:13" x14ac:dyDescent="0.25">
      <c r="A25" s="9"/>
      <c r="B25" s="7"/>
      <c r="C25" s="6"/>
      <c r="D25" s="171"/>
      <c r="E25" s="171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171"/>
      <c r="E26" s="171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68">
        <v>0</v>
      </c>
      <c r="E27" s="16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68">
        <v>0</v>
      </c>
      <c r="E28" s="16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89">
        <v>0</v>
      </c>
      <c r="E29" s="18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1"/>
      <c r="E30" s="171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171"/>
      <c r="E31" s="171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68">
        <v>0</v>
      </c>
      <c r="E32" s="16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68">
        <v>0</v>
      </c>
      <c r="E33" s="16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68">
        <v>0</v>
      </c>
      <c r="E34" s="16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68">
        <v>0</v>
      </c>
      <c r="E35" s="16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89">
        <v>0</v>
      </c>
      <c r="E36" s="18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1"/>
      <c r="E37" s="171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1"/>
      <c r="E38" s="171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68">
        <v>0</v>
      </c>
      <c r="E39" s="16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68">
        <v>0</v>
      </c>
      <c r="E40" s="16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68">
        <v>0</v>
      </c>
      <c r="E41" s="16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89">
        <v>0</v>
      </c>
      <c r="E42" s="18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89">
        <v>0</v>
      </c>
      <c r="E43" s="18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1"/>
      <c r="E44" s="171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68">
        <v>0</v>
      </c>
      <c r="E45" s="16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1"/>
      <c r="E46" s="171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68">
        <v>0</v>
      </c>
      <c r="E47" s="16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1"/>
      <c r="E48" s="171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68">
        <v>-3397</v>
      </c>
      <c r="E49" s="168">
        <v>-8798.23</v>
      </c>
      <c r="F49" s="60">
        <f>H49-D49</f>
        <v>0</v>
      </c>
      <c r="G49" s="37">
        <f>I49-E49</f>
        <v>0</v>
      </c>
      <c r="H49" s="65">
        <f>D49</f>
        <v>-3397</v>
      </c>
      <c r="I49" s="66">
        <f>E49</f>
        <v>-8798.23</v>
      </c>
      <c r="J49" s="60"/>
      <c r="K49" s="38"/>
      <c r="L49" s="60">
        <f>H49+J49</f>
        <v>-3397</v>
      </c>
      <c r="M49" s="38">
        <f>I49+K49</f>
        <v>-8798.23</v>
      </c>
    </row>
    <row r="50" spans="1:15" x14ac:dyDescent="0.25">
      <c r="A50" s="9"/>
      <c r="B50" s="7"/>
      <c r="C50" s="6"/>
      <c r="D50" s="171"/>
      <c r="E50" s="171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68">
        <v>0</v>
      </c>
      <c r="E51" s="16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1"/>
      <c r="E52" s="171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171"/>
      <c r="E53" s="171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68">
        <v>0</v>
      </c>
      <c r="E54" s="16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68">
        <v>0</v>
      </c>
      <c r="E55" s="16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89">
        <v>0</v>
      </c>
      <c r="E56" s="18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1"/>
      <c r="E57" s="171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171"/>
      <c r="E58" s="171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68">
        <v>0</v>
      </c>
      <c r="E59" s="16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168">
        <v>0</v>
      </c>
      <c r="E60" s="16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89">
        <v>0</v>
      </c>
      <c r="E61" s="18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1"/>
      <c r="E62" s="171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171"/>
      <c r="E63" s="171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68">
        <v>0</v>
      </c>
      <c r="E64" s="16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68">
        <v>0</v>
      </c>
      <c r="E65" s="16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89">
        <v>0</v>
      </c>
      <c r="E66" s="18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1"/>
      <c r="E67" s="171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171"/>
      <c r="E68" s="171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171"/>
      <c r="E69" s="171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68">
        <v>0</v>
      </c>
      <c r="E70" s="168">
        <v>-756466.47710170969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-756466.47710170969</v>
      </c>
      <c r="J70" s="65"/>
      <c r="K70" s="38"/>
      <c r="L70" s="60">
        <f t="shared" si="20"/>
        <v>0</v>
      </c>
      <c r="M70" s="38">
        <f t="shared" si="20"/>
        <v>-756466.47710170969</v>
      </c>
    </row>
    <row r="71" spans="1:13" x14ac:dyDescent="0.25">
      <c r="A71" s="9">
        <v>31</v>
      </c>
      <c r="B71" s="3"/>
      <c r="C71" s="10" t="s">
        <v>68</v>
      </c>
      <c r="D71" s="168">
        <v>0</v>
      </c>
      <c r="E71" s="168">
        <v>1320182.0900000001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1320182.0900000001</v>
      </c>
      <c r="J71" s="65"/>
      <c r="K71" s="38"/>
      <c r="L71" s="60">
        <f t="shared" si="20"/>
        <v>0</v>
      </c>
      <c r="M71" s="38">
        <f t="shared" si="20"/>
        <v>1320182.0900000001</v>
      </c>
    </row>
    <row r="72" spans="1:13" x14ac:dyDescent="0.25">
      <c r="A72" s="9"/>
      <c r="B72" s="3"/>
      <c r="C72" s="55" t="s">
        <v>69</v>
      </c>
      <c r="D72" s="189">
        <v>0</v>
      </c>
      <c r="E72" s="189">
        <v>563715.61289829016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563715.61289829039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563715.61289829039</v>
      </c>
    </row>
    <row r="73" spans="1:13" x14ac:dyDescent="0.25">
      <c r="A73" s="9">
        <v>32</v>
      </c>
      <c r="B73" s="3"/>
      <c r="C73" s="10" t="s">
        <v>70</v>
      </c>
      <c r="D73" s="168">
        <v>0</v>
      </c>
      <c r="E73" s="16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68">
        <v>0</v>
      </c>
      <c r="E74" s="168">
        <v>-315848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-315848</v>
      </c>
      <c r="J74" s="60"/>
      <c r="K74" s="38"/>
      <c r="L74" s="60">
        <f t="shared" si="23"/>
        <v>0</v>
      </c>
      <c r="M74" s="38">
        <f t="shared" si="23"/>
        <v>-315848</v>
      </c>
    </row>
    <row r="75" spans="1:13" x14ac:dyDescent="0.25">
      <c r="A75" s="9">
        <v>34</v>
      </c>
      <c r="B75" s="3"/>
      <c r="C75" s="10" t="s">
        <v>72</v>
      </c>
      <c r="D75" s="168">
        <v>0</v>
      </c>
      <c r="E75" s="16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68">
        <v>0</v>
      </c>
      <c r="E76" s="168">
        <v>-32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-32</v>
      </c>
      <c r="J76" s="60"/>
      <c r="K76" s="38"/>
      <c r="L76" s="60">
        <f t="shared" si="23"/>
        <v>0</v>
      </c>
      <c r="M76" s="38">
        <f t="shared" si="23"/>
        <v>-32</v>
      </c>
    </row>
    <row r="77" spans="1:13" x14ac:dyDescent="0.25">
      <c r="A77" s="9">
        <v>36</v>
      </c>
      <c r="B77" s="3"/>
      <c r="C77" s="10" t="s">
        <v>74</v>
      </c>
      <c r="D77" s="168">
        <v>0</v>
      </c>
      <c r="E77" s="16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68">
        <v>0</v>
      </c>
      <c r="E78" s="16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68">
        <v>0</v>
      </c>
      <c r="E79" s="16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68">
        <v>0</v>
      </c>
      <c r="E80" s="16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78</v>
      </c>
      <c r="D81" s="168">
        <v>0</v>
      </c>
      <c r="E81" s="168">
        <v>3290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2">
        <f t="shared" si="22"/>
        <v>3290</v>
      </c>
      <c r="J81" s="60"/>
      <c r="K81" s="38"/>
      <c r="L81" s="60">
        <f t="shared" si="23"/>
        <v>0</v>
      </c>
      <c r="M81" s="38">
        <f t="shared" si="23"/>
        <v>3290</v>
      </c>
    </row>
    <row r="82" spans="1:13" s="2" customFormat="1" ht="20.25" customHeight="1" thickBot="1" x14ac:dyDescent="0.3">
      <c r="A82" s="94"/>
      <c r="B82" s="30"/>
      <c r="C82" s="95" t="s">
        <v>169</v>
      </c>
      <c r="D82" s="73">
        <f>D16+D24+D29+D36+D43+D45+D47+D49</f>
        <v>0</v>
      </c>
      <c r="E82" s="74">
        <f>SUM(E72:E81)+E16+E24+E29+E36+E43+E45+E47+E49+E51+E56+E61+E66</f>
        <v>294417.38289829018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294417.38289829018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294417.38289829018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164</v>
      </c>
      <c r="B85" s="3"/>
      <c r="L85" s="45"/>
    </row>
    <row r="86" spans="1:13" s="3" customFormat="1" x14ac:dyDescent="0.25">
      <c r="A86" s="166"/>
      <c r="C86" s="10" t="s">
        <v>167</v>
      </c>
      <c r="D86" s="170">
        <v>0</v>
      </c>
      <c r="E86" s="170">
        <v>796865</v>
      </c>
      <c r="F86" s="170">
        <f t="shared" ref="F86:G88" si="25">H86-D86</f>
        <v>0</v>
      </c>
      <c r="G86" s="170">
        <f t="shared" si="25"/>
        <v>0</v>
      </c>
      <c r="H86" s="170">
        <f t="shared" ref="H86:I88" si="26">D86</f>
        <v>0</v>
      </c>
      <c r="I86" s="170">
        <f t="shared" si="26"/>
        <v>796865</v>
      </c>
      <c r="J86" s="170"/>
      <c r="K86" s="170"/>
      <c r="L86" s="170">
        <f t="shared" ref="L86:M88" si="27">H86+J86</f>
        <v>0</v>
      </c>
      <c r="M86" s="170">
        <f t="shared" si="27"/>
        <v>796865</v>
      </c>
    </row>
    <row r="87" spans="1:13" s="3" customFormat="1" x14ac:dyDescent="0.25">
      <c r="A87" s="166"/>
      <c r="C87" s="10" t="s">
        <v>71</v>
      </c>
      <c r="D87" s="171">
        <v>0</v>
      </c>
      <c r="E87" s="171">
        <v>0</v>
      </c>
      <c r="F87" s="171">
        <f t="shared" si="25"/>
        <v>0</v>
      </c>
      <c r="G87" s="171">
        <f t="shared" si="25"/>
        <v>0</v>
      </c>
      <c r="H87" s="171">
        <f t="shared" si="26"/>
        <v>0</v>
      </c>
      <c r="I87" s="171">
        <f t="shared" si="26"/>
        <v>0</v>
      </c>
      <c r="J87" s="171"/>
      <c r="K87" s="171"/>
      <c r="L87" s="171">
        <f t="shared" si="27"/>
        <v>0</v>
      </c>
      <c r="M87" s="171">
        <f t="shared" si="27"/>
        <v>0</v>
      </c>
    </row>
    <row r="88" spans="1:13" s="3" customFormat="1" x14ac:dyDescent="0.25">
      <c r="A88" s="166"/>
      <c r="C88" s="10" t="s">
        <v>72</v>
      </c>
      <c r="D88" s="172">
        <v>0</v>
      </c>
      <c r="E88" s="172">
        <v>0</v>
      </c>
      <c r="F88" s="172">
        <f t="shared" si="25"/>
        <v>0</v>
      </c>
      <c r="G88" s="172">
        <f t="shared" si="25"/>
        <v>0</v>
      </c>
      <c r="H88" s="172">
        <f t="shared" si="26"/>
        <v>0</v>
      </c>
      <c r="I88" s="172">
        <f t="shared" si="26"/>
        <v>0</v>
      </c>
      <c r="J88" s="172"/>
      <c r="K88" s="172"/>
      <c r="L88" s="172">
        <f t="shared" si="27"/>
        <v>0</v>
      </c>
      <c r="M88" s="172">
        <f t="shared" si="27"/>
        <v>0</v>
      </c>
    </row>
    <row r="89" spans="1:13" s="2" customFormat="1" ht="20.25" customHeight="1" x14ac:dyDescent="0.25">
      <c r="A89" s="166"/>
      <c r="B89" s="4"/>
      <c r="C89" s="176" t="s">
        <v>170</v>
      </c>
      <c r="D89" s="177">
        <f>SUM(D86:D88)</f>
        <v>0</v>
      </c>
      <c r="E89" s="177">
        <f t="shared" ref="E89:M89" si="28">SUM(E86:E88)</f>
        <v>796865</v>
      </c>
      <c r="F89" s="177">
        <f t="shared" si="28"/>
        <v>0</v>
      </c>
      <c r="G89" s="177">
        <f t="shared" si="28"/>
        <v>0</v>
      </c>
      <c r="H89" s="177">
        <f t="shared" si="28"/>
        <v>0</v>
      </c>
      <c r="I89" s="177">
        <f t="shared" si="28"/>
        <v>796865</v>
      </c>
      <c r="J89" s="177">
        <f t="shared" si="28"/>
        <v>0</v>
      </c>
      <c r="K89" s="177">
        <f t="shared" si="28"/>
        <v>0</v>
      </c>
      <c r="L89" s="177">
        <f t="shared" si="28"/>
        <v>0</v>
      </c>
      <c r="M89" s="177">
        <f t="shared" si="28"/>
        <v>796865</v>
      </c>
    </row>
    <row r="90" spans="1:13" x14ac:dyDescent="0.25">
      <c r="A90" s="4"/>
      <c r="B90" s="3"/>
    </row>
    <row r="91" spans="1:13" s="2" customFormat="1" ht="20.25" customHeight="1" x14ac:dyDescent="0.25">
      <c r="A91" s="166"/>
      <c r="B91" s="4"/>
      <c r="C91" s="176" t="s">
        <v>168</v>
      </c>
      <c r="D91" s="177">
        <f>+D82+D89</f>
        <v>0</v>
      </c>
      <c r="E91" s="177">
        <f t="shared" ref="E91:M91" si="29">+E82+E89</f>
        <v>1091282.3828982902</v>
      </c>
      <c r="F91" s="177">
        <f t="shared" si="29"/>
        <v>0</v>
      </c>
      <c r="G91" s="177">
        <f t="shared" si="29"/>
        <v>0</v>
      </c>
      <c r="H91" s="177">
        <f t="shared" si="29"/>
        <v>0</v>
      </c>
      <c r="I91" s="177">
        <f t="shared" si="29"/>
        <v>1091282.3828982902</v>
      </c>
      <c r="J91" s="177">
        <f t="shared" si="29"/>
        <v>0</v>
      </c>
      <c r="K91" s="177">
        <f t="shared" si="29"/>
        <v>0</v>
      </c>
      <c r="L91" s="177">
        <f t="shared" si="29"/>
        <v>0</v>
      </c>
      <c r="M91" s="177">
        <f t="shared" si="29"/>
        <v>1091282.3828982902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93" zoomScale="75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6413468</v>
      </c>
      <c r="E11" s="65">
        <v>17728256</v>
      </c>
      <c r="F11" s="60">
        <f>H11-D11</f>
        <v>0</v>
      </c>
      <c r="G11" s="37">
        <f>I11-E11</f>
        <v>0</v>
      </c>
      <c r="H11" s="65">
        <f>D11</f>
        <v>6413468</v>
      </c>
      <c r="I11" s="66">
        <f>E11</f>
        <v>17728256</v>
      </c>
      <c r="J11" s="60"/>
      <c r="K11" s="38"/>
      <c r="L11" s="60">
        <f t="shared" ref="L11:M15" si="0">H11+J11</f>
        <v>6413468</v>
      </c>
      <c r="M11" s="38">
        <f t="shared" si="0"/>
        <v>17728256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14467229</v>
      </c>
      <c r="E13" s="65">
        <v>41012395</v>
      </c>
      <c r="F13" s="60">
        <f t="shared" si="1"/>
        <v>0</v>
      </c>
      <c r="G13" s="37">
        <f t="shared" si="1"/>
        <v>0</v>
      </c>
      <c r="H13" s="65">
        <f t="shared" si="2"/>
        <v>14467229</v>
      </c>
      <c r="I13" s="66">
        <f t="shared" si="2"/>
        <v>41012395</v>
      </c>
      <c r="J13" s="60"/>
      <c r="K13" s="38"/>
      <c r="L13" s="60">
        <f t="shared" si="0"/>
        <v>14467229</v>
      </c>
      <c r="M13" s="38">
        <f t="shared" si="0"/>
        <v>41012395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20880697</v>
      </c>
      <c r="E16" s="39">
        <v>58740651</v>
      </c>
      <c r="F16" s="61">
        <f t="shared" ref="F16:M16" si="3">SUM(F11:F15)</f>
        <v>0</v>
      </c>
      <c r="G16" s="39">
        <f t="shared" si="3"/>
        <v>0</v>
      </c>
      <c r="H16" s="61">
        <f>SUM(H11:H15)</f>
        <v>20880697</v>
      </c>
      <c r="I16" s="39">
        <f>SUM(I11:I15)</f>
        <v>58740651</v>
      </c>
      <c r="J16" s="61">
        <f t="shared" si="3"/>
        <v>0</v>
      </c>
      <c r="K16" s="39">
        <f t="shared" si="3"/>
        <v>0</v>
      </c>
      <c r="L16" s="61">
        <f t="shared" si="3"/>
        <v>20880697</v>
      </c>
      <c r="M16" s="39">
        <f t="shared" si="3"/>
        <v>58740651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-6492723</v>
      </c>
      <c r="E19" s="65">
        <v>-17543348</v>
      </c>
      <c r="F19" s="60">
        <f>H19-D19</f>
        <v>0</v>
      </c>
      <c r="G19" s="37">
        <f>I19-E19</f>
        <v>0</v>
      </c>
      <c r="H19" s="65">
        <f t="shared" si="4"/>
        <v>-6492723</v>
      </c>
      <c r="I19" s="66">
        <f t="shared" si="4"/>
        <v>-17543348</v>
      </c>
      <c r="J19" s="60"/>
      <c r="K19" s="38"/>
      <c r="L19" s="60">
        <f t="shared" ref="L19:M23" si="5">H19+J19</f>
        <v>-6492723</v>
      </c>
      <c r="M19" s="38">
        <f t="shared" si="5"/>
        <v>-17543348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-16876830</v>
      </c>
      <c r="E21" s="65">
        <v>-47287506</v>
      </c>
      <c r="F21" s="60">
        <f t="shared" si="6"/>
        <v>0</v>
      </c>
      <c r="G21" s="37">
        <f t="shared" si="6"/>
        <v>0</v>
      </c>
      <c r="H21" s="65">
        <f t="shared" si="4"/>
        <v>-16876830</v>
      </c>
      <c r="I21" s="66">
        <f t="shared" si="4"/>
        <v>-47287506</v>
      </c>
      <c r="J21" s="60"/>
      <c r="K21" s="38"/>
      <c r="L21" s="60">
        <f t="shared" si="5"/>
        <v>-16876830</v>
      </c>
      <c r="M21" s="38">
        <f t="shared" si="5"/>
        <v>-47287506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352755</v>
      </c>
      <c r="E23" s="65">
        <v>893648</v>
      </c>
      <c r="F23" s="60">
        <f t="shared" si="6"/>
        <v>0</v>
      </c>
      <c r="G23" s="37">
        <f t="shared" si="6"/>
        <v>0</v>
      </c>
      <c r="H23" s="65">
        <f t="shared" si="4"/>
        <v>352755</v>
      </c>
      <c r="I23" s="66">
        <f t="shared" si="4"/>
        <v>893648</v>
      </c>
      <c r="J23" s="60"/>
      <c r="K23" s="38"/>
      <c r="L23" s="60">
        <f t="shared" si="5"/>
        <v>352755</v>
      </c>
      <c r="M23" s="38">
        <f t="shared" si="5"/>
        <v>893648</v>
      </c>
    </row>
    <row r="24" spans="1:13" x14ac:dyDescent="0.25">
      <c r="A24" s="9"/>
      <c r="B24" s="7" t="s">
        <v>33</v>
      </c>
      <c r="C24" s="6"/>
      <c r="D24" s="61">
        <v>-23016798</v>
      </c>
      <c r="E24" s="39">
        <v>-63937206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-23016798</v>
      </c>
      <c r="I24" s="39">
        <f>SUM(I19:I23)</f>
        <v>-63937206</v>
      </c>
      <c r="J24" s="61">
        <f t="shared" si="7"/>
        <v>0</v>
      </c>
      <c r="K24" s="39">
        <f t="shared" si="7"/>
        <v>0</v>
      </c>
      <c r="L24" s="61">
        <f t="shared" si="7"/>
        <v>-23016798</v>
      </c>
      <c r="M24" s="39">
        <f t="shared" si="7"/>
        <v>-63937206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19999</v>
      </c>
      <c r="E35" s="65">
        <v>17</v>
      </c>
      <c r="F35" s="60">
        <f t="shared" si="11"/>
        <v>0</v>
      </c>
      <c r="G35" s="37">
        <f t="shared" si="11"/>
        <v>0</v>
      </c>
      <c r="H35" s="65">
        <f t="shared" si="9"/>
        <v>19999</v>
      </c>
      <c r="I35" s="66">
        <f t="shared" si="9"/>
        <v>17</v>
      </c>
      <c r="J35" s="60"/>
      <c r="K35" s="38"/>
      <c r="L35" s="60">
        <f t="shared" si="10"/>
        <v>19999</v>
      </c>
      <c r="M35" s="38">
        <f t="shared" si="10"/>
        <v>17</v>
      </c>
    </row>
    <row r="36" spans="1:13" x14ac:dyDescent="0.25">
      <c r="A36" s="9"/>
      <c r="B36" s="7" t="s">
        <v>43</v>
      </c>
      <c r="C36" s="6"/>
      <c r="D36" s="61">
        <v>19999</v>
      </c>
      <c r="E36" s="39">
        <v>17</v>
      </c>
      <c r="F36" s="61">
        <f>SUM(F32:F35)</f>
        <v>0</v>
      </c>
      <c r="G36" s="39">
        <f>SUM(G32:G35)</f>
        <v>0</v>
      </c>
      <c r="H36" s="61">
        <f>SUM(H32:H35)</f>
        <v>19999</v>
      </c>
      <c r="I36" s="39">
        <f>SUM(I32:I35)</f>
        <v>17</v>
      </c>
      <c r="J36" s="61">
        <f>SUM(J32:J34)</f>
        <v>0</v>
      </c>
      <c r="K36" s="39">
        <f>SUM(K32:K34)</f>
        <v>0</v>
      </c>
      <c r="L36" s="61">
        <f>SUM(L32:L35)</f>
        <v>19999</v>
      </c>
      <c r="M36" s="39">
        <f>SUM(M32:M35)</f>
        <v>17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2250548</v>
      </c>
      <c r="E39" s="65">
        <v>7215304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2250548</v>
      </c>
      <c r="I39" s="66">
        <f t="shared" si="12"/>
        <v>7215304</v>
      </c>
      <c r="J39" s="60"/>
      <c r="K39" s="38"/>
      <c r="L39" s="60">
        <f t="shared" ref="L39:M41" si="14">H39+J39</f>
        <v>2250548</v>
      </c>
      <c r="M39" s="38">
        <f t="shared" si="14"/>
        <v>7215304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-96462</v>
      </c>
      <c r="E40" s="65">
        <v>-302891</v>
      </c>
      <c r="F40" s="60">
        <f t="shared" si="13"/>
        <v>0</v>
      </c>
      <c r="G40" s="37">
        <f t="shared" si="13"/>
        <v>0</v>
      </c>
      <c r="H40" s="65">
        <f t="shared" si="12"/>
        <v>-96462</v>
      </c>
      <c r="I40" s="66">
        <f t="shared" si="12"/>
        <v>-302891</v>
      </c>
      <c r="J40" s="65"/>
      <c r="K40" s="38"/>
      <c r="L40" s="60">
        <f t="shared" si="14"/>
        <v>-96462</v>
      </c>
      <c r="M40" s="38">
        <f t="shared" si="14"/>
        <v>-302891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-96462</v>
      </c>
      <c r="E42" s="39">
        <v>-302891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-96462</v>
      </c>
      <c r="I42" s="39">
        <f>SUM(I40:I41)</f>
        <v>-302891</v>
      </c>
      <c r="J42" s="69">
        <f t="shared" si="15"/>
        <v>0</v>
      </c>
      <c r="K42" s="39">
        <f t="shared" si="15"/>
        <v>0</v>
      </c>
      <c r="L42" s="69">
        <f t="shared" si="15"/>
        <v>-96462</v>
      </c>
      <c r="M42" s="39">
        <f t="shared" si="15"/>
        <v>-302891</v>
      </c>
    </row>
    <row r="43" spans="1:13" ht="21" customHeight="1" x14ac:dyDescent="0.25">
      <c r="A43" s="9"/>
      <c r="B43" s="7" t="s">
        <v>49</v>
      </c>
      <c r="C43" s="6"/>
      <c r="D43" s="61">
        <v>2154086</v>
      </c>
      <c r="E43" s="39">
        <v>6912413</v>
      </c>
      <c r="F43" s="61">
        <f t="shared" ref="F43:M43" si="16">F42+F39</f>
        <v>0</v>
      </c>
      <c r="G43" s="39">
        <f t="shared" si="16"/>
        <v>0</v>
      </c>
      <c r="H43" s="61">
        <f>H42+H39</f>
        <v>2154086</v>
      </c>
      <c r="I43" s="39">
        <f>I42+I39</f>
        <v>6912413</v>
      </c>
      <c r="J43" s="61">
        <f t="shared" si="16"/>
        <v>0</v>
      </c>
      <c r="K43" s="39">
        <f t="shared" si="16"/>
        <v>0</v>
      </c>
      <c r="L43" s="61">
        <f t="shared" si="16"/>
        <v>2154086</v>
      </c>
      <c r="M43" s="39">
        <f t="shared" si="16"/>
        <v>6912413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16</v>
      </c>
      <c r="E45" s="65">
        <v>0</v>
      </c>
      <c r="F45" s="60">
        <f>H45-D45</f>
        <v>0</v>
      </c>
      <c r="G45" s="37">
        <f>I45-E45</f>
        <v>0</v>
      </c>
      <c r="H45" s="65">
        <f>D45</f>
        <v>16</v>
      </c>
      <c r="I45" s="66">
        <f>E45</f>
        <v>0</v>
      </c>
      <c r="J45" s="60"/>
      <c r="K45" s="38"/>
      <c r="L45" s="60">
        <f>H45+J45</f>
        <v>16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-37984</v>
      </c>
      <c r="E49" s="65">
        <v>-110077.632</v>
      </c>
      <c r="F49" s="60">
        <f>H49-D49</f>
        <v>0</v>
      </c>
      <c r="G49" s="37">
        <f>I49-E49</f>
        <v>0</v>
      </c>
      <c r="H49" s="65">
        <f>D49</f>
        <v>-37984</v>
      </c>
      <c r="I49" s="66">
        <f>E49</f>
        <v>-110077.632</v>
      </c>
      <c r="J49" s="60"/>
      <c r="K49" s="38"/>
      <c r="L49" s="60">
        <f>H49+J49</f>
        <v>-37984</v>
      </c>
      <c r="M49" s="38">
        <f>I49+K49</f>
        <v>-110077.632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-352755</v>
      </c>
      <c r="E51" s="65">
        <v>-893648</v>
      </c>
      <c r="F51" s="60">
        <f>H51-D51</f>
        <v>0</v>
      </c>
      <c r="G51" s="37">
        <f>I51-E51</f>
        <v>0</v>
      </c>
      <c r="H51" s="65">
        <f>D51</f>
        <v>-352755</v>
      </c>
      <c r="I51" s="66">
        <f>E51</f>
        <v>-893648</v>
      </c>
      <c r="J51" s="60"/>
      <c r="K51" s="38"/>
      <c r="L51" s="60">
        <f>H51+J51</f>
        <v>-352755</v>
      </c>
      <c r="M51" s="38">
        <f>I51+K51</f>
        <v>-893648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-407340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-407340</v>
      </c>
      <c r="J54" s="60"/>
      <c r="K54" s="38"/>
      <c r="L54" s="60">
        <f>H54+J54</f>
        <v>0</v>
      </c>
      <c r="M54" s="38">
        <f>I54+K54</f>
        <v>-407340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234620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234620</v>
      </c>
      <c r="J55" s="60"/>
      <c r="K55" s="38"/>
      <c r="L55" s="60">
        <f>H55+J55</f>
        <v>0</v>
      </c>
      <c r="M55" s="38">
        <f>I55+K55</f>
        <v>234620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-172720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-172720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-172720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6989410.2769007981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6989410.2769007981</v>
      </c>
      <c r="J70" s="65"/>
      <c r="K70" s="38"/>
      <c r="L70" s="60">
        <f t="shared" si="20"/>
        <v>0</v>
      </c>
      <c r="M70" s="38">
        <f t="shared" si="20"/>
        <v>6989410.2769007981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-7418547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-7418547</v>
      </c>
      <c r="J71" s="65"/>
      <c r="K71" s="38"/>
      <c r="L71" s="60">
        <f t="shared" si="20"/>
        <v>0</v>
      </c>
      <c r="M71" s="38">
        <f t="shared" si="20"/>
        <v>-7418547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-429136.72309920192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-429136.72309920192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-429136.72309920192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-595946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-595946</v>
      </c>
      <c r="J74" s="60"/>
      <c r="K74" s="38"/>
      <c r="L74" s="60">
        <f t="shared" si="23"/>
        <v>0</v>
      </c>
      <c r="M74" s="38">
        <f t="shared" si="23"/>
        <v>-595946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12068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12068</v>
      </c>
      <c r="J75" s="60"/>
      <c r="K75" s="38"/>
      <c r="L75" s="60">
        <f t="shared" si="23"/>
        <v>0</v>
      </c>
      <c r="M75" s="38">
        <f t="shared" si="23"/>
        <v>12068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280471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2">
        <f t="shared" si="22"/>
        <v>280471</v>
      </c>
      <c r="J81" s="60"/>
      <c r="K81" s="38"/>
      <c r="L81" s="60">
        <f t="shared" si="23"/>
        <v>0</v>
      </c>
      <c r="M81" s="38">
        <f t="shared" si="23"/>
        <v>280471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16</v>
      </c>
      <c r="E82" s="74">
        <f>SUM(E72:E81)+E16+E24+E29+E36+E43+E45+E47+E49+E51+E56+E61+E66</f>
        <v>-193114.3550992019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1">
        <f>SUM(I72:I81)+I16+I24+I29+I36+I43+I45+I47+I49+I51+I56+I61+I66</f>
        <v>-193114.3550992019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-193114.3550992019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E11" activePane="bottomRight" state="frozen"/>
      <selection pane="topRight" activeCell="B1" sqref="B1"/>
      <selection pane="bottomLeft" activeCell="A11" sqref="A11"/>
      <selection pane="bottomRight" activeCell="G18" sqref="G18"/>
    </sheetView>
  </sheetViews>
  <sheetFormatPr defaultRowHeight="13.2" x14ac:dyDescent="0.25"/>
  <cols>
    <col min="1" max="1" width="21.6640625" customWidth="1"/>
    <col min="2" max="2" width="21.33203125" customWidth="1"/>
    <col min="3" max="3" width="20" customWidth="1"/>
    <col min="4" max="7" width="17" customWidth="1"/>
    <col min="8" max="8" width="25.6640625" customWidth="1"/>
  </cols>
  <sheetData>
    <row r="1" spans="1:10" s="33" customFormat="1" x14ac:dyDescent="0.25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5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5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5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5">
      <c r="A5" s="5" t="s">
        <v>192</v>
      </c>
      <c r="B5" s="50"/>
      <c r="C5" s="50"/>
      <c r="D5" s="50"/>
      <c r="E5" s="50"/>
      <c r="F5" s="50"/>
      <c r="G5" s="50"/>
      <c r="H5" s="50"/>
    </row>
    <row r="9" spans="1:10" ht="13.8" thickBot="1" x14ac:dyDescent="0.3"/>
    <row r="10" spans="1:10" s="87" customFormat="1" ht="36.6" thickBot="1" x14ac:dyDescent="0.4">
      <c r="A10" s="104" t="s">
        <v>12</v>
      </c>
      <c r="B10" s="105" t="s">
        <v>199</v>
      </c>
      <c r="C10" s="192" t="s">
        <v>189</v>
      </c>
      <c r="D10" s="106" t="s">
        <v>186</v>
      </c>
      <c r="E10" s="106" t="s">
        <v>187</v>
      </c>
      <c r="F10" s="106" t="s">
        <v>188</v>
      </c>
      <c r="G10" s="106" t="s">
        <v>8</v>
      </c>
      <c r="H10" s="106" t="s">
        <v>9</v>
      </c>
    </row>
    <row r="11" spans="1:10" x14ac:dyDescent="0.25">
      <c r="A11" s="101" t="s">
        <v>13</v>
      </c>
      <c r="B11" s="138">
        <f>'CE-FLSH'!$M$82</f>
        <v>-921761.01740376279</v>
      </c>
      <c r="C11" s="65">
        <f t="shared" ref="C11:C24" si="0">+D11-B11</f>
        <v>761.01740376278758</v>
      </c>
      <c r="D11" s="138">
        <f>+'[2]ST Warroom 99'!$B$13</f>
        <v>-921000</v>
      </c>
      <c r="E11" s="138">
        <f>+F11-D11</f>
        <v>-723737</v>
      </c>
      <c r="F11" s="138">
        <f>+'[2]ST Warroom 99'!$B$47</f>
        <v>-1644737</v>
      </c>
      <c r="G11" s="193">
        <f>CE_GL!$E$82</f>
        <v>-2349352.2750000013</v>
      </c>
      <c r="H11" s="107">
        <f t="shared" ref="H11:H25" si="1">G11-F11</f>
        <v>-704615.2750000013</v>
      </c>
      <c r="I11" s="31"/>
      <c r="J11" s="31"/>
    </row>
    <row r="12" spans="1:10" x14ac:dyDescent="0.25">
      <c r="A12" s="101" t="s">
        <v>193</v>
      </c>
      <c r="B12" s="138">
        <f>'ARUBA-FLSH'!$M$82</f>
        <v>25177</v>
      </c>
      <c r="C12" s="65">
        <f>+D12-B12</f>
        <v>-177</v>
      </c>
      <c r="D12" s="138">
        <f>+'[2]ST Warroom 99'!$Q$13</f>
        <v>25000</v>
      </c>
      <c r="E12" s="138">
        <f>+F12-D12</f>
        <v>-211</v>
      </c>
      <c r="F12" s="138">
        <f>+'[2]ST Warroom 99'!$Q$47</f>
        <v>24789</v>
      </c>
      <c r="G12" s="193">
        <f>ARUBA_GL!$E$82</f>
        <v>24789</v>
      </c>
      <c r="H12" s="107">
        <f>G12-F12</f>
        <v>0</v>
      </c>
      <c r="I12" s="31"/>
      <c r="J12" s="31"/>
    </row>
    <row r="13" spans="1:10" x14ac:dyDescent="0.25">
      <c r="A13" s="101" t="s">
        <v>14</v>
      </c>
      <c r="B13" s="138">
        <v>0</v>
      </c>
      <c r="C13" s="65">
        <f t="shared" si="0"/>
        <v>0</v>
      </c>
      <c r="D13" s="138">
        <v>0</v>
      </c>
      <c r="E13" s="138">
        <f t="shared" ref="E13:E25" si="2">+F13-D13</f>
        <v>0</v>
      </c>
      <c r="F13" s="138">
        <v>0</v>
      </c>
      <c r="G13" s="193">
        <v>0</v>
      </c>
      <c r="H13" s="107">
        <f t="shared" si="1"/>
        <v>0</v>
      </c>
      <c r="I13" s="31"/>
      <c r="J13" s="31"/>
    </row>
    <row r="14" spans="1:10" x14ac:dyDescent="0.25">
      <c r="A14" s="101" t="s">
        <v>156</v>
      </c>
      <c r="B14" s="137">
        <f>'BGC-EGM-FLSH'!$M$82+'EAST-EGM-FLSH'!M82</f>
        <v>-400611.04627416044</v>
      </c>
      <c r="C14" s="65">
        <f t="shared" si="0"/>
        <v>-388.95372583955759</v>
      </c>
      <c r="D14" s="137">
        <f>+'[2]ST Warroom 99'!$C$13</f>
        <v>-401000</v>
      </c>
      <c r="E14" s="138">
        <f t="shared" si="2"/>
        <v>-180889</v>
      </c>
      <c r="F14" s="137">
        <f>+'[2]ST Warroom 99'!$C$47</f>
        <v>-581889</v>
      </c>
      <c r="G14" s="193">
        <f>'BGC-EGM-GL'!$E$82+'EAST-EGM-GL'!E82</f>
        <v>-4625111.8869999731</v>
      </c>
      <c r="H14" s="107">
        <f t="shared" si="1"/>
        <v>-4043222.8869999731</v>
      </c>
      <c r="I14" s="31"/>
      <c r="J14" s="31"/>
    </row>
    <row r="15" spans="1:10" x14ac:dyDescent="0.25">
      <c r="A15" s="101" t="s">
        <v>157</v>
      </c>
      <c r="B15" s="137">
        <f>'EAST-LRC-FLSH'!$M$82</f>
        <v>-2031896.0497734703</v>
      </c>
      <c r="C15" s="65">
        <f t="shared" si="0"/>
        <v>-103.95022652973421</v>
      </c>
      <c r="D15" s="137">
        <f>+'[2]ST Warroom 99'!$D$13</f>
        <v>-2032000</v>
      </c>
      <c r="E15" s="138">
        <f t="shared" si="2"/>
        <v>0</v>
      </c>
      <c r="F15" s="137">
        <f>+'[2]ST Warroom 99'!$D$47</f>
        <v>-2032000</v>
      </c>
      <c r="G15" s="193">
        <f>'EAST-LRC-GL'!$E$82</f>
        <v>2249511.6039999942</v>
      </c>
      <c r="H15" s="107">
        <f t="shared" si="1"/>
        <v>4281511.6039999947</v>
      </c>
      <c r="I15" s="31"/>
      <c r="J15" s="31"/>
    </row>
    <row r="16" spans="1:10" x14ac:dyDescent="0.25">
      <c r="A16" s="101" t="s">
        <v>165</v>
      </c>
      <c r="B16" s="137">
        <f>+'EAST-EGM-FLSH'!M89</f>
        <v>388769</v>
      </c>
      <c r="C16" s="65">
        <f t="shared" si="0"/>
        <v>231</v>
      </c>
      <c r="D16" s="137">
        <f>+'[2]ST Warroom 99'!$E$13</f>
        <v>389000</v>
      </c>
      <c r="E16" s="138">
        <f t="shared" si="2"/>
        <v>0</v>
      </c>
      <c r="F16" s="137">
        <f>+'[2]ST Warroom 99'!$E$47</f>
        <v>389000</v>
      </c>
      <c r="G16" s="193">
        <f>+'EAST-EGM-GL'!E89</f>
        <v>388772.84000000008</v>
      </c>
      <c r="H16" s="107">
        <f t="shared" si="1"/>
        <v>-227.15999999991618</v>
      </c>
      <c r="I16" s="31"/>
      <c r="J16" s="31"/>
    </row>
    <row r="17" spans="1:10" x14ac:dyDescent="0.25">
      <c r="A17" s="101" t="s">
        <v>16</v>
      </c>
      <c r="B17" s="137">
        <f>'TX-EGM-FLSH'!$M$82</f>
        <v>845093.8484094739</v>
      </c>
      <c r="C17" s="65">
        <f t="shared" si="0"/>
        <v>-93.848409473896027</v>
      </c>
      <c r="D17" s="137">
        <f>+'[2]ST Warroom 99'!$H$13</f>
        <v>845000</v>
      </c>
      <c r="E17" s="138">
        <f t="shared" si="2"/>
        <v>1028663</v>
      </c>
      <c r="F17" s="137">
        <f>+'[2]ST Warroom 99'!$H$47</f>
        <v>1873663</v>
      </c>
      <c r="G17" s="193">
        <f>'TX-EGM-GL'!$E$91</f>
        <v>5063842.6289999904</v>
      </c>
      <c r="H17" s="107">
        <f t="shared" si="1"/>
        <v>3190179.6289999904</v>
      </c>
      <c r="I17" s="31"/>
      <c r="J17" s="31"/>
    </row>
    <row r="18" spans="1:10" x14ac:dyDescent="0.25">
      <c r="A18" s="101" t="s">
        <v>183</v>
      </c>
      <c r="B18" s="137">
        <f>'TX-HPLR-FLSH'!$M$82</f>
        <v>10791.227478854358</v>
      </c>
      <c r="C18" s="65">
        <f t="shared" si="0"/>
        <v>208.7725211456418</v>
      </c>
      <c r="D18" s="137">
        <f>+'[2]ST Warroom 99'!$I$13</f>
        <v>11000</v>
      </c>
      <c r="E18" s="138">
        <f t="shared" si="2"/>
        <v>0</v>
      </c>
      <c r="F18" s="137">
        <f>+'[2]ST Warroom 99'!$I$47</f>
        <v>11000</v>
      </c>
      <c r="G18" s="193">
        <f>'TX-HPLR-GL '!$E$82</f>
        <v>-330908.60000000021</v>
      </c>
      <c r="H18" s="107">
        <f t="shared" si="1"/>
        <v>-341908.60000000021</v>
      </c>
      <c r="I18" s="31"/>
      <c r="J18" s="31"/>
    </row>
    <row r="19" spans="1:10" x14ac:dyDescent="0.25">
      <c r="A19" s="101" t="s">
        <v>184</v>
      </c>
      <c r="B19" s="137">
        <f>'TX-HPLC-FLSH'!$M$82</f>
        <v>754794.92407056689</v>
      </c>
      <c r="C19" s="65">
        <f t="shared" si="0"/>
        <v>-5794.9240705668926</v>
      </c>
      <c r="D19" s="137">
        <f>+'[2]ST Warroom 99'!$J$13</f>
        <v>749000</v>
      </c>
      <c r="E19" s="138">
        <f t="shared" si="2"/>
        <v>0</v>
      </c>
      <c r="F19" s="137">
        <f>+'[2]ST Warroom 99'!$J$47</f>
        <v>749000</v>
      </c>
      <c r="G19" s="193">
        <f>'TX-HPLC-GL'!$E$82</f>
        <v>-1563961.9600000023</v>
      </c>
      <c r="H19" s="107">
        <f t="shared" si="1"/>
        <v>-2312961.9600000023</v>
      </c>
      <c r="I19" s="31"/>
      <c r="J19" s="31"/>
    </row>
    <row r="20" spans="1:10" x14ac:dyDescent="0.25">
      <c r="A20" s="101" t="s">
        <v>177</v>
      </c>
      <c r="B20" s="137">
        <f>'TX-EGM-FLSH'!$M$89</f>
        <v>113899</v>
      </c>
      <c r="C20" s="65">
        <f t="shared" si="0"/>
        <v>6101</v>
      </c>
      <c r="D20" s="60">
        <f>+'[2]ST Warroom 99'!$K$13</f>
        <v>120000</v>
      </c>
      <c r="E20" s="138">
        <f t="shared" si="2"/>
        <v>0</v>
      </c>
      <c r="F20" s="60">
        <f>+'[2]ST Warroom 99'!$K$47</f>
        <v>120000</v>
      </c>
      <c r="G20" s="193">
        <f>'TX-HPLC-GL'!$E$89</f>
        <v>113180</v>
      </c>
      <c r="H20" s="107">
        <f t="shared" si="1"/>
        <v>-6820</v>
      </c>
      <c r="I20" s="31"/>
      <c r="J20" s="31"/>
    </row>
    <row r="21" spans="1:10" x14ac:dyDescent="0.25">
      <c r="A21" s="101" t="s">
        <v>17</v>
      </c>
      <c r="B21" s="137">
        <f>'WE-FLSH'!$M$82</f>
        <v>1638153.1018947619</v>
      </c>
      <c r="C21" s="65">
        <f t="shared" si="0"/>
        <v>-153.10189476190135</v>
      </c>
      <c r="D21" s="137">
        <f>+'[2]ST Warroom 99'!$L$13</f>
        <v>1638000</v>
      </c>
      <c r="E21" s="138">
        <f t="shared" si="2"/>
        <v>-244487</v>
      </c>
      <c r="F21" s="137">
        <f>+'[2]ST Warroom 99'!$L$47</f>
        <v>1393513</v>
      </c>
      <c r="G21" s="193">
        <f>'WE-GL '!$E$82</f>
        <v>1459337.129999988</v>
      </c>
      <c r="H21" s="107">
        <f t="shared" si="1"/>
        <v>65824.129999988014</v>
      </c>
      <c r="I21" s="31"/>
      <c r="J21" s="31"/>
    </row>
    <row r="22" spans="1:10" x14ac:dyDescent="0.25">
      <c r="A22" s="101" t="s">
        <v>18</v>
      </c>
      <c r="B22" s="137">
        <f>STG_FLSH!$M$82</f>
        <v>2172000</v>
      </c>
      <c r="C22" s="65">
        <f t="shared" si="0"/>
        <v>0</v>
      </c>
      <c r="D22" s="137">
        <f>+'[2]ST Warroom 99'!$M$13</f>
        <v>2172000</v>
      </c>
      <c r="E22" s="138">
        <f t="shared" si="2"/>
        <v>-368628</v>
      </c>
      <c r="F22" s="137">
        <f>+'[2]ST Warroom 99'!$M$47</f>
        <v>1803372</v>
      </c>
      <c r="G22" s="193">
        <f>STG_GL!$E$82</f>
        <v>1803372</v>
      </c>
      <c r="H22" s="107">
        <f t="shared" si="1"/>
        <v>0</v>
      </c>
      <c r="I22" s="31"/>
      <c r="J22" s="31"/>
    </row>
    <row r="23" spans="1:10" x14ac:dyDescent="0.25">
      <c r="A23" s="101" t="s">
        <v>159</v>
      </c>
      <c r="B23" s="137">
        <f>ONT_FLSH!$M$82</f>
        <v>294417.38289829018</v>
      </c>
      <c r="C23" s="65">
        <f t="shared" si="0"/>
        <v>-417.38289829017594</v>
      </c>
      <c r="D23" s="137">
        <f>+'[2]ST Warroom 99'!$O$13</f>
        <v>294000</v>
      </c>
      <c r="E23" s="138">
        <f t="shared" si="2"/>
        <v>-399255</v>
      </c>
      <c r="F23" s="137">
        <f>+'[2]ST Warroom 99'!$O$47</f>
        <v>-105255</v>
      </c>
      <c r="G23" s="193">
        <f>'ONT_GL '!$E$82</f>
        <v>-403335.35999999382</v>
      </c>
      <c r="H23" s="107">
        <f t="shared" si="1"/>
        <v>-298080.35999999382</v>
      </c>
      <c r="I23" s="31"/>
      <c r="J23" s="31"/>
    </row>
    <row r="24" spans="1:10" x14ac:dyDescent="0.25">
      <c r="A24" s="101" t="s">
        <v>164</v>
      </c>
      <c r="B24" s="137">
        <f>ONT_FLSH!$M$89</f>
        <v>796865</v>
      </c>
      <c r="C24" s="65">
        <f t="shared" si="0"/>
        <v>135</v>
      </c>
      <c r="D24" s="193">
        <f>+'[2]ST Warroom 99'!$P$13</f>
        <v>797000</v>
      </c>
      <c r="E24" s="138">
        <f t="shared" si="2"/>
        <v>0</v>
      </c>
      <c r="F24" s="193">
        <f>+'[2]ST Warroom 99'!$P$47</f>
        <v>797000</v>
      </c>
      <c r="G24" s="193">
        <f>+'ONT_GL '!E89</f>
        <v>796865.46</v>
      </c>
      <c r="H24" s="107">
        <f t="shared" si="1"/>
        <v>-134.54000000003725</v>
      </c>
      <c r="I24" s="31"/>
      <c r="J24" s="31"/>
    </row>
    <row r="25" spans="1:10" x14ac:dyDescent="0.25">
      <c r="A25" s="155" t="s">
        <v>113</v>
      </c>
      <c r="B25" s="137">
        <f>+BUG_FLSH!M82</f>
        <v>-193114.3550992019</v>
      </c>
      <c r="C25" s="65">
        <f>+D25-B25</f>
        <v>114.35509920190088</v>
      </c>
      <c r="D25" s="137">
        <f>+'[2]ST Warroom 99'!$G$13</f>
        <v>-193000</v>
      </c>
      <c r="E25" s="138">
        <f t="shared" si="2"/>
        <v>668036</v>
      </c>
      <c r="F25" s="137">
        <f>+'[2]ST Warroom 99'!$G$47</f>
        <v>475036</v>
      </c>
      <c r="G25" s="193">
        <f>+BUG_GL!E82</f>
        <v>475036.09799999371</v>
      </c>
      <c r="H25" s="107">
        <f t="shared" si="1"/>
        <v>9.7999993711709976E-2</v>
      </c>
      <c r="I25" s="31"/>
      <c r="J25" s="31"/>
    </row>
    <row r="26" spans="1:10" ht="21.75" customHeight="1" thickBot="1" x14ac:dyDescent="0.3">
      <c r="A26" s="101" t="s">
        <v>10</v>
      </c>
      <c r="B26" s="61">
        <f t="shared" ref="B26:H26" si="3">SUM(B11:B25)</f>
        <v>3492578.0162013518</v>
      </c>
      <c r="C26" s="61">
        <f t="shared" si="3"/>
        <v>421.98379864817252</v>
      </c>
      <c r="D26" s="61">
        <f t="shared" si="3"/>
        <v>3493000</v>
      </c>
      <c r="E26" s="61">
        <f t="shared" si="3"/>
        <v>-220508</v>
      </c>
      <c r="F26" s="61">
        <f t="shared" si="3"/>
        <v>3272492</v>
      </c>
      <c r="G26" s="61">
        <f t="shared" si="3"/>
        <v>3102036.6789999958</v>
      </c>
      <c r="H26" s="108">
        <f t="shared" si="3"/>
        <v>-170455.32100000395</v>
      </c>
      <c r="I26" s="31"/>
      <c r="J26" s="31"/>
    </row>
    <row r="27" spans="1:10" ht="21" customHeight="1" thickBot="1" x14ac:dyDescent="0.3">
      <c r="A27" s="102" t="s">
        <v>19</v>
      </c>
      <c r="B27" s="103">
        <f>TOTAL!$E$91</f>
        <v>3492578.0162013303</v>
      </c>
      <c r="C27" s="103">
        <f>+C26</f>
        <v>421.98379864817252</v>
      </c>
      <c r="D27" s="103">
        <f>+'[2]ST Warroom 99'!$T$13</f>
        <v>3493000</v>
      </c>
      <c r="E27" s="103">
        <f>+'[2]ST Warroom 99'!$T$30</f>
        <v>-220508</v>
      </c>
      <c r="F27" s="103">
        <f>+'[2]ST Warroom 99'!$T$47</f>
        <v>3272492</v>
      </c>
      <c r="G27" s="103">
        <f>TOTAL!$G$91</f>
        <v>3102036.6789999758</v>
      </c>
      <c r="H27" s="209">
        <f>+[1]OAvsACT!$G$51</f>
        <v>-170463.58999999613</v>
      </c>
      <c r="I27" s="31"/>
      <c r="J27" s="31"/>
    </row>
    <row r="28" spans="1:10" x14ac:dyDescent="0.25">
      <c r="B28" s="45"/>
      <c r="C28" s="45"/>
      <c r="D28" s="45"/>
      <c r="E28" s="45"/>
      <c r="F28" s="45"/>
      <c r="G28" s="45"/>
      <c r="H28" s="45">
        <f>+H27-H26</f>
        <v>-8.2689999921713024</v>
      </c>
      <c r="I28" s="45"/>
      <c r="J28" s="45"/>
    </row>
    <row r="29" spans="1:10" x14ac:dyDescent="0.25">
      <c r="B29" s="45">
        <f t="shared" ref="B29:G29" si="4">+B26-B27</f>
        <v>2.1420419216156006E-8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2.0023435354232788E-8</v>
      </c>
      <c r="H29" s="45">
        <v>0</v>
      </c>
      <c r="I29" s="45"/>
      <c r="J29" s="45"/>
    </row>
    <row r="31" spans="1:10" hidden="1" x14ac:dyDescent="0.25"/>
    <row r="32" spans="1:1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3:7" hidden="1" x14ac:dyDescent="0.25"/>
    <row r="50" spans="3:7" hidden="1" x14ac:dyDescent="0.25"/>
    <row r="51" spans="3:7" hidden="1" x14ac:dyDescent="0.25"/>
    <row r="52" spans="3:7" hidden="1" x14ac:dyDescent="0.25"/>
    <row r="53" spans="3:7" hidden="1" x14ac:dyDescent="0.25"/>
    <row r="54" spans="3:7" hidden="1" x14ac:dyDescent="0.25"/>
    <row r="55" spans="3:7" hidden="1" x14ac:dyDescent="0.25"/>
    <row r="56" spans="3:7" hidden="1" x14ac:dyDescent="0.25"/>
    <row r="57" spans="3:7" hidden="1" x14ac:dyDescent="0.25"/>
    <row r="58" spans="3:7" hidden="1" x14ac:dyDescent="0.25">
      <c r="C58" s="2"/>
      <c r="D58" s="2"/>
      <c r="E58" s="2"/>
      <c r="F58" s="2"/>
      <c r="G58" s="2"/>
    </row>
    <row r="59" spans="3:7" hidden="1" x14ac:dyDescent="0.25"/>
    <row r="60" spans="3:7" hidden="1" x14ac:dyDescent="0.25"/>
    <row r="61" spans="3:7" hidden="1" x14ac:dyDescent="0.25"/>
    <row r="62" spans="3:7" hidden="1" x14ac:dyDescent="0.25"/>
    <row r="63" spans="3:7" hidden="1" x14ac:dyDescent="0.25"/>
    <row r="64" spans="3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spans="7:7" hidden="1" x14ac:dyDescent="0.25"/>
    <row r="82" spans="7:7" x14ac:dyDescent="0.25">
      <c r="G82">
        <v>3956539</v>
      </c>
    </row>
    <row r="83" spans="7:7" x14ac:dyDescent="0.25">
      <c r="G83" s="45">
        <f>+G27-G82</f>
        <v>-854502.32100002421</v>
      </c>
    </row>
    <row r="85" spans="7:7" x14ac:dyDescent="0.25">
      <c r="G85" s="45">
        <f>+G83+G84</f>
        <v>-854502.32100002421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G179"/>
  <sheetViews>
    <sheetView zoomScale="75" workbookViewId="0">
      <pane xSplit="3" ySplit="9" topLeftCell="AA71" activePane="bottomRight" state="frozen"/>
      <selection activeCell="V653" sqref="V653"/>
      <selection pane="topRight" activeCell="V653" sqref="V653"/>
      <selection pane="bottomLeft" activeCell="V653" sqref="V653"/>
      <selection pane="bottomRight" activeCell="AE82" sqref="A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45939974</v>
      </c>
      <c r="E11" s="38">
        <f t="shared" si="0"/>
        <v>126271076.23999999</v>
      </c>
      <c r="F11" s="60">
        <f>'TIE-OUT'!F11+RECLASS!F11</f>
        <v>0</v>
      </c>
      <c r="G11" s="38">
        <f>'TIE-OUT'!G11+RECLASS!G11</f>
        <v>-1327675</v>
      </c>
      <c r="H11" s="126">
        <f>+Actuals!E124</f>
        <v>45440102</v>
      </c>
      <c r="I11" s="127">
        <f>+Actuals!F124</f>
        <v>128086325.45</v>
      </c>
      <c r="J11" s="126">
        <f>+Actuals!G124</f>
        <v>505724</v>
      </c>
      <c r="K11" s="127">
        <f>+Actuals!H124</f>
        <v>-1062899.51</v>
      </c>
      <c r="L11" s="126">
        <f>+Actuals!I124</f>
        <v>-15044</v>
      </c>
      <c r="M11" s="127">
        <f>+Actuals!J124</f>
        <v>487951.75</v>
      </c>
      <c r="N11" s="126">
        <f>+Actuals!K124</f>
        <v>9192</v>
      </c>
      <c r="O11" s="127">
        <f>+Actuals!L124</f>
        <v>-371.06</v>
      </c>
      <c r="P11" s="126">
        <f>+Actuals!M164</f>
        <v>0</v>
      </c>
      <c r="Q11" s="127">
        <f>+Actuals!N164</f>
        <v>-7957.78</v>
      </c>
      <c r="R11" s="126">
        <f>+Actuals!O164</f>
        <v>0</v>
      </c>
      <c r="S11" s="127">
        <f>+Actuals!P164</f>
        <v>-4297.6099999999997</v>
      </c>
      <c r="T11" s="126">
        <f>+Actuals!Q164</f>
        <v>0</v>
      </c>
      <c r="U11" s="127">
        <f>+Actuals!R164</f>
        <v>0</v>
      </c>
      <c r="V11" s="126">
        <f>+Actuals!S164</f>
        <v>0</v>
      </c>
      <c r="W11" s="127">
        <f>+Actuals!T164</f>
        <v>0</v>
      </c>
      <c r="X11" s="126">
        <f>+Actuals!U164</f>
        <v>0</v>
      </c>
      <c r="Y11" s="153">
        <f>+Actuals!V164+100000</f>
        <v>100000</v>
      </c>
      <c r="Z11" s="126">
        <f>+Actuals!W164</f>
        <v>0</v>
      </c>
      <c r="AA11" s="153">
        <f>+Actuals!X164</f>
        <v>0</v>
      </c>
      <c r="AB11" s="126">
        <f>+Actuals!Y124</f>
        <v>0</v>
      </c>
      <c r="AC11" s="127">
        <f>+Actuals!Z124</f>
        <v>0</v>
      </c>
      <c r="AD11" s="126">
        <f>+Actuals!AA124</f>
        <v>0</v>
      </c>
      <c r="AE11" s="127">
        <f>+Actuals!AB124</f>
        <v>0</v>
      </c>
      <c r="AF11" s="126">
        <f>+Actuals!AC124</f>
        <v>0</v>
      </c>
      <c r="AG11" s="127">
        <f>+Actuals!AD124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2587170.35</v>
      </c>
      <c r="F12" s="60">
        <f>'TIE-OUT'!F12+RECLASS!F12</f>
        <v>0</v>
      </c>
      <c r="G12" s="38">
        <f>'TIE-OUT'!G12+RECLASS!G12</f>
        <v>2587170.35</v>
      </c>
      <c r="H12" s="126">
        <f>+Actuals!E125</f>
        <v>0</v>
      </c>
      <c r="I12" s="127">
        <f>+Actuals!F125</f>
        <v>0</v>
      </c>
      <c r="J12" s="126">
        <f>+Actuals!G125</f>
        <v>0</v>
      </c>
      <c r="K12" s="156">
        <f>+Actuals!H125</f>
        <v>0</v>
      </c>
      <c r="L12" s="126">
        <f>+Actuals!I125</f>
        <v>0</v>
      </c>
      <c r="M12" s="127">
        <f>+Actuals!J125</f>
        <v>0</v>
      </c>
      <c r="N12" s="126">
        <f>+Actuals!K125</f>
        <v>0</v>
      </c>
      <c r="O12" s="127">
        <f>+Actuals!L125</f>
        <v>0</v>
      </c>
      <c r="P12" s="126">
        <f>+Actuals!M165</f>
        <v>0</v>
      </c>
      <c r="Q12" s="127">
        <f>+Actuals!N165</f>
        <v>0</v>
      </c>
      <c r="R12" s="126">
        <f>+Actuals!O165</f>
        <v>0</v>
      </c>
      <c r="S12" s="127">
        <f>+Actuals!P165</f>
        <v>0</v>
      </c>
      <c r="T12" s="126">
        <f>+Actuals!Q165</f>
        <v>0</v>
      </c>
      <c r="U12" s="127">
        <f>+Actuals!R165</f>
        <v>0</v>
      </c>
      <c r="V12" s="126">
        <f>+Actuals!S165</f>
        <v>0</v>
      </c>
      <c r="W12" s="127">
        <f>+Actuals!T165</f>
        <v>0</v>
      </c>
      <c r="X12" s="126">
        <f>+Actuals!U165</f>
        <v>0</v>
      </c>
      <c r="Y12" s="127">
        <f>+Actuals!V165</f>
        <v>0</v>
      </c>
      <c r="Z12" s="126">
        <f>+Actuals!W165</f>
        <v>0</v>
      </c>
      <c r="AA12" s="127">
        <f>+Actuals!X165</f>
        <v>0</v>
      </c>
      <c r="AB12" s="126">
        <f>+Actuals!Y125</f>
        <v>0</v>
      </c>
      <c r="AC12" s="127">
        <f>+Actuals!Z125</f>
        <v>0</v>
      </c>
      <c r="AD12" s="126">
        <f>+Actuals!AA125</f>
        <v>0</v>
      </c>
      <c r="AE12" s="127">
        <f>+Actuals!AB125</f>
        <v>0</v>
      </c>
      <c r="AF12" s="126">
        <f>+Actuals!AC125</f>
        <v>0</v>
      </c>
      <c r="AG12" s="127">
        <f>+Actuals!AD125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20677516</v>
      </c>
      <c r="E13" s="38">
        <f t="shared" si="0"/>
        <v>53795611</v>
      </c>
      <c r="F13" s="60">
        <f>'TIE-OUT'!F13+RECLASS!F13</f>
        <v>0</v>
      </c>
      <c r="G13" s="38">
        <f>'TIE-OUT'!G13+RECLASS!G13</f>
        <v>0</v>
      </c>
      <c r="H13" s="126">
        <f>+Actuals!E126</f>
        <v>20677516</v>
      </c>
      <c r="I13" s="127">
        <f>+Actuals!F126</f>
        <v>53795611</v>
      </c>
      <c r="J13" s="126">
        <f>+Actuals!G126</f>
        <v>2118164</v>
      </c>
      <c r="K13" s="127">
        <f>+Actuals!H126</f>
        <v>5680551</v>
      </c>
      <c r="L13" s="126">
        <f>+Actuals!I126</f>
        <v>2110843</v>
      </c>
      <c r="M13" s="127">
        <f>+Actuals!J126</f>
        <v>5661955</v>
      </c>
      <c r="N13" s="126">
        <f>+Actuals!K126</f>
        <v>-22795873</v>
      </c>
      <c r="O13" s="127">
        <f>+Actuals!L126</f>
        <v>-59476695</v>
      </c>
      <c r="P13" s="126">
        <f>+Actuals!M166</f>
        <v>24964999</v>
      </c>
      <c r="Q13" s="127">
        <f>+Actuals!N166</f>
        <v>65285544</v>
      </c>
      <c r="R13" s="126">
        <f>+Actuals!O166</f>
        <v>0</v>
      </c>
      <c r="S13" s="127">
        <f>+Actuals!P166</f>
        <v>0</v>
      </c>
      <c r="T13" s="126">
        <f>+Actuals!Q166</f>
        <v>-24906523</v>
      </c>
      <c r="U13" s="127">
        <f>+Actuals!R166</f>
        <v>-65138117</v>
      </c>
      <c r="V13" s="126">
        <f>+Actuals!S166</f>
        <v>0</v>
      </c>
      <c r="W13" s="127">
        <f>+Actuals!T166</f>
        <v>0</v>
      </c>
      <c r="X13" s="126">
        <f>+Actuals!U166</f>
        <v>0</v>
      </c>
      <c r="Y13" s="127">
        <f>+Actuals!V166</f>
        <v>0</v>
      </c>
      <c r="Z13" s="126">
        <f>+Actuals!W166</f>
        <v>18508390</v>
      </c>
      <c r="AA13" s="127">
        <f>+Actuals!X166</f>
        <v>47986762</v>
      </c>
      <c r="AB13" s="126">
        <f>+Actuals!Y126</f>
        <v>0</v>
      </c>
      <c r="AC13" s="127">
        <f>+Actuals!Z126</f>
        <v>0</v>
      </c>
      <c r="AD13" s="126">
        <f>+Actuals!AA126</f>
        <v>0</v>
      </c>
      <c r="AE13" s="127">
        <f>+Actuals!AB126</f>
        <v>0</v>
      </c>
      <c r="AF13" s="126">
        <f>+Actuals!AC126</f>
        <v>0</v>
      </c>
      <c r="AG13" s="127">
        <f>+Actuals!AD126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6">
        <f>+Actuals!E127</f>
        <v>0</v>
      </c>
      <c r="I14" s="127">
        <f>+Actuals!F127</f>
        <v>0</v>
      </c>
      <c r="J14" s="126">
        <f>+Actuals!G127</f>
        <v>0</v>
      </c>
      <c r="K14" s="127">
        <f>+Actuals!H127</f>
        <v>0</v>
      </c>
      <c r="L14" s="126">
        <f>+Actuals!I127</f>
        <v>0</v>
      </c>
      <c r="M14" s="127">
        <f>+Actuals!J127</f>
        <v>0</v>
      </c>
      <c r="N14" s="126">
        <f>+Actuals!K127</f>
        <v>0</v>
      </c>
      <c r="O14" s="127">
        <f>+Actuals!L127</f>
        <v>0</v>
      </c>
      <c r="P14" s="126">
        <f>+Actuals!M167</f>
        <v>0</v>
      </c>
      <c r="Q14" s="127">
        <f>+Actuals!N167</f>
        <v>0</v>
      </c>
      <c r="R14" s="126">
        <f>+Actuals!O167</f>
        <v>0</v>
      </c>
      <c r="S14" s="127">
        <f>+Actuals!P167</f>
        <v>0</v>
      </c>
      <c r="T14" s="126">
        <f>+Actuals!Q167</f>
        <v>0</v>
      </c>
      <c r="U14" s="127">
        <f>+Actuals!R167</f>
        <v>0</v>
      </c>
      <c r="V14" s="126">
        <f>+Actuals!S167</f>
        <v>0</v>
      </c>
      <c r="W14" s="127">
        <f>+Actuals!T167</f>
        <v>0</v>
      </c>
      <c r="X14" s="126">
        <f>+Actuals!U167</f>
        <v>0</v>
      </c>
      <c r="Y14" s="127">
        <f>+Actuals!V167</f>
        <v>0</v>
      </c>
      <c r="Z14" s="126">
        <f>+Actuals!W167</f>
        <v>0</v>
      </c>
      <c r="AA14" s="127">
        <f>+Actuals!X167</f>
        <v>0</v>
      </c>
      <c r="AB14" s="126">
        <f>+Actuals!Y127</f>
        <v>0</v>
      </c>
      <c r="AC14" s="127">
        <f>+Actuals!Z127</f>
        <v>0</v>
      </c>
      <c r="AD14" s="126">
        <f>+Actuals!AA127</f>
        <v>0</v>
      </c>
      <c r="AE14" s="127">
        <f>+Actuals!AB127</f>
        <v>0</v>
      </c>
      <c r="AF14" s="126">
        <f>+Actuals!AC127</f>
        <v>0</v>
      </c>
      <c r="AG14" s="127">
        <f>+Actuals!AD127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2011383</v>
      </c>
      <c r="F15" s="81">
        <f>'TIE-OUT'!F15+RECLASS!F15</f>
        <v>0</v>
      </c>
      <c r="G15" s="82">
        <f>'TIE-OUT'!G15+RECLASS!G15</f>
        <v>0</v>
      </c>
      <c r="H15" s="126">
        <f>+Actuals!E128</f>
        <v>0</v>
      </c>
      <c r="I15" s="128">
        <f>+Actuals!F128</f>
        <v>1369900</v>
      </c>
      <c r="J15" s="126">
        <f>+Actuals!G128</f>
        <v>0</v>
      </c>
      <c r="K15" s="128">
        <f>+Actuals!H128</f>
        <v>629339</v>
      </c>
      <c r="L15" s="126">
        <f>+Actuals!I128</f>
        <v>0</v>
      </c>
      <c r="M15" s="128">
        <f>+Actuals!J128</f>
        <v>0</v>
      </c>
      <c r="N15" s="126">
        <f>+Actuals!K128</f>
        <v>0</v>
      </c>
      <c r="O15" s="128">
        <f>+Actuals!L128</f>
        <v>0</v>
      </c>
      <c r="P15" s="126">
        <f>+Actuals!M168</f>
        <v>0</v>
      </c>
      <c r="Q15" s="127">
        <f>+Actuals!N168</f>
        <v>0</v>
      </c>
      <c r="R15" s="126">
        <f>+Actuals!O168</f>
        <v>0</v>
      </c>
      <c r="S15" s="128">
        <f>+Actuals!P168</f>
        <v>0</v>
      </c>
      <c r="T15" s="126">
        <f>+Actuals!Q168</f>
        <v>0</v>
      </c>
      <c r="U15" s="128">
        <f>+Actuals!R168</f>
        <v>12144</v>
      </c>
      <c r="V15" s="126">
        <f>+Actuals!S168</f>
        <v>0</v>
      </c>
      <c r="W15" s="128">
        <f>+Actuals!T168</f>
        <v>0</v>
      </c>
      <c r="X15" s="126">
        <f>+Actuals!U168</f>
        <v>0</v>
      </c>
      <c r="Y15" s="128">
        <f>+Actuals!V168</f>
        <v>0</v>
      </c>
      <c r="Z15" s="126">
        <f>+Actuals!W168</f>
        <v>0</v>
      </c>
      <c r="AA15" s="128">
        <f>+Actuals!X168</f>
        <v>0</v>
      </c>
      <c r="AB15" s="126">
        <f>+Actuals!Y128</f>
        <v>0</v>
      </c>
      <c r="AC15" s="128">
        <f>+Actuals!Z128</f>
        <v>0</v>
      </c>
      <c r="AD15" s="126">
        <f>+Actuals!AA128</f>
        <v>0</v>
      </c>
      <c r="AE15" s="128">
        <f>+Actuals!AB128</f>
        <v>0</v>
      </c>
      <c r="AF15" s="126">
        <f>+Actuals!AC128</f>
        <v>0</v>
      </c>
      <c r="AG15" s="128">
        <f>+Actuals!AD128</f>
        <v>0</v>
      </c>
    </row>
    <row r="16" spans="1:33" x14ac:dyDescent="0.25">
      <c r="A16" s="9"/>
      <c r="B16" s="7" t="s">
        <v>30</v>
      </c>
      <c r="C16" s="6"/>
      <c r="D16" s="61">
        <f t="shared" ref="D16:I16" si="1">SUM(D11:D15)</f>
        <v>66617490</v>
      </c>
      <c r="E16" s="39">
        <f t="shared" si="1"/>
        <v>184665240.58999997</v>
      </c>
      <c r="F16" s="61">
        <f t="shared" si="1"/>
        <v>0</v>
      </c>
      <c r="G16" s="39">
        <f t="shared" si="1"/>
        <v>1259495.3500000001</v>
      </c>
      <c r="H16" s="61">
        <f t="shared" si="1"/>
        <v>66117618</v>
      </c>
      <c r="I16" s="82">
        <f t="shared" si="1"/>
        <v>183251836.44999999</v>
      </c>
      <c r="J16" s="61">
        <f t="shared" ref="J16:AE16" si="2">SUM(J11:J15)</f>
        <v>2623888</v>
      </c>
      <c r="K16" s="82">
        <f t="shared" si="2"/>
        <v>5246990.49</v>
      </c>
      <c r="L16" s="61">
        <f t="shared" si="2"/>
        <v>2095799</v>
      </c>
      <c r="M16" s="82">
        <f t="shared" si="2"/>
        <v>6149906.75</v>
      </c>
      <c r="N16" s="61">
        <f t="shared" si="2"/>
        <v>-22786681</v>
      </c>
      <c r="O16" s="82">
        <f t="shared" si="2"/>
        <v>-59477066.060000002</v>
      </c>
      <c r="P16" s="61">
        <f t="shared" si="2"/>
        <v>24964999</v>
      </c>
      <c r="Q16" s="39">
        <f t="shared" si="2"/>
        <v>65277586.219999999</v>
      </c>
      <c r="R16" s="61">
        <f t="shared" ref="R16:W16" si="3">SUM(R11:R15)</f>
        <v>0</v>
      </c>
      <c r="S16" s="82">
        <f t="shared" si="3"/>
        <v>-4297.6099999999997</v>
      </c>
      <c r="T16" s="61">
        <f t="shared" si="3"/>
        <v>-24906523</v>
      </c>
      <c r="U16" s="82">
        <f t="shared" si="3"/>
        <v>-65125973</v>
      </c>
      <c r="V16" s="61">
        <f t="shared" si="3"/>
        <v>0</v>
      </c>
      <c r="W16" s="82">
        <f t="shared" si="3"/>
        <v>0</v>
      </c>
      <c r="X16" s="61">
        <f>SUM(X11:X15)</f>
        <v>0</v>
      </c>
      <c r="Y16" s="82">
        <f>SUM(Y11:Y15)</f>
        <v>100000</v>
      </c>
      <c r="Z16" s="61">
        <f>SUM(Z11:Z15)</f>
        <v>18508390</v>
      </c>
      <c r="AA16" s="82">
        <f>SUM(AA11:AA15)</f>
        <v>47986762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  <c r="AF16" s="61">
        <f>SUM(AF11:AF15)</f>
        <v>0</v>
      </c>
      <c r="AG16" s="82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SUM(F19,H19,J19,L19,N19,P19,R19,T19,V19,X19,Z19,AB19,AD19,AF19)</f>
        <v>-45426637</v>
      </c>
      <c r="E19" s="38">
        <f t="shared" si="4"/>
        <v>-125411467.16999999</v>
      </c>
      <c r="F19" s="64">
        <f>'TIE-OUT'!F19+RECLASS!F19</f>
        <v>0</v>
      </c>
      <c r="G19" s="68">
        <f>'TIE-OUT'!G19+RECLASS!G19</f>
        <v>0</v>
      </c>
      <c r="H19" s="126">
        <f>+Actuals!E129</f>
        <v>-44836401</v>
      </c>
      <c r="I19" s="127">
        <f>+Actuals!F129</f>
        <v>-124579072.03999999</v>
      </c>
      <c r="J19" s="126">
        <f>+Actuals!G129</f>
        <v>-508228</v>
      </c>
      <c r="K19" s="127">
        <f>+Actuals!H129</f>
        <v>-1505909.39</v>
      </c>
      <c r="L19" s="126">
        <f>+Actuals!I129</f>
        <v>-10319</v>
      </c>
      <c r="M19" s="127">
        <f>+Actuals!J129</f>
        <v>-29028.7</v>
      </c>
      <c r="N19" s="126">
        <f>+Actuals!K129</f>
        <v>-14053</v>
      </c>
      <c r="O19" s="127">
        <f>+Actuals!L129</f>
        <v>862892.09</v>
      </c>
      <c r="P19" s="126">
        <f>+Actuals!M169</f>
        <v>-57636</v>
      </c>
      <c r="Q19" s="127">
        <f>+Actuals!N169</f>
        <v>-160348.85</v>
      </c>
      <c r="R19" s="126">
        <f>+Actuals!O169</f>
        <v>0</v>
      </c>
      <c r="S19" s="127">
        <f>+Actuals!P169</f>
        <v>-0.28999999999999998</v>
      </c>
      <c r="T19" s="126">
        <f>+Actuals!Q169</f>
        <v>0</v>
      </c>
      <c r="U19" s="127">
        <f>+Actuals!R169</f>
        <v>0</v>
      </c>
      <c r="V19" s="126">
        <f>+Actuals!S169</f>
        <v>0</v>
      </c>
      <c r="W19" s="127">
        <f>+Actuals!T169</f>
        <v>0</v>
      </c>
      <c r="X19" s="126">
        <f>+Actuals!U169</f>
        <v>0</v>
      </c>
      <c r="Y19" s="127">
        <f>+Actuals!V169</f>
        <v>0.01</v>
      </c>
      <c r="Z19" s="126">
        <f>+Actuals!W169</f>
        <v>0</v>
      </c>
      <c r="AA19" s="127">
        <f>+Actuals!X169</f>
        <v>0</v>
      </c>
      <c r="AB19" s="126">
        <v>0</v>
      </c>
      <c r="AC19" s="127">
        <v>0</v>
      </c>
      <c r="AD19" s="126">
        <f>+Actuals!AA129</f>
        <v>0</v>
      </c>
      <c r="AE19" s="127">
        <f>+Actuals!AB129</f>
        <v>0</v>
      </c>
      <c r="AF19" s="126">
        <f>+Actuals!AC129</f>
        <v>0</v>
      </c>
      <c r="AG19" s="127">
        <f>+Actuals!AD129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-3801513.87</v>
      </c>
      <c r="F20" s="60">
        <f>'TIE-OUT'!F20+RECLASS!F20</f>
        <v>0</v>
      </c>
      <c r="G20" s="38">
        <f>'TIE-OUT'!G20+RECLASS!G20</f>
        <v>-3789026.37</v>
      </c>
      <c r="H20" s="126">
        <f>+Actuals!E130</f>
        <v>0</v>
      </c>
      <c r="I20" s="127">
        <f>+Actuals!F130</f>
        <v>0</v>
      </c>
      <c r="J20" s="126">
        <f>+Actuals!G130</f>
        <v>0</v>
      </c>
      <c r="K20" s="153">
        <f>26812.5-39300</f>
        <v>-12487.5</v>
      </c>
      <c r="L20" s="126">
        <f>+Actuals!I130</f>
        <v>0</v>
      </c>
      <c r="M20" s="127">
        <f>+Actuals!J130</f>
        <v>0</v>
      </c>
      <c r="N20" s="126">
        <f>+Actuals!K130</f>
        <v>0</v>
      </c>
      <c r="O20" s="127">
        <f>+Actuals!L130</f>
        <v>0</v>
      </c>
      <c r="P20" s="126">
        <f>+Actuals!M170</f>
        <v>0</v>
      </c>
      <c r="Q20" s="127">
        <f>+Actuals!N170</f>
        <v>0</v>
      </c>
      <c r="R20" s="126">
        <f>+Actuals!O170</f>
        <v>0</v>
      </c>
      <c r="S20" s="127">
        <f>+Actuals!P170</f>
        <v>0</v>
      </c>
      <c r="T20" s="126">
        <f>+Actuals!Q170</f>
        <v>0</v>
      </c>
      <c r="U20" s="127">
        <f>+Actuals!R170</f>
        <v>0</v>
      </c>
      <c r="V20" s="126">
        <f>+Actuals!S170</f>
        <v>0</v>
      </c>
      <c r="W20" s="127">
        <f>+Actuals!T170</f>
        <v>0</v>
      </c>
      <c r="X20" s="126">
        <f>+Actuals!U170</f>
        <v>0</v>
      </c>
      <c r="Y20" s="127">
        <f>+Actuals!V170</f>
        <v>0</v>
      </c>
      <c r="Z20" s="126">
        <f>+Actuals!W170</f>
        <v>0</v>
      </c>
      <c r="AA20" s="127">
        <f>+Actuals!X170</f>
        <v>0</v>
      </c>
      <c r="AB20" s="126">
        <f>+Actuals!Y130</f>
        <v>0</v>
      </c>
      <c r="AC20" s="127">
        <f>+Actuals!Z130</f>
        <v>0</v>
      </c>
      <c r="AD20" s="126">
        <f>+Actuals!AA130</f>
        <v>0</v>
      </c>
      <c r="AE20" s="127">
        <f>+Actuals!AB130</f>
        <v>0</v>
      </c>
      <c r="AF20" s="126">
        <f>+Actuals!AC130</f>
        <v>0</v>
      </c>
      <c r="AG20" s="127">
        <f>+Actuals!AD130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4"/>
        <v>-21368483</v>
      </c>
      <c r="E21" s="38">
        <f t="shared" si="4"/>
        <v>-56209789</v>
      </c>
      <c r="F21" s="60">
        <f>'TIE-OUT'!F21+RECLASS!F21</f>
        <v>0</v>
      </c>
      <c r="G21" s="38">
        <f>'TIE-OUT'!G21+RECLASS!G21</f>
        <v>0</v>
      </c>
      <c r="H21" s="126">
        <f>+Actuals!E131</f>
        <v>-21339668</v>
      </c>
      <c r="I21" s="127">
        <f>+Actuals!F131</f>
        <v>-56148237</v>
      </c>
      <c r="J21" s="126">
        <f>+Actuals!G131</f>
        <v>-2118164</v>
      </c>
      <c r="K21" s="127">
        <f>+Actuals!H131</f>
        <v>-5680551</v>
      </c>
      <c r="L21" s="126">
        <f>+Actuals!I131</f>
        <v>-1146140</v>
      </c>
      <c r="M21" s="127">
        <f>+Actuals!J131</f>
        <v>-3141615</v>
      </c>
      <c r="N21" s="126">
        <f>+Actuals!K131</f>
        <v>23457832</v>
      </c>
      <c r="O21" s="127">
        <f>+Actuals!L131</f>
        <v>61828788</v>
      </c>
      <c r="P21" s="126">
        <f>+Actuals!M171</f>
        <v>-24603972</v>
      </c>
      <c r="Q21" s="127">
        <f>+Actuals!N171</f>
        <v>-64970403</v>
      </c>
      <c r="R21" s="126">
        <f>+Actuals!O171</f>
        <v>-4</v>
      </c>
      <c r="S21" s="127">
        <f>+Actuals!P171</f>
        <v>-12</v>
      </c>
      <c r="T21" s="126">
        <f>+Actuals!Q171</f>
        <v>24613972</v>
      </c>
      <c r="U21" s="127">
        <f>+Actuals!R171</f>
        <v>64998323</v>
      </c>
      <c r="V21" s="126">
        <f>+Actuals!S171</f>
        <v>0</v>
      </c>
      <c r="W21" s="127">
        <f>+Actuals!T171</f>
        <v>0</v>
      </c>
      <c r="X21" s="126">
        <f>+Actuals!U171</f>
        <v>0</v>
      </c>
      <c r="Y21" s="127">
        <f>+Actuals!V171</f>
        <v>0</v>
      </c>
      <c r="Z21" s="126">
        <f>+Actuals!W171</f>
        <v>-20232339</v>
      </c>
      <c r="AA21" s="127">
        <f>+Actuals!X171</f>
        <v>-53096082</v>
      </c>
      <c r="AB21" s="126">
        <f>+Actuals!Y131</f>
        <v>0</v>
      </c>
      <c r="AC21" s="127">
        <f>+Actuals!Z131</f>
        <v>0</v>
      </c>
      <c r="AD21" s="126">
        <f>+Actuals!AA131</f>
        <v>0</v>
      </c>
      <c r="AE21" s="127">
        <f>+Actuals!AB131</f>
        <v>0</v>
      </c>
      <c r="AF21" s="126">
        <f>+Actuals!AC131</f>
        <v>0</v>
      </c>
      <c r="AG21" s="127">
        <f>+Actuals!AD131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6">
        <f>+Actuals!E132</f>
        <v>0</v>
      </c>
      <c r="I22" s="127">
        <f>+Actuals!F132</f>
        <v>0</v>
      </c>
      <c r="J22" s="126">
        <f>+Actuals!G132</f>
        <v>0</v>
      </c>
      <c r="K22" s="127">
        <f>+Actuals!H132</f>
        <v>0</v>
      </c>
      <c r="L22" s="126">
        <f>+Actuals!I132</f>
        <v>0</v>
      </c>
      <c r="M22" s="127">
        <f>+Actuals!J132</f>
        <v>0</v>
      </c>
      <c r="N22" s="126">
        <f>+Actuals!K132</f>
        <v>0</v>
      </c>
      <c r="O22" s="127">
        <f>+Actuals!L132</f>
        <v>0</v>
      </c>
      <c r="P22" s="126">
        <f>+Actuals!M172</f>
        <v>0</v>
      </c>
      <c r="Q22" s="127">
        <f>+Actuals!N172</f>
        <v>0</v>
      </c>
      <c r="R22" s="126">
        <f>+Actuals!O172</f>
        <v>0</v>
      </c>
      <c r="S22" s="127">
        <f>+Actuals!P172</f>
        <v>0</v>
      </c>
      <c r="T22" s="126">
        <f>+Actuals!Q172</f>
        <v>0</v>
      </c>
      <c r="U22" s="127">
        <f>+Actuals!R172</f>
        <v>0</v>
      </c>
      <c r="V22" s="126">
        <f>+Actuals!S172</f>
        <v>0</v>
      </c>
      <c r="W22" s="127">
        <f>+Actuals!T172</f>
        <v>0</v>
      </c>
      <c r="X22" s="126">
        <f>+Actuals!U172</f>
        <v>0</v>
      </c>
      <c r="Y22" s="127">
        <f>+Actuals!V172</f>
        <v>0</v>
      </c>
      <c r="Z22" s="126">
        <f>+Actuals!W172</f>
        <v>0</v>
      </c>
      <c r="AA22" s="127">
        <f>+Actuals!X172</f>
        <v>0</v>
      </c>
      <c r="AB22" s="126">
        <f>+Actuals!Y132</f>
        <v>0</v>
      </c>
      <c r="AC22" s="127">
        <f>+Actuals!Z132</f>
        <v>0</v>
      </c>
      <c r="AD22" s="126">
        <f>+Actuals!AA132</f>
        <v>0</v>
      </c>
      <c r="AE22" s="127">
        <f>+Actuals!AB132</f>
        <v>0</v>
      </c>
      <c r="AF22" s="126">
        <f>+Actuals!AC132</f>
        <v>0</v>
      </c>
      <c r="AG22" s="127">
        <f>+Actuals!AD132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4"/>
        <v>326266</v>
      </c>
      <c r="E23" s="38">
        <f t="shared" si="4"/>
        <v>836872.74000000022</v>
      </c>
      <c r="F23" s="81">
        <f>'TIE-OUT'!F23+RECLASS!F23</f>
        <v>0</v>
      </c>
      <c r="G23" s="82">
        <f>'TIE-OUT'!G23+RECLASS!G23</f>
        <v>0</v>
      </c>
      <c r="H23" s="126">
        <f>+Actuals!E133</f>
        <v>871623</v>
      </c>
      <c r="I23" s="128">
        <f>+Actuals!F133</f>
        <v>2235712.9950000001</v>
      </c>
      <c r="J23" s="126">
        <f>+Actuals!G133</f>
        <v>-379553</v>
      </c>
      <c r="K23" s="128">
        <f>+Actuals!H133</f>
        <v>-973553.44499999995</v>
      </c>
      <c r="L23" s="126">
        <f>+Actuals!I133</f>
        <v>-565</v>
      </c>
      <c r="M23" s="128">
        <f>+Actuals!J133</f>
        <v>-1449.2249999999999</v>
      </c>
      <c r="N23" s="126">
        <f>+Actuals!K133</f>
        <v>91</v>
      </c>
      <c r="O23" s="128">
        <f>+Actuals!L133</f>
        <v>233.41499999999999</v>
      </c>
      <c r="P23" s="126">
        <f>+Actuals!M173</f>
        <v>0</v>
      </c>
      <c r="Q23" s="127">
        <f>+Actuals!N173</f>
        <v>0</v>
      </c>
      <c r="R23" s="126">
        <f>+Actuals!O173</f>
        <v>0</v>
      </c>
      <c r="S23" s="128">
        <f>+Actuals!P173</f>
        <v>0</v>
      </c>
      <c r="T23" s="126">
        <f>+Actuals!Q173</f>
        <v>0</v>
      </c>
      <c r="U23" s="128">
        <f>+Actuals!R173</f>
        <v>0</v>
      </c>
      <c r="V23" s="126">
        <f>+Actuals!S173</f>
        <v>0</v>
      </c>
      <c r="W23" s="128">
        <f>+Actuals!T173</f>
        <v>0</v>
      </c>
      <c r="X23" s="126">
        <f>+Actuals!U173</f>
        <v>0</v>
      </c>
      <c r="Y23" s="128">
        <f>+Actuals!V173</f>
        <v>0</v>
      </c>
      <c r="Z23" s="126">
        <f>+Actuals!W173</f>
        <v>0</v>
      </c>
      <c r="AA23" s="128">
        <f>+Actuals!X173</f>
        <v>0</v>
      </c>
      <c r="AB23" s="126">
        <v>-165330</v>
      </c>
      <c r="AC23" s="128">
        <v>-424071</v>
      </c>
      <c r="AD23" s="126">
        <f>+Actuals!AA133</f>
        <v>0</v>
      </c>
      <c r="AE23" s="128">
        <f>+Actuals!AB133</f>
        <v>0</v>
      </c>
      <c r="AF23" s="126">
        <f>+Actuals!AC133</f>
        <v>0</v>
      </c>
      <c r="AG23" s="128">
        <f>+Actuals!AD133</f>
        <v>0</v>
      </c>
    </row>
    <row r="24" spans="1:33" x14ac:dyDescent="0.25">
      <c r="A24" s="9"/>
      <c r="B24" s="7" t="s">
        <v>33</v>
      </c>
      <c r="C24" s="6"/>
      <c r="D24" s="61">
        <f t="shared" ref="D24:I24" si="5">SUM(D19:D23)</f>
        <v>-66468854</v>
      </c>
      <c r="E24" s="39">
        <f t="shared" si="5"/>
        <v>-184585897.29999998</v>
      </c>
      <c r="F24" s="61">
        <f t="shared" si="5"/>
        <v>0</v>
      </c>
      <c r="G24" s="39">
        <f t="shared" si="5"/>
        <v>-3789026.37</v>
      </c>
      <c r="H24" s="61">
        <f t="shared" si="5"/>
        <v>-65304446</v>
      </c>
      <c r="I24" s="39">
        <f t="shared" si="5"/>
        <v>-178491596.04499999</v>
      </c>
      <c r="J24" s="61">
        <f t="shared" ref="J24:AE24" si="6">SUM(J19:J23)</f>
        <v>-3005945</v>
      </c>
      <c r="K24" s="39">
        <f t="shared" si="6"/>
        <v>-8172501.335</v>
      </c>
      <c r="L24" s="61">
        <f t="shared" si="6"/>
        <v>-1157024</v>
      </c>
      <c r="M24" s="39">
        <f t="shared" si="6"/>
        <v>-3172092.9250000003</v>
      </c>
      <c r="N24" s="61">
        <f t="shared" si="6"/>
        <v>23443870</v>
      </c>
      <c r="O24" s="39">
        <f t="shared" si="6"/>
        <v>62691913.505000003</v>
      </c>
      <c r="P24" s="61">
        <f t="shared" si="6"/>
        <v>-24661608</v>
      </c>
      <c r="Q24" s="39">
        <f t="shared" si="6"/>
        <v>-65130751.850000001</v>
      </c>
      <c r="R24" s="61">
        <f t="shared" ref="R24:W24" si="7">SUM(R19:R23)</f>
        <v>-4</v>
      </c>
      <c r="S24" s="39">
        <f t="shared" si="7"/>
        <v>-12.29</v>
      </c>
      <c r="T24" s="61">
        <f t="shared" si="7"/>
        <v>24613972</v>
      </c>
      <c r="U24" s="39">
        <f t="shared" si="7"/>
        <v>64998323</v>
      </c>
      <c r="V24" s="61">
        <f t="shared" si="7"/>
        <v>0</v>
      </c>
      <c r="W24" s="39">
        <f t="shared" si="7"/>
        <v>0</v>
      </c>
      <c r="X24" s="61">
        <f>SUM(X19:X23)</f>
        <v>0</v>
      </c>
      <c r="Y24" s="39">
        <f>SUM(Y19:Y23)</f>
        <v>0.01</v>
      </c>
      <c r="Z24" s="61">
        <f>SUM(Z19:Z23)</f>
        <v>-20232339</v>
      </c>
      <c r="AA24" s="39">
        <f>SUM(AA19:AA23)</f>
        <v>-53096082</v>
      </c>
      <c r="AB24" s="61">
        <f t="shared" si="6"/>
        <v>-165330</v>
      </c>
      <c r="AC24" s="39">
        <f t="shared" si="6"/>
        <v>-424071</v>
      </c>
      <c r="AD24" s="61">
        <f t="shared" si="6"/>
        <v>0</v>
      </c>
      <c r="AE24" s="39">
        <f t="shared" si="6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435504</v>
      </c>
      <c r="E27" s="38">
        <f>SUM(G27,I27,K27,M27,O27,Q27,S27,U27,W27,Y27,AA27,AC27,AE27,AG27)</f>
        <v>1081721.1199999999</v>
      </c>
      <c r="F27" s="64">
        <f>'TIE-OUT'!F27+RECLASS!F27</f>
        <v>0</v>
      </c>
      <c r="G27" s="68">
        <f>'TIE-OUT'!G27+RECLASS!G27</f>
        <v>0</v>
      </c>
      <c r="H27" s="126">
        <f>+Actuals!E134</f>
        <v>435399</v>
      </c>
      <c r="I27" s="127">
        <f>+Actuals!F134</f>
        <v>1081467.02</v>
      </c>
      <c r="J27" s="126">
        <f>+Actuals!G134</f>
        <v>104</v>
      </c>
      <c r="K27" s="127">
        <f>+Actuals!H134</f>
        <v>299.38</v>
      </c>
      <c r="L27" s="126">
        <f>+Actuals!I134</f>
        <v>1</v>
      </c>
      <c r="M27" s="127">
        <f>+Actuals!J134</f>
        <v>-45.28</v>
      </c>
      <c r="N27" s="126">
        <f>+Actuals!K134</f>
        <v>0</v>
      </c>
      <c r="O27" s="127">
        <f>+Actuals!L134</f>
        <v>0</v>
      </c>
      <c r="P27" s="126">
        <f>+Actuals!M174</f>
        <v>0</v>
      </c>
      <c r="Q27" s="127">
        <f>+Actuals!N174</f>
        <v>0</v>
      </c>
      <c r="R27" s="126">
        <f>+Actuals!O174</f>
        <v>0</v>
      </c>
      <c r="S27" s="127">
        <f>+Actuals!P174</f>
        <v>0</v>
      </c>
      <c r="T27" s="126">
        <f>+Actuals!Q174</f>
        <v>0</v>
      </c>
      <c r="U27" s="127">
        <f>+Actuals!R174</f>
        <v>0</v>
      </c>
      <c r="V27" s="126">
        <f>+Actuals!S174</f>
        <v>0</v>
      </c>
      <c r="W27" s="127">
        <f>+Actuals!T174</f>
        <v>0</v>
      </c>
      <c r="X27" s="126">
        <f>+Actuals!U174</f>
        <v>0</v>
      </c>
      <c r="Y27" s="127">
        <f>+Actuals!V174</f>
        <v>0</v>
      </c>
      <c r="Z27" s="126">
        <f>+Actuals!W174</f>
        <v>0</v>
      </c>
      <c r="AA27" s="127">
        <f>+Actuals!X174</f>
        <v>0</v>
      </c>
      <c r="AB27" s="126">
        <f>+Actuals!Y134</f>
        <v>0</v>
      </c>
      <c r="AC27" s="127">
        <f>+Actuals!Z134</f>
        <v>0</v>
      </c>
      <c r="AD27" s="126">
        <f>+Actuals!AA134</f>
        <v>0</v>
      </c>
      <c r="AE27" s="127">
        <f>+Actuals!AB134</f>
        <v>0</v>
      </c>
      <c r="AF27" s="126">
        <f>+Actuals!AC134</f>
        <v>0</v>
      </c>
      <c r="AG27" s="127">
        <f>+Actuals!AD134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-566844</v>
      </c>
      <c r="E28" s="38">
        <f>SUM(G28,I28,K28,M28,O28,Q28,S28,U28,W28,Y28,AA28,AC28,AE28,AG28)</f>
        <v>-1380428.23</v>
      </c>
      <c r="F28" s="81">
        <f>'TIE-OUT'!F28+RECLASS!F28</f>
        <v>0</v>
      </c>
      <c r="G28" s="82">
        <f>'TIE-OUT'!G28+RECLASS!G28</f>
        <v>0</v>
      </c>
      <c r="H28" s="126">
        <f>+Actuals!E135</f>
        <v>-565030</v>
      </c>
      <c r="I28" s="127">
        <f>+Actuals!F135</f>
        <v>-1375334.25</v>
      </c>
      <c r="J28" s="126">
        <f>+Actuals!G135</f>
        <v>-1814</v>
      </c>
      <c r="K28" s="127">
        <f>+Actuals!H135</f>
        <v>-5093.9799999999996</v>
      </c>
      <c r="L28" s="126">
        <f>+Actuals!I135</f>
        <v>0</v>
      </c>
      <c r="M28" s="127">
        <f>+Actuals!J135</f>
        <v>0</v>
      </c>
      <c r="N28" s="126">
        <f>+Actuals!K135</f>
        <v>0</v>
      </c>
      <c r="O28" s="127">
        <f>+Actuals!L135</f>
        <v>0</v>
      </c>
      <c r="P28" s="126">
        <f>+Actuals!M175</f>
        <v>0</v>
      </c>
      <c r="Q28" s="127">
        <f>+Actuals!N175</f>
        <v>0</v>
      </c>
      <c r="R28" s="126">
        <f>+Actuals!O175</f>
        <v>0</v>
      </c>
      <c r="S28" s="127">
        <f>+Actuals!P175</f>
        <v>0</v>
      </c>
      <c r="T28" s="126">
        <f>+Actuals!Q175</f>
        <v>0</v>
      </c>
      <c r="U28" s="127">
        <f>+Actuals!R175</f>
        <v>0</v>
      </c>
      <c r="V28" s="126">
        <f>+Actuals!S175</f>
        <v>0</v>
      </c>
      <c r="W28" s="127">
        <f>+Actuals!T175</f>
        <v>0</v>
      </c>
      <c r="X28" s="126">
        <f>+Actuals!U175</f>
        <v>0</v>
      </c>
      <c r="Y28" s="127">
        <f>+Actuals!V175</f>
        <v>0</v>
      </c>
      <c r="Z28" s="126">
        <f>+Actuals!W175</f>
        <v>0</v>
      </c>
      <c r="AA28" s="127">
        <f>+Actuals!X175</f>
        <v>0</v>
      </c>
      <c r="AB28" s="126">
        <f>+Actuals!Y135</f>
        <v>0</v>
      </c>
      <c r="AC28" s="127">
        <f>+Actuals!Z135</f>
        <v>0</v>
      </c>
      <c r="AD28" s="126">
        <f>+Actuals!AA135</f>
        <v>0</v>
      </c>
      <c r="AE28" s="127">
        <f>+Actuals!AB135</f>
        <v>0</v>
      </c>
      <c r="AF28" s="126">
        <f>+Actuals!AC135</f>
        <v>0</v>
      </c>
      <c r="AG28" s="127">
        <f>+Actuals!AD135</f>
        <v>0</v>
      </c>
    </row>
    <row r="29" spans="1:33" x14ac:dyDescent="0.25">
      <c r="A29" s="9"/>
      <c r="B29" s="7" t="s">
        <v>37</v>
      </c>
      <c r="C29" s="18"/>
      <c r="D29" s="61">
        <f t="shared" ref="D29:I29" si="8">SUM(D27:D28)</f>
        <v>-131340</v>
      </c>
      <c r="E29" s="39">
        <f t="shared" si="8"/>
        <v>-298707.1100000001</v>
      </c>
      <c r="F29" s="61">
        <f t="shared" si="8"/>
        <v>0</v>
      </c>
      <c r="G29" s="39">
        <f t="shared" si="8"/>
        <v>0</v>
      </c>
      <c r="H29" s="61">
        <f t="shared" si="8"/>
        <v>-129631</v>
      </c>
      <c r="I29" s="39">
        <f t="shared" si="8"/>
        <v>-293867.23</v>
      </c>
      <c r="J29" s="61">
        <f t="shared" ref="J29:AE29" si="9">SUM(J27:J28)</f>
        <v>-1710</v>
      </c>
      <c r="K29" s="39">
        <f t="shared" si="9"/>
        <v>-4794.5999999999995</v>
      </c>
      <c r="L29" s="61">
        <f t="shared" si="9"/>
        <v>1</v>
      </c>
      <c r="M29" s="39">
        <f t="shared" si="9"/>
        <v>-45.28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ref="R29:W29" si="10">SUM(R27:R28)</f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SUM(F32,H32,J32,L32,N32,P32,R32,T32,V32,X32,Z32,AB32,AD32,AF32)</f>
        <v>-14080</v>
      </c>
      <c r="E32" s="38">
        <f t="shared" si="11"/>
        <v>-36114.914999999979</v>
      </c>
      <c r="F32" s="64">
        <f>'TIE-OUT'!F32+RECLASS!F32</f>
        <v>0</v>
      </c>
      <c r="G32" s="68">
        <f>'TIE-OUT'!G32+RECLASS!G32</f>
        <v>0</v>
      </c>
      <c r="H32" s="126">
        <f>+Actuals!E136</f>
        <v>-361772</v>
      </c>
      <c r="I32" s="127">
        <f>+Actuals!F136</f>
        <v>-927945.18</v>
      </c>
      <c r="J32" s="126">
        <f>+Actuals!G136</f>
        <v>781957</v>
      </c>
      <c r="K32" s="127">
        <f>+Actuals!H136</f>
        <v>2005719.99</v>
      </c>
      <c r="L32" s="126">
        <f>+Actuals!I136</f>
        <v>-101549</v>
      </c>
      <c r="M32" s="127">
        <f>+Actuals!J136</f>
        <v>-260473.185</v>
      </c>
      <c r="N32" s="126">
        <f>+Actuals!K136</f>
        <v>1589</v>
      </c>
      <c r="O32" s="127">
        <f>+Actuals!L136</f>
        <v>4075.7849999999999</v>
      </c>
      <c r="P32" s="126">
        <f>+Actuals!M176</f>
        <v>-500795</v>
      </c>
      <c r="Q32" s="127">
        <f>+Actuals!N176</f>
        <v>-1284539.175</v>
      </c>
      <c r="R32" s="126">
        <f>+Actuals!O176</f>
        <v>0</v>
      </c>
      <c r="S32" s="127">
        <f>+Actuals!P176</f>
        <v>0</v>
      </c>
      <c r="T32" s="126">
        <f>+Actuals!Q176</f>
        <v>1076</v>
      </c>
      <c r="U32" s="127">
        <f>+Actuals!R176</f>
        <v>2759.94</v>
      </c>
      <c r="V32" s="126">
        <f>+Actuals!S176</f>
        <v>0</v>
      </c>
      <c r="W32" s="127">
        <f>+Actuals!T176</f>
        <v>0</v>
      </c>
      <c r="X32" s="126">
        <f>+Actuals!U176</f>
        <v>0</v>
      </c>
      <c r="Y32" s="127">
        <f>+Actuals!V176</f>
        <v>0</v>
      </c>
      <c r="Z32" s="126">
        <f>+Actuals!W176</f>
        <v>84</v>
      </c>
      <c r="AA32" s="127">
        <f>+Actuals!X176</f>
        <v>215.46</v>
      </c>
      <c r="AB32" s="126">
        <v>165330</v>
      </c>
      <c r="AC32" s="127">
        <v>424071.45</v>
      </c>
      <c r="AD32" s="126">
        <f>+Actuals!AA136</f>
        <v>0</v>
      </c>
      <c r="AE32" s="127">
        <f>+Actuals!AB136</f>
        <v>0</v>
      </c>
      <c r="AF32" s="126">
        <f>+Actuals!AC136</f>
        <v>0</v>
      </c>
      <c r="AG32" s="127">
        <f>+Actuals!AD136</f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11"/>
        <v>-32336</v>
      </c>
      <c r="E33" s="38">
        <f t="shared" si="11"/>
        <v>-82523.5</v>
      </c>
      <c r="F33" s="60">
        <f>'TIE-OUT'!F33+RECLASS!F33</f>
        <v>0</v>
      </c>
      <c r="G33" s="38">
        <f>'TIE-OUT'!G33+RECLASS!G33</f>
        <v>0</v>
      </c>
      <c r="H33" s="126">
        <f>+Actuals!E137</f>
        <v>0</v>
      </c>
      <c r="I33" s="127">
        <f>+Actuals!F137</f>
        <v>0</v>
      </c>
      <c r="J33" s="126">
        <f>+Actuals!G137</f>
        <v>-29659</v>
      </c>
      <c r="K33" s="127">
        <f>+Actuals!H137</f>
        <v>-76005.39</v>
      </c>
      <c r="L33" s="126">
        <f>+Actuals!I137</f>
        <v>-545</v>
      </c>
      <c r="M33" s="127">
        <f>+Actuals!J137</f>
        <v>-1391.39</v>
      </c>
      <c r="N33" s="126">
        <f>+Actuals!K137</f>
        <v>-1044</v>
      </c>
      <c r="O33" s="127">
        <f>+Actuals!L137</f>
        <v>-2508.69</v>
      </c>
      <c r="P33" s="126">
        <f>+Actuals!M177</f>
        <v>-2</v>
      </c>
      <c r="Q33" s="127">
        <f>+Actuals!N177</f>
        <v>-5.1100000000000003</v>
      </c>
      <c r="R33" s="126">
        <f>+Actuals!O177</f>
        <v>0</v>
      </c>
      <c r="S33" s="127">
        <f>+Actuals!P177</f>
        <v>0</v>
      </c>
      <c r="T33" s="126">
        <f>+Actuals!Q177</f>
        <v>-1086</v>
      </c>
      <c r="U33" s="127">
        <f>+Actuals!R177</f>
        <v>-2612.92</v>
      </c>
      <c r="V33" s="126">
        <f>+Actuals!S177</f>
        <v>0</v>
      </c>
      <c r="W33" s="127">
        <f>+Actuals!T177</f>
        <v>0</v>
      </c>
      <c r="X33" s="126">
        <f>+Actuals!U177</f>
        <v>0</v>
      </c>
      <c r="Y33" s="127">
        <f>+Actuals!V177</f>
        <v>0</v>
      </c>
      <c r="Z33" s="126">
        <f>+Actuals!W177</f>
        <v>0</v>
      </c>
      <c r="AA33" s="127">
        <f>+Actuals!X177</f>
        <v>0</v>
      </c>
      <c r="AB33" s="126">
        <f>+Actuals!Y137</f>
        <v>0</v>
      </c>
      <c r="AC33" s="127">
        <f>+Actuals!Z137</f>
        <v>0</v>
      </c>
      <c r="AD33" s="126">
        <f>+Actuals!AA137</f>
        <v>0</v>
      </c>
      <c r="AE33" s="127">
        <f>+Actuals!AB137</f>
        <v>0</v>
      </c>
      <c r="AF33" s="126">
        <f>+Actuals!AC137</f>
        <v>0</v>
      </c>
      <c r="AG33" s="127">
        <f>+Actuals!AD137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11"/>
        <v>6842</v>
      </c>
      <c r="E34" s="38">
        <f t="shared" si="11"/>
        <v>16385.57</v>
      </c>
      <c r="F34" s="60">
        <f>'TIE-OUT'!F34+RECLASS!F34</f>
        <v>0</v>
      </c>
      <c r="G34" s="38">
        <f>'TIE-OUT'!G34+RECLASS!G34</f>
        <v>0</v>
      </c>
      <c r="H34" s="126">
        <f>+Actuals!E138</f>
        <v>0</v>
      </c>
      <c r="I34" s="127">
        <f>+Actuals!F138</f>
        <v>0</v>
      </c>
      <c r="J34" s="126">
        <f>+Actuals!G138</f>
        <v>3094</v>
      </c>
      <c r="K34" s="127">
        <f>+Actuals!H138</f>
        <v>7433.94</v>
      </c>
      <c r="L34" s="126">
        <f>+Actuals!I138</f>
        <v>6</v>
      </c>
      <c r="M34" s="127">
        <f>+Actuals!J138</f>
        <v>15.32</v>
      </c>
      <c r="N34" s="126">
        <f>+Actuals!K138</f>
        <v>3742</v>
      </c>
      <c r="O34" s="127">
        <f>+Actuals!L138</f>
        <v>8936.31</v>
      </c>
      <c r="P34" s="126">
        <f>+Actuals!M178</f>
        <v>0</v>
      </c>
      <c r="Q34" s="127">
        <f>+Actuals!N178</f>
        <v>0</v>
      </c>
      <c r="R34" s="126">
        <f>+Actuals!O178</f>
        <v>0</v>
      </c>
      <c r="S34" s="127">
        <f>+Actuals!P178</f>
        <v>0</v>
      </c>
      <c r="T34" s="126">
        <f>+Actuals!Q178</f>
        <v>0</v>
      </c>
      <c r="U34" s="127">
        <f>+Actuals!R178</f>
        <v>0</v>
      </c>
      <c r="V34" s="126">
        <f>+Actuals!S178</f>
        <v>0</v>
      </c>
      <c r="W34" s="127">
        <f>+Actuals!T178</f>
        <v>0</v>
      </c>
      <c r="X34" s="126">
        <f>+Actuals!U178</f>
        <v>0</v>
      </c>
      <c r="Y34" s="127">
        <f>+Actuals!V178</f>
        <v>0</v>
      </c>
      <c r="Z34" s="126">
        <f>+Actuals!W178</f>
        <v>0</v>
      </c>
      <c r="AA34" s="127">
        <f>+Actuals!X178</f>
        <v>0</v>
      </c>
      <c r="AB34" s="126">
        <f>+Actuals!Y138</f>
        <v>0</v>
      </c>
      <c r="AC34" s="127">
        <f>+Actuals!Z138</f>
        <v>0</v>
      </c>
      <c r="AD34" s="126">
        <f>+Actuals!AA138</f>
        <v>0</v>
      </c>
      <c r="AE34" s="127">
        <f>+Actuals!AB138</f>
        <v>0</v>
      </c>
      <c r="AF34" s="126">
        <f>+Actuals!AC138</f>
        <v>0</v>
      </c>
      <c r="AG34" s="127">
        <f>+Actuals!AD138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6">
        <f>+Actuals!E139</f>
        <v>0</v>
      </c>
      <c r="I35" s="127">
        <f>+Actuals!F139</f>
        <v>0</v>
      </c>
      <c r="J35" s="126">
        <f>+Actuals!G139</f>
        <v>0</v>
      </c>
      <c r="K35" s="127">
        <f>+Actuals!H139</f>
        <v>0</v>
      </c>
      <c r="L35" s="126">
        <f>+Actuals!I139</f>
        <v>0</v>
      </c>
      <c r="M35" s="127">
        <f>+Actuals!J139</f>
        <v>0</v>
      </c>
      <c r="N35" s="126">
        <f>+Actuals!K139</f>
        <v>0</v>
      </c>
      <c r="O35" s="127">
        <f>+Actuals!L139</f>
        <v>0</v>
      </c>
      <c r="P35" s="126">
        <f>+Actuals!M179</f>
        <v>0</v>
      </c>
      <c r="Q35" s="127">
        <f>+Actuals!N179</f>
        <v>0</v>
      </c>
      <c r="R35" s="126">
        <f>+Actuals!O179</f>
        <v>0</v>
      </c>
      <c r="S35" s="127">
        <f>+Actuals!P179</f>
        <v>0</v>
      </c>
      <c r="T35" s="126">
        <f>+Actuals!Q179</f>
        <v>0</v>
      </c>
      <c r="U35" s="127">
        <f>+Actuals!R179</f>
        <v>0</v>
      </c>
      <c r="V35" s="126">
        <f>+Actuals!S179</f>
        <v>0</v>
      </c>
      <c r="W35" s="127">
        <f>+Actuals!T179</f>
        <v>0</v>
      </c>
      <c r="X35" s="126">
        <f>+Actuals!U179</f>
        <v>0</v>
      </c>
      <c r="Y35" s="127">
        <f>+Actuals!V179</f>
        <v>0</v>
      </c>
      <c r="Z35" s="126">
        <f>+Actuals!W179</f>
        <v>0</v>
      </c>
      <c r="AA35" s="127">
        <f>+Actuals!X179</f>
        <v>0</v>
      </c>
      <c r="AB35" s="126">
        <f>+Actuals!Y139</f>
        <v>0</v>
      </c>
      <c r="AC35" s="127">
        <f>+Actuals!Z139</f>
        <v>0</v>
      </c>
      <c r="AD35" s="126">
        <f>+Actuals!AA139</f>
        <v>0</v>
      </c>
      <c r="AE35" s="127">
        <f>+Actuals!AB139</f>
        <v>0</v>
      </c>
      <c r="AF35" s="126">
        <f>+Actuals!AC139</f>
        <v>0</v>
      </c>
      <c r="AG35" s="127">
        <f>+Actuals!AD139</f>
        <v>0</v>
      </c>
    </row>
    <row r="36" spans="1:33" x14ac:dyDescent="0.25">
      <c r="A36" s="9"/>
      <c r="B36" s="7" t="s">
        <v>43</v>
      </c>
      <c r="C36" s="6"/>
      <c r="D36" s="61">
        <f t="shared" ref="D36:I36" si="12">SUM(D32:D35)</f>
        <v>-39574</v>
      </c>
      <c r="E36" s="39">
        <f t="shared" si="12"/>
        <v>-102252.84499999997</v>
      </c>
      <c r="F36" s="61">
        <f t="shared" si="12"/>
        <v>0</v>
      </c>
      <c r="G36" s="39">
        <f t="shared" si="12"/>
        <v>0</v>
      </c>
      <c r="H36" s="61">
        <f t="shared" si="12"/>
        <v>-361772</v>
      </c>
      <c r="I36" s="39">
        <f t="shared" si="12"/>
        <v>-927945.18</v>
      </c>
      <c r="J36" s="61">
        <f t="shared" ref="J36:AE36" si="13">SUM(J32:J35)</f>
        <v>755392</v>
      </c>
      <c r="K36" s="39">
        <f t="shared" si="13"/>
        <v>1937148.54</v>
      </c>
      <c r="L36" s="61">
        <f t="shared" si="13"/>
        <v>-102088</v>
      </c>
      <c r="M36" s="39">
        <f t="shared" si="13"/>
        <v>-261849.255</v>
      </c>
      <c r="N36" s="61">
        <f t="shared" si="13"/>
        <v>4287</v>
      </c>
      <c r="O36" s="39">
        <f t="shared" si="13"/>
        <v>10503.404999999999</v>
      </c>
      <c r="P36" s="61">
        <f t="shared" si="13"/>
        <v>-500797</v>
      </c>
      <c r="Q36" s="39">
        <f t="shared" si="13"/>
        <v>-1284544.2850000001</v>
      </c>
      <c r="R36" s="61">
        <f t="shared" ref="R36:W36" si="14">SUM(R32:R35)</f>
        <v>0</v>
      </c>
      <c r="S36" s="39">
        <f t="shared" si="14"/>
        <v>0</v>
      </c>
      <c r="T36" s="61">
        <f t="shared" si="14"/>
        <v>-10</v>
      </c>
      <c r="U36" s="39">
        <f t="shared" si="14"/>
        <v>147.01999999999998</v>
      </c>
      <c r="V36" s="61">
        <f t="shared" si="14"/>
        <v>0</v>
      </c>
      <c r="W36" s="39">
        <f t="shared" si="14"/>
        <v>0</v>
      </c>
      <c r="X36" s="61">
        <f>SUM(X32:X35)</f>
        <v>0</v>
      </c>
      <c r="Y36" s="39">
        <f>SUM(Y32:Y35)</f>
        <v>0</v>
      </c>
      <c r="Z36" s="61">
        <f>SUM(Z32:Z35)</f>
        <v>84</v>
      </c>
      <c r="AA36" s="39">
        <f>SUM(AA32:AA35)</f>
        <v>215.46</v>
      </c>
      <c r="AB36" s="61">
        <f t="shared" si="13"/>
        <v>165330</v>
      </c>
      <c r="AC36" s="39">
        <f t="shared" si="13"/>
        <v>424071.45</v>
      </c>
      <c r="AD36" s="61">
        <f t="shared" si="13"/>
        <v>0</v>
      </c>
      <c r="AE36" s="39">
        <f t="shared" si="13"/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SUM(F39,H39,J39,L39,N39,P39,R39,T39,V39,X39,Z39,AB39,AD39,AF39)</f>
        <v>690416</v>
      </c>
      <c r="E39" s="38">
        <f t="shared" si="15"/>
        <v>1771475.08</v>
      </c>
      <c r="F39" s="64">
        <f>'TIE-OUT'!F39+RECLASS!F39</f>
        <v>0</v>
      </c>
      <c r="G39" s="68">
        <f>'TIE-OUT'!G39+RECLASS!G39</f>
        <v>0</v>
      </c>
      <c r="H39" s="126">
        <f>+Actuals!E140</f>
        <v>0</v>
      </c>
      <c r="I39" s="127">
        <f>+Actuals!F140</f>
        <v>0</v>
      </c>
      <c r="J39" s="126">
        <f>+Actuals!G140</f>
        <v>11752</v>
      </c>
      <c r="K39" s="127">
        <f>+Actuals!H140</f>
        <v>30701.91</v>
      </c>
      <c r="L39" s="126">
        <f>+Actuals!I140</f>
        <v>120920</v>
      </c>
      <c r="M39" s="127">
        <f>+Actuals!J140</f>
        <v>310159.81</v>
      </c>
      <c r="N39" s="126">
        <f>+Actuals!K140</f>
        <v>0</v>
      </c>
      <c r="O39" s="127">
        <f>+Actuals!L140</f>
        <v>0</v>
      </c>
      <c r="P39" s="126">
        <f>+Actuals!M180</f>
        <v>500000</v>
      </c>
      <c r="Q39" s="127">
        <f>+Actuals!N180</f>
        <v>1282500</v>
      </c>
      <c r="R39" s="126">
        <f>+Actuals!O180</f>
        <v>0</v>
      </c>
      <c r="S39" s="127">
        <f>+Actuals!P180</f>
        <v>0</v>
      </c>
      <c r="T39" s="126">
        <f>+Actuals!Q180</f>
        <v>0</v>
      </c>
      <c r="U39" s="127">
        <f>+Actuals!R180</f>
        <v>0</v>
      </c>
      <c r="V39" s="126">
        <f>+Actuals!S180</f>
        <v>0</v>
      </c>
      <c r="W39" s="127">
        <f>+Actuals!T180</f>
        <v>0</v>
      </c>
      <c r="X39" s="126">
        <f>+Actuals!U180</f>
        <v>0</v>
      </c>
      <c r="Y39" s="127">
        <f>+Actuals!V180</f>
        <v>0</v>
      </c>
      <c r="Z39" s="126">
        <f>+Actuals!W180</f>
        <v>0</v>
      </c>
      <c r="AA39" s="127">
        <f>+Actuals!X180</f>
        <v>0</v>
      </c>
      <c r="AB39" s="126">
        <f>+Actuals!Y140</f>
        <v>0</v>
      </c>
      <c r="AC39" s="127">
        <f>+Actuals!Z140</f>
        <v>0</v>
      </c>
      <c r="AD39" s="126">
        <f>+Actuals!AA140</f>
        <v>0</v>
      </c>
      <c r="AE39" s="127">
        <f>+Actuals!AB140</f>
        <v>0</v>
      </c>
      <c r="AF39" s="126">
        <v>57744</v>
      </c>
      <c r="AG39" s="127">
        <v>148113.35999999999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5"/>
        <v>-611792</v>
      </c>
      <c r="E40" s="38">
        <f t="shared" si="15"/>
        <v>-1434354.06</v>
      </c>
      <c r="F40" s="60">
        <f>'TIE-OUT'!F40+RECLASS!F40</f>
        <v>0</v>
      </c>
      <c r="G40" s="38">
        <f>'TIE-OUT'!G40+RECLASS!G40</f>
        <v>0</v>
      </c>
      <c r="H40" s="126">
        <f>+Actuals!E141</f>
        <v>-300657</v>
      </c>
      <c r="I40" s="127">
        <f>+Actuals!F141</f>
        <v>-625335.89</v>
      </c>
      <c r="J40" s="126">
        <f>+Actuals!G141</f>
        <v>-258</v>
      </c>
      <c r="K40" s="127">
        <f>+Actuals!H141</f>
        <v>-642.97</v>
      </c>
      <c r="L40" s="126">
        <f>+Actuals!I141</f>
        <v>-310877</v>
      </c>
      <c r="M40" s="127">
        <f>+Actuals!J141</f>
        <v>-808375.2</v>
      </c>
      <c r="N40" s="126">
        <f>+Actuals!K141</f>
        <v>0</v>
      </c>
      <c r="O40" s="127">
        <f>+Actuals!L141</f>
        <v>0</v>
      </c>
      <c r="P40" s="126">
        <f>+Actuals!M181</f>
        <v>0</v>
      </c>
      <c r="Q40" s="127">
        <f>+Actuals!N181</f>
        <v>0</v>
      </c>
      <c r="R40" s="126">
        <f>+Actuals!O181</f>
        <v>0</v>
      </c>
      <c r="S40" s="127">
        <f>+Actuals!P181</f>
        <v>0</v>
      </c>
      <c r="T40" s="126">
        <f>+Actuals!Q181</f>
        <v>0</v>
      </c>
      <c r="U40" s="127">
        <f>+Actuals!R181</f>
        <v>0</v>
      </c>
      <c r="V40" s="126">
        <f>+Actuals!S181</f>
        <v>0</v>
      </c>
      <c r="W40" s="127">
        <f>+Actuals!T181</f>
        <v>0</v>
      </c>
      <c r="X40" s="126">
        <f>+Actuals!U181</f>
        <v>0</v>
      </c>
      <c r="Y40" s="127">
        <f>+Actuals!V181</f>
        <v>0</v>
      </c>
      <c r="Z40" s="126">
        <f>+Actuals!W181</f>
        <v>0</v>
      </c>
      <c r="AA40" s="127">
        <f>+Actuals!X181</f>
        <v>0</v>
      </c>
      <c r="AB40" s="126">
        <f>+Actuals!Y141</f>
        <v>0</v>
      </c>
      <c r="AC40" s="127">
        <f>+Actuals!Z141</f>
        <v>0</v>
      </c>
      <c r="AD40" s="126">
        <f>+Actuals!AA141</f>
        <v>0</v>
      </c>
      <c r="AE40" s="127">
        <f>+Actuals!AB141</f>
        <v>0</v>
      </c>
      <c r="AF40" s="126">
        <f>+Actuals!AC141</f>
        <v>0</v>
      </c>
      <c r="AG40" s="127">
        <f>+Actuals!AD141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6">
        <f>+Actuals!E142</f>
        <v>0</v>
      </c>
      <c r="I41" s="127">
        <f>+Actuals!F142</f>
        <v>0</v>
      </c>
      <c r="J41" s="126">
        <f>+Actuals!G142</f>
        <v>0</v>
      </c>
      <c r="K41" s="127">
        <f>+Actuals!H142</f>
        <v>0</v>
      </c>
      <c r="L41" s="126">
        <f>+Actuals!I142</f>
        <v>0</v>
      </c>
      <c r="M41" s="127">
        <f>+Actuals!J142</f>
        <v>0</v>
      </c>
      <c r="N41" s="126">
        <f>+Actuals!K142</f>
        <v>0</v>
      </c>
      <c r="O41" s="127">
        <f>+Actuals!L142</f>
        <v>0</v>
      </c>
      <c r="P41" s="126">
        <f>+Actuals!M182</f>
        <v>0</v>
      </c>
      <c r="Q41" s="127">
        <f>+Actuals!N182</f>
        <v>0</v>
      </c>
      <c r="R41" s="126">
        <f>+Actuals!O182</f>
        <v>0</v>
      </c>
      <c r="S41" s="127">
        <f>+Actuals!P182</f>
        <v>0</v>
      </c>
      <c r="T41" s="126">
        <f>+Actuals!Q182</f>
        <v>0</v>
      </c>
      <c r="U41" s="127">
        <f>+Actuals!R182</f>
        <v>0</v>
      </c>
      <c r="V41" s="126">
        <f>+Actuals!S182</f>
        <v>0</v>
      </c>
      <c r="W41" s="127">
        <f>+Actuals!T182</f>
        <v>0</v>
      </c>
      <c r="X41" s="126">
        <f>+Actuals!U182</f>
        <v>0</v>
      </c>
      <c r="Y41" s="127">
        <f>+Actuals!V182</f>
        <v>0</v>
      </c>
      <c r="Z41" s="126">
        <f>+Actuals!W182</f>
        <v>0</v>
      </c>
      <c r="AA41" s="127">
        <f>+Actuals!X182</f>
        <v>0</v>
      </c>
      <c r="AB41" s="126">
        <f>+Actuals!Y142</f>
        <v>0</v>
      </c>
      <c r="AC41" s="127">
        <f>+Actuals!Z142</f>
        <v>0</v>
      </c>
      <c r="AD41" s="126">
        <f>+Actuals!AA142</f>
        <v>0</v>
      </c>
      <c r="AE41" s="127">
        <f>+Actuals!AB142</f>
        <v>0</v>
      </c>
      <c r="AF41" s="126">
        <f>+Actuals!AC142</f>
        <v>0</v>
      </c>
      <c r="AG41" s="127">
        <f>+Actuals!AD142</f>
        <v>0</v>
      </c>
    </row>
    <row r="42" spans="1:33" x14ac:dyDescent="0.25">
      <c r="A42" s="9"/>
      <c r="B42" s="7"/>
      <c r="C42" s="53" t="s">
        <v>48</v>
      </c>
      <c r="D42" s="61">
        <f t="shared" ref="D42:I42" si="16">SUM(D40:D41)</f>
        <v>-611792</v>
      </c>
      <c r="E42" s="39">
        <f t="shared" si="16"/>
        <v>-1434354.06</v>
      </c>
      <c r="F42" s="61">
        <f t="shared" si="16"/>
        <v>0</v>
      </c>
      <c r="G42" s="39">
        <f t="shared" si="16"/>
        <v>0</v>
      </c>
      <c r="H42" s="61">
        <f t="shared" si="16"/>
        <v>-300657</v>
      </c>
      <c r="I42" s="39">
        <f t="shared" si="16"/>
        <v>-625335.89</v>
      </c>
      <c r="J42" s="61">
        <f t="shared" ref="J42:AE42" si="17">SUM(J40:J41)</f>
        <v>-258</v>
      </c>
      <c r="K42" s="39">
        <f t="shared" si="17"/>
        <v>-642.97</v>
      </c>
      <c r="L42" s="61">
        <f t="shared" si="17"/>
        <v>-310877</v>
      </c>
      <c r="M42" s="39">
        <f t="shared" si="17"/>
        <v>-808375.2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ref="R42:W42" si="18">SUM(R40:R41)</f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 t="shared" si="18"/>
        <v>0</v>
      </c>
      <c r="W42" s="39">
        <f t="shared" si="18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I43" si="19">D42+D39</f>
        <v>78624</v>
      </c>
      <c r="E43" s="39">
        <f t="shared" si="19"/>
        <v>337121.02</v>
      </c>
      <c r="F43" s="61">
        <f t="shared" si="19"/>
        <v>0</v>
      </c>
      <c r="G43" s="39">
        <f t="shared" si="19"/>
        <v>0</v>
      </c>
      <c r="H43" s="61">
        <f t="shared" si="19"/>
        <v>-300657</v>
      </c>
      <c r="I43" s="39">
        <f t="shared" si="19"/>
        <v>-625335.89</v>
      </c>
      <c r="J43" s="61">
        <f t="shared" ref="J43:AE43" si="20">J42+J39</f>
        <v>11494</v>
      </c>
      <c r="K43" s="39">
        <f t="shared" si="20"/>
        <v>30058.94</v>
      </c>
      <c r="L43" s="61">
        <f t="shared" si="20"/>
        <v>-189957</v>
      </c>
      <c r="M43" s="39">
        <f t="shared" si="20"/>
        <v>-498215.38999999996</v>
      </c>
      <c r="N43" s="61">
        <f t="shared" si="20"/>
        <v>0</v>
      </c>
      <c r="O43" s="39">
        <f t="shared" si="20"/>
        <v>0</v>
      </c>
      <c r="P43" s="61">
        <f t="shared" si="20"/>
        <v>500000</v>
      </c>
      <c r="Q43" s="39">
        <f t="shared" si="20"/>
        <v>1282500</v>
      </c>
      <c r="R43" s="61">
        <f t="shared" ref="R43:W43" si="21">R42+R39</f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 t="shared" si="21"/>
        <v>0</v>
      </c>
      <c r="W43" s="39">
        <f t="shared" si="21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>AF42+AF39</f>
        <v>57744</v>
      </c>
      <c r="AG43" s="39">
        <f>AG42+AG39</f>
        <v>148113.35999999999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'TIE-OUT'!F45+RECLASS!F45</f>
        <v>0</v>
      </c>
      <c r="G45" s="68">
        <f>'TIE-OUT'!G45+RECLASS!G45</f>
        <v>0</v>
      </c>
      <c r="H45" s="126">
        <f>+Actuals!E143</f>
        <v>0</v>
      </c>
      <c r="I45" s="127">
        <f>+Actuals!F143</f>
        <v>0</v>
      </c>
      <c r="J45" s="126">
        <f>+Actuals!G143</f>
        <v>0</v>
      </c>
      <c r="K45" s="127">
        <f>+Actuals!H143</f>
        <v>0</v>
      </c>
      <c r="L45" s="126">
        <f>+Actuals!I143</f>
        <v>0</v>
      </c>
      <c r="M45" s="127">
        <f>+Actuals!J143</f>
        <v>0</v>
      </c>
      <c r="N45" s="126">
        <f>+Actuals!K143</f>
        <v>0</v>
      </c>
      <c r="O45" s="127">
        <f>+Actuals!L143</f>
        <v>0</v>
      </c>
      <c r="P45" s="126">
        <f>+Actuals!M183</f>
        <v>0</v>
      </c>
      <c r="Q45" s="127">
        <f>+Actuals!N183</f>
        <v>0</v>
      </c>
      <c r="R45" s="126">
        <f>+Actuals!O183</f>
        <v>0</v>
      </c>
      <c r="S45" s="127">
        <f>+Actuals!P183</f>
        <v>0</v>
      </c>
      <c r="T45" s="126">
        <f>+Actuals!Q183</f>
        <v>0</v>
      </c>
      <c r="U45" s="127">
        <f>+Actuals!R183</f>
        <v>0</v>
      </c>
      <c r="V45" s="126">
        <f>+Actuals!S183</f>
        <v>0</v>
      </c>
      <c r="W45" s="127">
        <f>+Actuals!T183</f>
        <v>0</v>
      </c>
      <c r="X45" s="126">
        <f>+Actuals!U183</f>
        <v>0</v>
      </c>
      <c r="Y45" s="127">
        <f>+Actuals!V183</f>
        <v>0</v>
      </c>
      <c r="Z45" s="126">
        <f>+Actuals!W183</f>
        <v>0</v>
      </c>
      <c r="AA45" s="127">
        <f>+Actuals!X183</f>
        <v>0</v>
      </c>
      <c r="AB45" s="126">
        <f>+Actuals!Y143</f>
        <v>0</v>
      </c>
      <c r="AC45" s="127">
        <f>+Actuals!Z143</f>
        <v>0</v>
      </c>
      <c r="AD45" s="126">
        <f>+Actuals!AA143</f>
        <v>0</v>
      </c>
      <c r="AE45" s="127">
        <f>+Actuals!AB143</f>
        <v>0</v>
      </c>
      <c r="AF45" s="126">
        <f>+Actuals!AC143</f>
        <v>0</v>
      </c>
      <c r="AG45" s="127">
        <f>+Actuals!AD143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'TIE-OUT'!F47+RECLASS!F47</f>
        <v>0</v>
      </c>
      <c r="G47" s="38">
        <f>'TIE-OUT'!G47+RECLASS!G47</f>
        <v>0</v>
      </c>
      <c r="H47" s="126">
        <f>+Actuals!E144</f>
        <v>0</v>
      </c>
      <c r="I47" s="127">
        <f>+Actuals!F144</f>
        <v>0</v>
      </c>
      <c r="J47" s="126">
        <f>+Actuals!G144</f>
        <v>0</v>
      </c>
      <c r="K47" s="127">
        <f>+Actuals!H144</f>
        <v>0</v>
      </c>
      <c r="L47" s="126">
        <f>+Actuals!I144</f>
        <v>0</v>
      </c>
      <c r="M47" s="127">
        <f>+Actuals!J144</f>
        <v>0</v>
      </c>
      <c r="N47" s="126">
        <f>+Actuals!K144</f>
        <v>0</v>
      </c>
      <c r="O47" s="127">
        <f>+Actuals!L144</f>
        <v>0</v>
      </c>
      <c r="P47" s="126">
        <f>+Actuals!M184</f>
        <v>0</v>
      </c>
      <c r="Q47" s="127">
        <f>+Actuals!N184</f>
        <v>0</v>
      </c>
      <c r="R47" s="126">
        <f>+Actuals!O184</f>
        <v>0</v>
      </c>
      <c r="S47" s="127">
        <f>+Actuals!P184</f>
        <v>0</v>
      </c>
      <c r="T47" s="126">
        <f>+Actuals!Q184</f>
        <v>0</v>
      </c>
      <c r="U47" s="127">
        <f>+Actuals!R184</f>
        <v>0</v>
      </c>
      <c r="V47" s="126">
        <f>+Actuals!S184</f>
        <v>0</v>
      </c>
      <c r="W47" s="127">
        <f>+Actuals!T184</f>
        <v>0</v>
      </c>
      <c r="X47" s="126">
        <f>+Actuals!U184</f>
        <v>0</v>
      </c>
      <c r="Y47" s="127">
        <f>+Actuals!V184</f>
        <v>0</v>
      </c>
      <c r="Z47" s="126">
        <f>+Actuals!W184</f>
        <v>0</v>
      </c>
      <c r="AA47" s="127">
        <f>+Actuals!X184</f>
        <v>0</v>
      </c>
      <c r="AB47" s="126">
        <f>+Actuals!Y144</f>
        <v>0</v>
      </c>
      <c r="AC47" s="127">
        <f>+Actuals!Z144</f>
        <v>0</v>
      </c>
      <c r="AD47" s="126">
        <f>+Actuals!AA144</f>
        <v>0</v>
      </c>
      <c r="AE47" s="127">
        <f>+Actuals!AB144</f>
        <v>0</v>
      </c>
      <c r="AF47" s="126">
        <f>+Actuals!AC144</f>
        <v>0</v>
      </c>
      <c r="AG47" s="127">
        <f>+Actuals!AD144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-56346</v>
      </c>
      <c r="E49" s="38">
        <f>SUM(G49,I49,K49,M49,O49,Q49,S49,U49,W49,Y49,AA49,AC49,AE49,AG49)</f>
        <v>-144527.49000000081</v>
      </c>
      <c r="F49" s="60">
        <f>'TIE-OUT'!F49+RECLASS!F49</f>
        <v>0</v>
      </c>
      <c r="G49" s="38">
        <f>'TIE-OUT'!G49+RECLASS!G49</f>
        <v>0</v>
      </c>
      <c r="H49" s="126">
        <f>+Actuals!E145</f>
        <v>-21112</v>
      </c>
      <c r="I49" s="127">
        <f>+Actuals!F145</f>
        <v>-54152.28</v>
      </c>
      <c r="J49" s="126">
        <f>+Actuals!G145</f>
        <v>-383119</v>
      </c>
      <c r="K49" s="127">
        <f>+Actuals!H145</f>
        <v>-982700.23499999999</v>
      </c>
      <c r="L49" s="126">
        <f>+Actuals!I145</f>
        <v>-646731</v>
      </c>
      <c r="M49" s="127">
        <f>+Actuals!J145</f>
        <v>-1658865.0149999999</v>
      </c>
      <c r="N49" s="126">
        <f>+Actuals!K145</f>
        <v>-661476</v>
      </c>
      <c r="O49" s="127">
        <f>+Actuals!L145</f>
        <v>-1696685.94</v>
      </c>
      <c r="P49" s="126">
        <f>+Actuals!M185</f>
        <v>-302594</v>
      </c>
      <c r="Q49" s="127">
        <f>+Actuals!N185</f>
        <v>-776153.61</v>
      </c>
      <c r="R49" s="126">
        <f>+Actuals!O185</f>
        <v>4</v>
      </c>
      <c r="S49" s="127">
        <f>+Actuals!P185</f>
        <v>10.26</v>
      </c>
      <c r="T49" s="126">
        <f>+Actuals!Q185</f>
        <v>292561</v>
      </c>
      <c r="U49" s="127">
        <f>+Actuals!R185</f>
        <v>750418.96499999997</v>
      </c>
      <c r="V49" s="126">
        <f>+Actuals!S185</f>
        <v>0</v>
      </c>
      <c r="W49" s="127">
        <f>+Actuals!T185</f>
        <v>0</v>
      </c>
      <c r="X49" s="126">
        <f>+Actuals!U185</f>
        <v>0</v>
      </c>
      <c r="Y49" s="127">
        <f>+Actuals!V185</f>
        <v>0</v>
      </c>
      <c r="Z49" s="126">
        <f>+Actuals!W185</f>
        <v>1723865</v>
      </c>
      <c r="AA49" s="127">
        <f>+Actuals!X185</f>
        <v>4421713.7249999996</v>
      </c>
      <c r="AB49" s="126">
        <f>+Actuals!Y145</f>
        <v>0</v>
      </c>
      <c r="AC49" s="127">
        <f>+Actuals!Z145</f>
        <v>0</v>
      </c>
      <c r="AD49" s="126">
        <f>+Actuals!AA145</f>
        <v>0</v>
      </c>
      <c r="AE49" s="127">
        <f>+Actuals!AB145</f>
        <v>0</v>
      </c>
      <c r="AF49" s="126">
        <v>-57744</v>
      </c>
      <c r="AG49" s="127">
        <v>-148113.35999999999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-326266</v>
      </c>
      <c r="E51" s="38">
        <f>SUM(G51,I51,K51,M51,O51,Q51,S51,U51,W51,Y51,AA51,AC51,AE51,AG51)</f>
        <v>-836872.29000000027</v>
      </c>
      <c r="F51" s="60">
        <f>'TIE-OUT'!F51+RECLASS!F51</f>
        <v>0</v>
      </c>
      <c r="G51" s="38">
        <f>'TIE-OUT'!G51+RECLASS!G51</f>
        <v>0</v>
      </c>
      <c r="H51" s="126">
        <f>+Actuals!E146</f>
        <v>-871623</v>
      </c>
      <c r="I51" s="127">
        <f>+Actuals!F146</f>
        <v>-2235712.9950000001</v>
      </c>
      <c r="J51" s="126">
        <f>+Actuals!G146</f>
        <v>379553</v>
      </c>
      <c r="K51" s="127">
        <f>+Actuals!H146</f>
        <v>973553.44499999995</v>
      </c>
      <c r="L51" s="126">
        <f>+Actuals!I146</f>
        <v>565</v>
      </c>
      <c r="M51" s="127">
        <f>+Actuals!J146</f>
        <v>1449.2249999999999</v>
      </c>
      <c r="N51" s="126">
        <f>+Actuals!K146</f>
        <v>-91</v>
      </c>
      <c r="O51" s="127">
        <f>+Actuals!L146</f>
        <v>-233.41499999999999</v>
      </c>
      <c r="P51" s="126">
        <f>+Actuals!M186</f>
        <v>0</v>
      </c>
      <c r="Q51" s="127">
        <f>+Actuals!N186</f>
        <v>0</v>
      </c>
      <c r="R51" s="126">
        <f>+Actuals!O186</f>
        <v>0</v>
      </c>
      <c r="S51" s="127">
        <f>+Actuals!P186</f>
        <v>0</v>
      </c>
      <c r="T51" s="126">
        <f>+Actuals!Q186</f>
        <v>0</v>
      </c>
      <c r="U51" s="127">
        <f>+Actuals!R186</f>
        <v>0</v>
      </c>
      <c r="V51" s="126">
        <f>+Actuals!S186</f>
        <v>0</v>
      </c>
      <c r="W51" s="127">
        <f>+Actuals!T186</f>
        <v>0</v>
      </c>
      <c r="X51" s="126">
        <f>+Actuals!U186</f>
        <v>0</v>
      </c>
      <c r="Y51" s="127">
        <f>+Actuals!V186</f>
        <v>0</v>
      </c>
      <c r="Z51" s="126">
        <f>+Actuals!W186</f>
        <v>0</v>
      </c>
      <c r="AA51" s="127">
        <f>+Actuals!X186</f>
        <v>0</v>
      </c>
      <c r="AB51" s="126">
        <v>165330</v>
      </c>
      <c r="AC51" s="127">
        <v>424071.45</v>
      </c>
      <c r="AD51" s="126">
        <f>+Actuals!AA146</f>
        <v>0</v>
      </c>
      <c r="AE51" s="127">
        <f>+Actuals!AB146</f>
        <v>0</v>
      </c>
      <c r="AF51" s="126">
        <f>+Actuals!AC146</f>
        <v>0</v>
      </c>
      <c r="AG51" s="127">
        <f>+Actuals!AD146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-32747784</v>
      </c>
      <c r="E54" s="38">
        <f>SUM(G54,I54,K54,M54,O54,Q54,S54,U54,W54,Y54,AA54,AC54,AE54,AG54)</f>
        <v>-143938.09000000003</v>
      </c>
      <c r="F54" s="64">
        <f>'TIE-OUT'!F54+RECLASS!F54</f>
        <v>0</v>
      </c>
      <c r="G54" s="68">
        <f>'TIE-OUT'!G54+RECLASS!G54</f>
        <v>80593</v>
      </c>
      <c r="H54" s="126">
        <f>+Actuals!E147</f>
        <v>-33674670</v>
      </c>
      <c r="I54" s="127">
        <f>+Actuals!F147</f>
        <v>-249692.12</v>
      </c>
      <c r="J54" s="126">
        <f>+Actuals!G147</f>
        <v>-843727</v>
      </c>
      <c r="K54" s="127">
        <f>+Actuals!H147</f>
        <v>38745.93</v>
      </c>
      <c r="L54" s="126">
        <f>+Actuals!I147</f>
        <v>2919574</v>
      </c>
      <c r="M54" s="127">
        <f>+Actuals!J147</f>
        <v>12840.64</v>
      </c>
      <c r="N54" s="126">
        <f>+Actuals!K147</f>
        <v>3259</v>
      </c>
      <c r="O54" s="127">
        <f>+Actuals!L147</f>
        <v>-1823.61</v>
      </c>
      <c r="P54" s="126">
        <f>+Actuals!M187</f>
        <v>-499998</v>
      </c>
      <c r="Q54" s="127">
        <f>+Actuals!N187</f>
        <v>-24604.11</v>
      </c>
      <c r="R54" s="126">
        <f>+Actuals!O187</f>
        <v>-1328</v>
      </c>
      <c r="S54" s="127">
        <f>+Actuals!P187</f>
        <v>-24.26</v>
      </c>
      <c r="T54" s="126">
        <f>+Actuals!Q187</f>
        <v>-14</v>
      </c>
      <c r="U54" s="127">
        <f>+Actuals!R187</f>
        <v>90.440000000000055</v>
      </c>
      <c r="V54" s="126">
        <f>+Actuals!S187</f>
        <v>-210113</v>
      </c>
      <c r="W54" s="127">
        <f>+Actuals!T187</f>
        <v>9902.1</v>
      </c>
      <c r="X54" s="126">
        <f>+Actuals!U187</f>
        <v>-761700</v>
      </c>
      <c r="Y54" s="127">
        <f>+Actuals!V187</f>
        <v>-9902.1</v>
      </c>
      <c r="Z54" s="126">
        <f>+Actuals!W187</f>
        <v>0</v>
      </c>
      <c r="AA54" s="127">
        <f>+Actuals!X187</f>
        <v>0</v>
      </c>
      <c r="AB54" s="126">
        <f>+Actuals!Y147</f>
        <v>0</v>
      </c>
      <c r="AC54" s="127">
        <f>+Actuals!Z147</f>
        <v>0</v>
      </c>
      <c r="AD54" s="126">
        <f>+Actuals!AA147</f>
        <v>0</v>
      </c>
      <c r="AE54" s="127">
        <f>+Actuals!AB147</f>
        <v>0</v>
      </c>
      <c r="AF54" s="126">
        <v>320933</v>
      </c>
      <c r="AG54" s="127">
        <v>-64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-710722.96999999986</v>
      </c>
      <c r="F55" s="81">
        <f>'TIE-OUT'!F55+RECLASS!F55</f>
        <v>0</v>
      </c>
      <c r="G55" s="82">
        <f>'TIE-OUT'!G55+RECLASS!G55</f>
        <v>1393675</v>
      </c>
      <c r="H55" s="126">
        <f>+Actuals!E148</f>
        <v>0</v>
      </c>
      <c r="I55" s="127">
        <f>+Actuals!F148</f>
        <v>-2087224.14</v>
      </c>
      <c r="J55" s="126">
        <f>+Actuals!G148</f>
        <v>0</v>
      </c>
      <c r="K55" s="127">
        <f>+Actuals!H148</f>
        <v>-42916.83</v>
      </c>
      <c r="L55" s="126">
        <f>+Actuals!I148</f>
        <v>0</v>
      </c>
      <c r="M55" s="127">
        <f>+Actuals!J148</f>
        <v>49598</v>
      </c>
      <c r="N55" s="126">
        <f>+Actuals!K148</f>
        <v>0</v>
      </c>
      <c r="O55" s="127">
        <f>+Actuals!L148</f>
        <v>-9300</v>
      </c>
      <c r="P55" s="126">
        <f>+Actuals!M188</f>
        <v>0</v>
      </c>
      <c r="Q55" s="127">
        <f>+Actuals!N188</f>
        <v>0</v>
      </c>
      <c r="R55" s="126">
        <f>+Actuals!O188</f>
        <v>0</v>
      </c>
      <c r="S55" s="127">
        <f>+Actuals!P188</f>
        <v>-14555</v>
      </c>
      <c r="T55" s="126">
        <f>+Actuals!Q188</f>
        <v>0</v>
      </c>
      <c r="U55" s="127">
        <f>+Actuals!R188</f>
        <v>0</v>
      </c>
      <c r="V55" s="126">
        <f>+Actuals!S188</f>
        <v>0</v>
      </c>
      <c r="W55" s="127">
        <f>+Actuals!T188</f>
        <v>0</v>
      </c>
      <c r="X55" s="126">
        <f>+Actuals!U188</f>
        <v>0</v>
      </c>
      <c r="Y55" s="127">
        <f>+Actuals!V188</f>
        <v>0</v>
      </c>
      <c r="Z55" s="126">
        <f>+Actuals!W188</f>
        <v>0</v>
      </c>
      <c r="AA55" s="127">
        <f>+Actuals!X188</f>
        <v>0</v>
      </c>
      <c r="AB55" s="126">
        <f>+Actuals!Y148</f>
        <v>0</v>
      </c>
      <c r="AC55" s="127">
        <f>+Actuals!Z148</f>
        <v>0</v>
      </c>
      <c r="AD55" s="126">
        <f>+Actuals!AA148</f>
        <v>0</v>
      </c>
      <c r="AE55" s="127">
        <f>+Actuals!AB148</f>
        <v>0</v>
      </c>
      <c r="AF55" s="126">
        <f>+Actuals!AC148</f>
        <v>0</v>
      </c>
      <c r="AG55" s="127">
        <f>+Actuals!AD148</f>
        <v>0</v>
      </c>
    </row>
    <row r="56" spans="1:33" x14ac:dyDescent="0.25">
      <c r="A56" s="9"/>
      <c r="B56" s="7" t="s">
        <v>57</v>
      </c>
      <c r="C56" s="6"/>
      <c r="D56" s="61">
        <f t="shared" ref="D56:I56" si="22">SUM(D54:D55)</f>
        <v>-32747784</v>
      </c>
      <c r="E56" s="39">
        <f t="shared" si="22"/>
        <v>-854661.05999999982</v>
      </c>
      <c r="F56" s="61">
        <f t="shared" si="22"/>
        <v>0</v>
      </c>
      <c r="G56" s="39">
        <f t="shared" si="22"/>
        <v>1474268</v>
      </c>
      <c r="H56" s="61">
        <f t="shared" si="22"/>
        <v>-33674670</v>
      </c>
      <c r="I56" s="39">
        <f t="shared" si="22"/>
        <v>-2336916.2599999998</v>
      </c>
      <c r="J56" s="61">
        <f t="shared" ref="J56:AE56" si="23">SUM(J54:J55)</f>
        <v>-843727</v>
      </c>
      <c r="K56" s="39">
        <f t="shared" si="23"/>
        <v>-4170.9000000000015</v>
      </c>
      <c r="L56" s="61">
        <f t="shared" si="23"/>
        <v>2919574</v>
      </c>
      <c r="M56" s="39">
        <f t="shared" si="23"/>
        <v>62438.64</v>
      </c>
      <c r="N56" s="61">
        <f t="shared" si="23"/>
        <v>3259</v>
      </c>
      <c r="O56" s="39">
        <f t="shared" si="23"/>
        <v>-11123.61</v>
      </c>
      <c r="P56" s="61">
        <f t="shared" si="23"/>
        <v>-499998</v>
      </c>
      <c r="Q56" s="39">
        <f t="shared" si="23"/>
        <v>-24604.11</v>
      </c>
      <c r="R56" s="61">
        <f t="shared" ref="R56:W56" si="24">SUM(R54:R55)</f>
        <v>-1328</v>
      </c>
      <c r="S56" s="39">
        <f t="shared" si="24"/>
        <v>-14579.26</v>
      </c>
      <c r="T56" s="61">
        <f t="shared" si="24"/>
        <v>-14</v>
      </c>
      <c r="U56" s="39">
        <f t="shared" si="24"/>
        <v>90.440000000000055</v>
      </c>
      <c r="V56" s="61">
        <f t="shared" si="24"/>
        <v>-210113</v>
      </c>
      <c r="W56" s="39">
        <f t="shared" si="24"/>
        <v>9902.1</v>
      </c>
      <c r="X56" s="61">
        <f>SUM(X54:X55)</f>
        <v>-761700</v>
      </c>
      <c r="Y56" s="39">
        <f>SUM(Y54:Y55)</f>
        <v>-9902.1</v>
      </c>
      <c r="Z56" s="61">
        <f>SUM(Z54:Z55)</f>
        <v>0</v>
      </c>
      <c r="AA56" s="39">
        <f>SUM(AA54:AA55)</f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>SUM(AF54:AF55)</f>
        <v>320933</v>
      </c>
      <c r="AG56" s="39">
        <f>SUM(AG54:AG55)</f>
        <v>-64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'TIE-OUT'!F59+RECLASS!F59</f>
        <v>0</v>
      </c>
      <c r="G59" s="68">
        <f>'TIE-OUT'!G59+RECLASS!G59</f>
        <v>0</v>
      </c>
      <c r="H59" s="126">
        <f>+Actuals!E149</f>
        <v>0</v>
      </c>
      <c r="I59" s="127">
        <f>+Actuals!F149</f>
        <v>0</v>
      </c>
      <c r="J59" s="126">
        <f>+Actuals!G149</f>
        <v>0</v>
      </c>
      <c r="K59" s="127">
        <f>+Actuals!H149</f>
        <v>0</v>
      </c>
      <c r="L59" s="126">
        <f>+Actuals!I149</f>
        <v>0</v>
      </c>
      <c r="M59" s="127">
        <f>+Actuals!J149</f>
        <v>0</v>
      </c>
      <c r="N59" s="126">
        <f>+Actuals!K149</f>
        <v>0</v>
      </c>
      <c r="O59" s="127">
        <f>+Actuals!L149</f>
        <v>0</v>
      </c>
      <c r="P59" s="126">
        <f>+Actuals!M189</f>
        <v>0</v>
      </c>
      <c r="Q59" s="127">
        <f>+Actuals!N189</f>
        <v>0</v>
      </c>
      <c r="R59" s="126">
        <f>+Actuals!O189</f>
        <v>0</v>
      </c>
      <c r="S59" s="127">
        <f>+Actuals!P189</f>
        <v>0</v>
      </c>
      <c r="T59" s="126">
        <f>+Actuals!Q189</f>
        <v>0</v>
      </c>
      <c r="U59" s="127">
        <f>+Actuals!R189</f>
        <v>0</v>
      </c>
      <c r="V59" s="126">
        <f>+Actuals!S189</f>
        <v>0</v>
      </c>
      <c r="W59" s="127">
        <f>+Actuals!T189</f>
        <v>0</v>
      </c>
      <c r="X59" s="126">
        <f>+Actuals!U189</f>
        <v>0</v>
      </c>
      <c r="Y59" s="127">
        <f>+Actuals!V189</f>
        <v>0</v>
      </c>
      <c r="Z59" s="126">
        <f>+Actuals!W189</f>
        <v>0</v>
      </c>
      <c r="AA59" s="127">
        <f>+Actuals!X189</f>
        <v>0</v>
      </c>
      <c r="AB59" s="126">
        <f>+Actuals!Y149</f>
        <v>0</v>
      </c>
      <c r="AC59" s="127">
        <f>+Actuals!Z149</f>
        <v>0</v>
      </c>
      <c r="AD59" s="126">
        <f>+Actuals!AA149</f>
        <v>0</v>
      </c>
      <c r="AE59" s="127">
        <f>+Actuals!AB149</f>
        <v>0</v>
      </c>
      <c r="AF59" s="126">
        <f>+Actuals!AC149</f>
        <v>0</v>
      </c>
      <c r="AG59" s="127">
        <f>+Actuals!AD149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'TIE-OUT'!F60+RECLASS!F60</f>
        <v>0</v>
      </c>
      <c r="G60" s="82">
        <f>'TIE-OUT'!G60+RECLASS!G60</f>
        <v>0</v>
      </c>
      <c r="H60" s="126">
        <f>+Actuals!E150</f>
        <v>0</v>
      </c>
      <c r="I60" s="127">
        <f>+Actuals!F150</f>
        <v>0</v>
      </c>
      <c r="J60" s="126">
        <f>+Actuals!G150</f>
        <v>0</v>
      </c>
      <c r="K60" s="127">
        <f>+Actuals!H150</f>
        <v>0</v>
      </c>
      <c r="L60" s="126">
        <f>+Actuals!I150</f>
        <v>0</v>
      </c>
      <c r="M60" s="127">
        <f>+Actuals!J150</f>
        <v>0</v>
      </c>
      <c r="N60" s="126">
        <f>+Actuals!K150</f>
        <v>0</v>
      </c>
      <c r="O60" s="127">
        <f>+Actuals!L150</f>
        <v>0</v>
      </c>
      <c r="P60" s="126">
        <f>+Actuals!M190</f>
        <v>0</v>
      </c>
      <c r="Q60" s="127">
        <f>+Actuals!N190</f>
        <v>0</v>
      </c>
      <c r="R60" s="126">
        <f>+Actuals!O190</f>
        <v>0</v>
      </c>
      <c r="S60" s="127">
        <f>+Actuals!P190</f>
        <v>0</v>
      </c>
      <c r="T60" s="126">
        <f>+Actuals!Q190</f>
        <v>0</v>
      </c>
      <c r="U60" s="127">
        <f>+Actuals!R190</f>
        <v>0</v>
      </c>
      <c r="V60" s="126">
        <f>+Actuals!S190</f>
        <v>0</v>
      </c>
      <c r="W60" s="127">
        <f>+Actuals!T190</f>
        <v>0</v>
      </c>
      <c r="X60" s="126">
        <f>+Actuals!U190</f>
        <v>0</v>
      </c>
      <c r="Y60" s="127">
        <f>+Actuals!V190</f>
        <v>0</v>
      </c>
      <c r="Z60" s="126">
        <f>+Actuals!W190</f>
        <v>0</v>
      </c>
      <c r="AA60" s="127">
        <f>+Actuals!X190</f>
        <v>0</v>
      </c>
      <c r="AB60" s="126">
        <f>+Actuals!Y150</f>
        <v>0</v>
      </c>
      <c r="AC60" s="127">
        <f>+Actuals!Z150</f>
        <v>0</v>
      </c>
      <c r="AD60" s="126">
        <f>+Actuals!AA150</f>
        <v>0</v>
      </c>
      <c r="AE60" s="127">
        <f>+Actuals!AB150</f>
        <v>0</v>
      </c>
      <c r="AF60" s="126">
        <f>+Actuals!AC150</f>
        <v>0</v>
      </c>
      <c r="AG60" s="127">
        <f>+Actuals!AD150</f>
        <v>0</v>
      </c>
    </row>
    <row r="61" spans="1:33" x14ac:dyDescent="0.25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ref="R61:W61" si="27">SUM(R59:R60)</f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'TIE-OUT'!F64+RECLASS!F64</f>
        <v>0</v>
      </c>
      <c r="G64" s="68">
        <f>'TIE-OUT'!G64+RECLASS!G64</f>
        <v>0</v>
      </c>
      <c r="H64" s="126">
        <f>+Actuals!E151</f>
        <v>0</v>
      </c>
      <c r="I64" s="127">
        <f>+Actuals!F151</f>
        <v>0</v>
      </c>
      <c r="J64" s="126">
        <f>+Actuals!G151</f>
        <v>0</v>
      </c>
      <c r="K64" s="127">
        <f>+Actuals!H151</f>
        <v>0</v>
      </c>
      <c r="L64" s="126">
        <f>+Actuals!I151</f>
        <v>0</v>
      </c>
      <c r="M64" s="127">
        <f>+Actuals!J151</f>
        <v>0</v>
      </c>
      <c r="N64" s="126">
        <f>+Actuals!K151</f>
        <v>0</v>
      </c>
      <c r="O64" s="127">
        <f>+Actuals!L151</f>
        <v>0</v>
      </c>
      <c r="P64" s="126">
        <f>+Actuals!M191</f>
        <v>0</v>
      </c>
      <c r="Q64" s="127">
        <f>+Actuals!N191</f>
        <v>0</v>
      </c>
      <c r="R64" s="126">
        <f>+Actuals!O191</f>
        <v>0</v>
      </c>
      <c r="S64" s="127">
        <f>+Actuals!P191</f>
        <v>0</v>
      </c>
      <c r="T64" s="126">
        <f>+Actuals!Q191</f>
        <v>0</v>
      </c>
      <c r="U64" s="127">
        <f>+Actuals!R191</f>
        <v>0</v>
      </c>
      <c r="V64" s="126">
        <f>+Actuals!S191</f>
        <v>0</v>
      </c>
      <c r="W64" s="127">
        <f>+Actuals!T191</f>
        <v>0</v>
      </c>
      <c r="X64" s="126">
        <f>+Actuals!U191</f>
        <v>0</v>
      </c>
      <c r="Y64" s="127">
        <f>+Actuals!V191</f>
        <v>0</v>
      </c>
      <c r="Z64" s="126">
        <f>+Actuals!W191</f>
        <v>0</v>
      </c>
      <c r="AA64" s="127">
        <f>+Actuals!X191</f>
        <v>0</v>
      </c>
      <c r="AB64" s="126">
        <f>+Actuals!Y151</f>
        <v>0</v>
      </c>
      <c r="AC64" s="127">
        <f>+Actuals!Z151</f>
        <v>0</v>
      </c>
      <c r="AD64" s="126">
        <f>+Actuals!AA151</f>
        <v>0</v>
      </c>
      <c r="AE64" s="127">
        <f>+Actuals!AB151</f>
        <v>0</v>
      </c>
      <c r="AF64" s="126">
        <f>+Actuals!AC151</f>
        <v>0</v>
      </c>
      <c r="AG64" s="127">
        <f>+Actuals!AD151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'TIE-OUT'!F65+RECLASS!F65</f>
        <v>0</v>
      </c>
      <c r="G65" s="82">
        <f>'TIE-OUT'!G65+RECLASS!G65</f>
        <v>0</v>
      </c>
      <c r="H65" s="126">
        <f>+Actuals!E152</f>
        <v>0</v>
      </c>
      <c r="I65" s="127">
        <f>+Actuals!F152</f>
        <v>0</v>
      </c>
      <c r="J65" s="126">
        <f>+Actuals!G152</f>
        <v>0</v>
      </c>
      <c r="K65" s="127">
        <f>+Actuals!H152</f>
        <v>0</v>
      </c>
      <c r="L65" s="126">
        <f>+Actuals!I152</f>
        <v>0</v>
      </c>
      <c r="M65" s="127">
        <f>+Actuals!J152</f>
        <v>0</v>
      </c>
      <c r="N65" s="126">
        <f>+Actuals!K152</f>
        <v>0</v>
      </c>
      <c r="O65" s="127">
        <f>+Actuals!L152</f>
        <v>0</v>
      </c>
      <c r="P65" s="126">
        <f>+Actuals!M192</f>
        <v>0</v>
      </c>
      <c r="Q65" s="127">
        <f>+Actuals!N192</f>
        <v>0</v>
      </c>
      <c r="R65" s="126">
        <f>+Actuals!O192</f>
        <v>0</v>
      </c>
      <c r="S65" s="127">
        <f>+Actuals!P192</f>
        <v>0</v>
      </c>
      <c r="T65" s="126">
        <f>+Actuals!Q192</f>
        <v>0</v>
      </c>
      <c r="U65" s="127">
        <f>+Actuals!R192</f>
        <v>0</v>
      </c>
      <c r="V65" s="126">
        <f>+Actuals!S192</f>
        <v>0</v>
      </c>
      <c r="W65" s="127">
        <f>+Actuals!T192</f>
        <v>0</v>
      </c>
      <c r="X65" s="126">
        <f>+Actuals!U192</f>
        <v>0</v>
      </c>
      <c r="Y65" s="127">
        <f>+Actuals!V192</f>
        <v>0</v>
      </c>
      <c r="Z65" s="126">
        <f>+Actuals!W192</f>
        <v>0</v>
      </c>
      <c r="AA65" s="127">
        <f>+Actuals!X192</f>
        <v>0</v>
      </c>
      <c r="AB65" s="126">
        <f>+Actuals!Y152</f>
        <v>0</v>
      </c>
      <c r="AC65" s="127">
        <f>+Actuals!Z152</f>
        <v>0</v>
      </c>
      <c r="AD65" s="126">
        <f>+Actuals!AA152</f>
        <v>0</v>
      </c>
      <c r="AE65" s="127">
        <f>+Actuals!AB152</f>
        <v>0</v>
      </c>
      <c r="AF65" s="126">
        <f>+Actuals!AC152</f>
        <v>0</v>
      </c>
      <c r="AG65" s="127">
        <f>+Actuals!AD152</f>
        <v>0</v>
      </c>
    </row>
    <row r="66" spans="1:33" x14ac:dyDescent="0.25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ref="R66:W66" si="30">SUM(R64:R65)</f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845380</v>
      </c>
      <c r="F70" s="64">
        <f>'TIE-OUT'!F70+RECLASS!F70</f>
        <v>0</v>
      </c>
      <c r="G70" s="68">
        <f>'TIE-OUT'!G70+RECLASS!G70</f>
        <v>845380</v>
      </c>
      <c r="H70" s="126">
        <f>+Actuals!E153</f>
        <v>0</v>
      </c>
      <c r="I70" s="127">
        <f>+Actuals!F153</f>
        <v>0</v>
      </c>
      <c r="J70" s="126">
        <f>+Actuals!G153</f>
        <v>0</v>
      </c>
      <c r="K70" s="127">
        <f>+Actuals!H153</f>
        <v>0</v>
      </c>
      <c r="L70" s="126">
        <f>+Actuals!I153</f>
        <v>0</v>
      </c>
      <c r="M70" s="127">
        <f>+Actuals!J153</f>
        <v>0</v>
      </c>
      <c r="N70" s="126">
        <f>+Actuals!K153</f>
        <v>0</v>
      </c>
      <c r="O70" s="127">
        <f>+Actuals!L153</f>
        <v>0</v>
      </c>
      <c r="P70" s="126">
        <f>+Actuals!M193</f>
        <v>0</v>
      </c>
      <c r="Q70" s="127">
        <f>+Actuals!N193</f>
        <v>0</v>
      </c>
      <c r="R70" s="126">
        <f>+Actuals!O193</f>
        <v>0</v>
      </c>
      <c r="S70" s="127">
        <f>+Actuals!P193</f>
        <v>0</v>
      </c>
      <c r="T70" s="126">
        <f>+Actuals!Q193</f>
        <v>0</v>
      </c>
      <c r="U70" s="127">
        <f>+Actuals!R193</f>
        <v>0</v>
      </c>
      <c r="V70" s="126">
        <f>+Actuals!S193</f>
        <v>0</v>
      </c>
      <c r="W70" s="127">
        <f>+Actuals!T193</f>
        <v>0</v>
      </c>
      <c r="X70" s="126">
        <f>+Actuals!U193</f>
        <v>0</v>
      </c>
      <c r="Y70" s="127">
        <f>+Actuals!V193</f>
        <v>0</v>
      </c>
      <c r="Z70" s="126">
        <f>+Actuals!W193</f>
        <v>0</v>
      </c>
      <c r="AA70" s="127">
        <f>+Actuals!X193</f>
        <v>0</v>
      </c>
      <c r="AB70" s="126">
        <f>+Actuals!Y153</f>
        <v>0</v>
      </c>
      <c r="AC70" s="127">
        <f>+Actuals!Z153</f>
        <v>0</v>
      </c>
      <c r="AD70" s="126">
        <f>+Actuals!AA153</f>
        <v>0</v>
      </c>
      <c r="AE70" s="127">
        <f>+Actuals!AB153</f>
        <v>0</v>
      </c>
      <c r="AF70" s="126">
        <f>+Actuals!AC153</f>
        <v>0</v>
      </c>
      <c r="AG70" s="127">
        <f>+Actuals!AD153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-585797.18000000005</v>
      </c>
      <c r="F71" s="81">
        <f>'TIE-OUT'!F71+RECLASS!F71</f>
        <v>0</v>
      </c>
      <c r="G71" s="82">
        <f>'TIE-OUT'!G71+RECLASS!G71</f>
        <v>-585797.18000000005</v>
      </c>
      <c r="H71" s="126">
        <f>+Actuals!E154</f>
        <v>0</v>
      </c>
      <c r="I71" s="127">
        <f>+Actuals!F154</f>
        <v>0</v>
      </c>
      <c r="J71" s="126">
        <f>+Actuals!G154</f>
        <v>0</v>
      </c>
      <c r="K71" s="127">
        <f>+Actuals!H154</f>
        <v>0</v>
      </c>
      <c r="L71" s="126">
        <f>+Actuals!I154</f>
        <v>0</v>
      </c>
      <c r="M71" s="127">
        <f>+Actuals!J154</f>
        <v>0</v>
      </c>
      <c r="N71" s="126">
        <f>+Actuals!K154</f>
        <v>0</v>
      </c>
      <c r="O71" s="127">
        <f>+Actuals!L154</f>
        <v>0</v>
      </c>
      <c r="P71" s="126">
        <f>+Actuals!M194</f>
        <v>0</v>
      </c>
      <c r="Q71" s="127">
        <f>+Actuals!N194</f>
        <v>0</v>
      </c>
      <c r="R71" s="126">
        <f>+Actuals!O194</f>
        <v>0</v>
      </c>
      <c r="S71" s="127">
        <f>+Actuals!P194</f>
        <v>0</v>
      </c>
      <c r="T71" s="126">
        <f>+Actuals!Q194</f>
        <v>0</v>
      </c>
      <c r="U71" s="127">
        <f>+Actuals!R194</f>
        <v>0</v>
      </c>
      <c r="V71" s="126">
        <f>+Actuals!S194</f>
        <v>0</v>
      </c>
      <c r="W71" s="127">
        <f>+Actuals!T194</f>
        <v>0</v>
      </c>
      <c r="X71" s="126">
        <f>+Actuals!U194</f>
        <v>0</v>
      </c>
      <c r="Y71" s="127">
        <f>+Actuals!V194</f>
        <v>0</v>
      </c>
      <c r="Z71" s="126">
        <f>+Actuals!W194</f>
        <v>0</v>
      </c>
      <c r="AA71" s="127">
        <f>+Actuals!X194</f>
        <v>0</v>
      </c>
      <c r="AB71" s="126">
        <f>+Actuals!Y154</f>
        <v>0</v>
      </c>
      <c r="AC71" s="127">
        <f>+Actuals!Z154</f>
        <v>0</v>
      </c>
      <c r="AD71" s="126">
        <f>+Actuals!AA154</f>
        <v>0</v>
      </c>
      <c r="AE71" s="127">
        <f>+Actuals!AB154</f>
        <v>0</v>
      </c>
      <c r="AF71" s="126">
        <f>+Actuals!AC154</f>
        <v>0</v>
      </c>
      <c r="AG71" s="127">
        <f>+Actuals!AD154</f>
        <v>0</v>
      </c>
    </row>
    <row r="72" spans="1:33" x14ac:dyDescent="0.25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259582.81999999995</v>
      </c>
      <c r="F72" s="61">
        <f t="shared" si="31"/>
        <v>0</v>
      </c>
      <c r="G72" s="39">
        <f t="shared" si="31"/>
        <v>259582.81999999995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ref="R72:W72" si="33">SUM(R70:R71)</f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34">SUM(F73,H73,J73,L73,N73,P73,R73,T73,V73,X73,Z73,AB73,AD73,AF73)</f>
        <v>0</v>
      </c>
      <c r="E73" s="38">
        <f t="shared" ref="E73:E81" si="35">SUM(G73,I73,K73,M73,O73,Q73,S73,U73,W73,Y73,AA73,AC73,AE73,AG73)</f>
        <v>0</v>
      </c>
      <c r="F73" s="60">
        <f>'TIE-OUT'!F73+RECLASS!F73</f>
        <v>0</v>
      </c>
      <c r="G73" s="60">
        <f>'TIE-OUT'!G73+RECLASS!G73</f>
        <v>0</v>
      </c>
      <c r="H73" s="126">
        <f>+Actuals!E155</f>
        <v>0</v>
      </c>
      <c r="I73" s="127">
        <f>+Actuals!F155</f>
        <v>0</v>
      </c>
      <c r="J73" s="126">
        <f>+Actuals!G155</f>
        <v>0</v>
      </c>
      <c r="K73" s="127">
        <f>+Actuals!H155</f>
        <v>0</v>
      </c>
      <c r="L73" s="126">
        <f>+Actuals!I155</f>
        <v>0</v>
      </c>
      <c r="M73" s="127">
        <f>+Actuals!J155</f>
        <v>0</v>
      </c>
      <c r="N73" s="126">
        <f>+Actuals!K155</f>
        <v>0</v>
      </c>
      <c r="O73" s="127">
        <f>+Actuals!L155</f>
        <v>0</v>
      </c>
      <c r="P73" s="126">
        <f>+Actuals!M195</f>
        <v>0</v>
      </c>
      <c r="Q73" s="127">
        <f>+Actuals!N195</f>
        <v>0</v>
      </c>
      <c r="R73" s="126">
        <f>+Actuals!O195</f>
        <v>0</v>
      </c>
      <c r="S73" s="127">
        <f>+Actuals!P195</f>
        <v>0</v>
      </c>
      <c r="T73" s="126">
        <f>+Actuals!Q195</f>
        <v>0</v>
      </c>
      <c r="U73" s="127">
        <f>+Actuals!R195</f>
        <v>0</v>
      </c>
      <c r="V73" s="126">
        <f>+Actuals!S195</f>
        <v>0</v>
      </c>
      <c r="W73" s="127">
        <f>+Actuals!T195</f>
        <v>0</v>
      </c>
      <c r="X73" s="126">
        <f>+Actuals!U195</f>
        <v>0</v>
      </c>
      <c r="Y73" s="127">
        <f>+Actuals!V195</f>
        <v>0</v>
      </c>
      <c r="Z73" s="126">
        <f>+Actuals!W195</f>
        <v>0</v>
      </c>
      <c r="AA73" s="127">
        <f>+Actuals!X195</f>
        <v>0</v>
      </c>
      <c r="AB73" s="126">
        <f>+Actuals!Y155</f>
        <v>0</v>
      </c>
      <c r="AC73" s="127">
        <f>+Actuals!Z155</f>
        <v>0</v>
      </c>
      <c r="AD73" s="126">
        <f>+Actuals!AA155</f>
        <v>0</v>
      </c>
      <c r="AE73" s="127">
        <f>+Actuals!AB155</f>
        <v>0</v>
      </c>
      <c r="AF73" s="126">
        <f>+Actuals!AC155</f>
        <v>0</v>
      </c>
      <c r="AG73" s="127">
        <f>+Actuals!AD155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-756650.16999999993</v>
      </c>
      <c r="F74" s="60">
        <f>'TIE-OUT'!F74+RECLASS!F74</f>
        <v>0</v>
      </c>
      <c r="G74" s="60">
        <f>'TIE-OUT'!G74+RECLASS!G74</f>
        <v>-756650.16999999993</v>
      </c>
      <c r="H74" s="126">
        <f>+Actuals!E156</f>
        <v>0</v>
      </c>
      <c r="I74" s="127">
        <f>+Actuals!F156</f>
        <v>0</v>
      </c>
      <c r="J74" s="126">
        <f>+Actuals!G156</f>
        <v>0</v>
      </c>
      <c r="K74" s="156">
        <v>0</v>
      </c>
      <c r="L74" s="126">
        <f>+Actuals!I156</f>
        <v>0</v>
      </c>
      <c r="M74" s="127">
        <f>+Actuals!J156</f>
        <v>0</v>
      </c>
      <c r="N74" s="126">
        <f>+Actuals!K156</f>
        <v>0</v>
      </c>
      <c r="O74" s="127">
        <f>+Actuals!L156</f>
        <v>0</v>
      </c>
      <c r="P74" s="126">
        <f>+Actuals!M196</f>
        <v>0</v>
      </c>
      <c r="Q74" s="127">
        <f>+Actuals!N196</f>
        <v>0</v>
      </c>
      <c r="R74" s="126">
        <f>+Actuals!O196</f>
        <v>0</v>
      </c>
      <c r="S74" s="127">
        <f>+Actuals!P196</f>
        <v>0</v>
      </c>
      <c r="T74" s="126">
        <f>+Actuals!Q196</f>
        <v>0</v>
      </c>
      <c r="U74" s="127">
        <f>+Actuals!R196</f>
        <v>0</v>
      </c>
      <c r="V74" s="126">
        <f>+Actuals!S196</f>
        <v>0</v>
      </c>
      <c r="W74" s="127">
        <f>+Actuals!T196</f>
        <v>0</v>
      </c>
      <c r="X74" s="126">
        <f>+Actuals!U196</f>
        <v>0</v>
      </c>
      <c r="Y74" s="127">
        <f>+Actuals!V196</f>
        <v>0</v>
      </c>
      <c r="Z74" s="126">
        <f>+Actuals!W196</f>
        <v>0</v>
      </c>
      <c r="AA74" s="127">
        <f>+Actuals!X196</f>
        <v>0</v>
      </c>
      <c r="AB74" s="126">
        <f>+Actuals!Y156</f>
        <v>0</v>
      </c>
      <c r="AC74" s="127">
        <f>+Actuals!Z156</f>
        <v>0</v>
      </c>
      <c r="AD74" s="126">
        <f>+Actuals!AA156</f>
        <v>0</v>
      </c>
      <c r="AE74" s="127">
        <f>+Actuals!AB156</f>
        <v>0</v>
      </c>
      <c r="AF74" s="126">
        <f>+Actuals!AC156</f>
        <v>0</v>
      </c>
      <c r="AG74" s="127">
        <f>+Actuals!AD156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80000</v>
      </c>
      <c r="F75" s="60">
        <f>'TIE-OUT'!F75+RECLASS!F75</f>
        <v>0</v>
      </c>
      <c r="G75" s="60">
        <f>'TIE-OUT'!G75+RECLASS!G75</f>
        <v>80000</v>
      </c>
      <c r="H75" s="126">
        <f>+Actuals!E157</f>
        <v>0</v>
      </c>
      <c r="I75" s="127">
        <f>+Actuals!F157</f>
        <v>0</v>
      </c>
      <c r="J75" s="126">
        <f>+Actuals!G157</f>
        <v>0</v>
      </c>
      <c r="K75" s="127">
        <f>+Actuals!H157</f>
        <v>0</v>
      </c>
      <c r="L75" s="126">
        <f>+Actuals!I157</f>
        <v>0</v>
      </c>
      <c r="M75" s="127">
        <f>+Actuals!J157</f>
        <v>0</v>
      </c>
      <c r="N75" s="126">
        <f>+Actuals!K157</f>
        <v>0</v>
      </c>
      <c r="O75" s="127">
        <f>+Actuals!L157</f>
        <v>0</v>
      </c>
      <c r="P75" s="126">
        <f>+Actuals!M197</f>
        <v>0</v>
      </c>
      <c r="Q75" s="127">
        <f>+Actuals!N197</f>
        <v>0</v>
      </c>
      <c r="R75" s="126">
        <f>+Actuals!O197</f>
        <v>0</v>
      </c>
      <c r="S75" s="127">
        <f>+Actuals!P197</f>
        <v>0</v>
      </c>
      <c r="T75" s="126">
        <f>+Actuals!Q197</f>
        <v>0</v>
      </c>
      <c r="U75" s="127">
        <f>+Actuals!R197</f>
        <v>0</v>
      </c>
      <c r="V75" s="126">
        <f>+Actuals!S197</f>
        <v>0</v>
      </c>
      <c r="W75" s="127">
        <f>+Actuals!T197</f>
        <v>0</v>
      </c>
      <c r="X75" s="126">
        <f>+Actuals!U197</f>
        <v>0</v>
      </c>
      <c r="Y75" s="127">
        <f>+Actuals!V197</f>
        <v>0</v>
      </c>
      <c r="Z75" s="126">
        <f>+Actuals!W197</f>
        <v>0</v>
      </c>
      <c r="AA75" s="127">
        <f>+Actuals!X197</f>
        <v>0</v>
      </c>
      <c r="AB75" s="126">
        <f>+Actuals!Y157</f>
        <v>0</v>
      </c>
      <c r="AC75" s="127">
        <f>+Actuals!Z157</f>
        <v>0</v>
      </c>
      <c r="AD75" s="126">
        <f>+Actuals!AA157</f>
        <v>0</v>
      </c>
      <c r="AE75" s="127">
        <f>+Actuals!AB157</f>
        <v>0</v>
      </c>
      <c r="AF75" s="126">
        <f>+Actuals!AC157</f>
        <v>0</v>
      </c>
      <c r="AG75" s="127">
        <f>+Actuals!AD157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-30873.440000000002</v>
      </c>
      <c r="F76" s="60">
        <f>'TIE-OUT'!F76+RECLASS!F76</f>
        <v>0</v>
      </c>
      <c r="G76" s="60">
        <f>'TIE-OUT'!G76+RECLASS!G76</f>
        <v>0</v>
      </c>
      <c r="H76" s="126">
        <f>+Actuals!E158</f>
        <v>0</v>
      </c>
      <c r="I76" s="127">
        <f>+Actuals!F158</f>
        <v>-32254.9</v>
      </c>
      <c r="J76" s="126">
        <f>+Actuals!G158</f>
        <v>0</v>
      </c>
      <c r="K76" s="127">
        <f>+Actuals!H158</f>
        <v>-26895</v>
      </c>
      <c r="L76" s="126">
        <f>+Actuals!I158</f>
        <v>0</v>
      </c>
      <c r="M76" s="127">
        <f>+Actuals!J158</f>
        <v>27734.19</v>
      </c>
      <c r="N76" s="126">
        <f>+Actuals!K158</f>
        <v>0</v>
      </c>
      <c r="O76" s="127">
        <f>+Actuals!L158</f>
        <v>542.27</v>
      </c>
      <c r="P76" s="126">
        <f>+Actuals!M198</f>
        <v>0</v>
      </c>
      <c r="Q76" s="127">
        <f>+Actuals!N198</f>
        <v>0</v>
      </c>
      <c r="R76" s="126">
        <f>+Actuals!O198</f>
        <v>0</v>
      </c>
      <c r="S76" s="127">
        <f>+Actuals!P198</f>
        <v>0</v>
      </c>
      <c r="T76" s="126">
        <f>+Actuals!Q198</f>
        <v>0</v>
      </c>
      <c r="U76" s="127">
        <f>+Actuals!R198</f>
        <v>0</v>
      </c>
      <c r="V76" s="126">
        <f>+Actuals!S198</f>
        <v>0</v>
      </c>
      <c r="W76" s="127">
        <f>+Actuals!T198</f>
        <v>0</v>
      </c>
      <c r="X76" s="126">
        <f>+Actuals!U198</f>
        <v>0</v>
      </c>
      <c r="Y76" s="127">
        <f>+Actuals!V198</f>
        <v>0</v>
      </c>
      <c r="Z76" s="126">
        <f>+Actuals!W198</f>
        <v>0</v>
      </c>
      <c r="AA76" s="127">
        <f>+Actuals!X198</f>
        <v>0</v>
      </c>
      <c r="AB76" s="126">
        <f>+Actuals!Y158</f>
        <v>0</v>
      </c>
      <c r="AC76" s="127">
        <f>+Actuals!Z158</f>
        <v>0</v>
      </c>
      <c r="AD76" s="126">
        <f>+Actuals!AA158</f>
        <v>0</v>
      </c>
      <c r="AE76" s="127">
        <f>+Actuals!AB158</f>
        <v>0</v>
      </c>
      <c r="AF76" s="126">
        <f>+Actuals!AC158</f>
        <v>0</v>
      </c>
      <c r="AG76" s="127">
        <f>+Actuals!AD158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26">
        <f>+Actuals!E159</f>
        <v>0</v>
      </c>
      <c r="I77" s="127">
        <f>+Actuals!F159</f>
        <v>0</v>
      </c>
      <c r="J77" s="126">
        <f>+Actuals!G159</f>
        <v>0</v>
      </c>
      <c r="K77" s="127">
        <f>+Actuals!H159</f>
        <v>0</v>
      </c>
      <c r="L77" s="126">
        <f>+Actuals!I159</f>
        <v>0</v>
      </c>
      <c r="M77" s="127">
        <f>+Actuals!J159</f>
        <v>0</v>
      </c>
      <c r="N77" s="126">
        <f>+Actuals!K159</f>
        <v>0</v>
      </c>
      <c r="O77" s="127">
        <f>+Actuals!L159</f>
        <v>0</v>
      </c>
      <c r="P77" s="126">
        <f>+Actuals!M199</f>
        <v>0</v>
      </c>
      <c r="Q77" s="127">
        <f>+Actuals!N199</f>
        <v>0</v>
      </c>
      <c r="R77" s="126">
        <f>+Actuals!O199</f>
        <v>0</v>
      </c>
      <c r="S77" s="127">
        <f>+Actuals!P199</f>
        <v>0</v>
      </c>
      <c r="T77" s="126">
        <f>+Actuals!Q199</f>
        <v>0</v>
      </c>
      <c r="U77" s="127">
        <f>+Actuals!R199</f>
        <v>0</v>
      </c>
      <c r="V77" s="126">
        <f>+Actuals!S199</f>
        <v>0</v>
      </c>
      <c r="W77" s="127">
        <f>+Actuals!T199</f>
        <v>0</v>
      </c>
      <c r="X77" s="126">
        <f>+Actuals!U199</f>
        <v>0</v>
      </c>
      <c r="Y77" s="127">
        <f>+Actuals!V199</f>
        <v>0</v>
      </c>
      <c r="Z77" s="126">
        <f>+Actuals!W199</f>
        <v>0</v>
      </c>
      <c r="AA77" s="127">
        <f>+Actuals!X199</f>
        <v>0</v>
      </c>
      <c r="AB77" s="126">
        <f>+Actuals!Y159</f>
        <v>0</v>
      </c>
      <c r="AC77" s="127">
        <f>+Actuals!Z159</f>
        <v>0</v>
      </c>
      <c r="AD77" s="126">
        <f>+Actuals!AA159</f>
        <v>0</v>
      </c>
      <c r="AE77" s="127">
        <f>+Actuals!AB159</f>
        <v>0</v>
      </c>
      <c r="AF77" s="126">
        <f>+Actuals!AC159</f>
        <v>0</v>
      </c>
      <c r="AG77" s="127">
        <f>+Actuals!AD159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6">
        <f>+Actuals!E160</f>
        <v>0</v>
      </c>
      <c r="I78" s="127">
        <f>+Actuals!F160</f>
        <v>0</v>
      </c>
      <c r="J78" s="126">
        <f>+Actuals!G160</f>
        <v>0</v>
      </c>
      <c r="K78" s="127">
        <f>+Actuals!H160</f>
        <v>0</v>
      </c>
      <c r="L78" s="126">
        <f>+Actuals!I160</f>
        <v>0</v>
      </c>
      <c r="M78" s="127">
        <f>+Actuals!J160</f>
        <v>0</v>
      </c>
      <c r="N78" s="126">
        <f>+Actuals!K160</f>
        <v>0</v>
      </c>
      <c r="O78" s="127">
        <f>+Actuals!L160</f>
        <v>0</v>
      </c>
      <c r="P78" s="126">
        <f>+Actuals!M200</f>
        <v>0</v>
      </c>
      <c r="Q78" s="127">
        <f>+Actuals!N200</f>
        <v>0</v>
      </c>
      <c r="R78" s="126">
        <f>+Actuals!O200</f>
        <v>0</v>
      </c>
      <c r="S78" s="127">
        <f>+Actuals!P200</f>
        <v>0</v>
      </c>
      <c r="T78" s="126">
        <f>+Actuals!Q200</f>
        <v>0</v>
      </c>
      <c r="U78" s="127">
        <f>+Actuals!R200</f>
        <v>0</v>
      </c>
      <c r="V78" s="126">
        <f>+Actuals!S200</f>
        <v>0</v>
      </c>
      <c r="W78" s="127">
        <f>+Actuals!T200</f>
        <v>0</v>
      </c>
      <c r="X78" s="126">
        <f>+Actuals!U200</f>
        <v>0</v>
      </c>
      <c r="Y78" s="127">
        <f>+Actuals!V200</f>
        <v>0</v>
      </c>
      <c r="Z78" s="126">
        <f>+Actuals!W200</f>
        <v>0</v>
      </c>
      <c r="AA78" s="127">
        <f>+Actuals!X200</f>
        <v>0</v>
      </c>
      <c r="AB78" s="126">
        <f>+Actuals!Y160</f>
        <v>0</v>
      </c>
      <c r="AC78" s="127">
        <f>+Actuals!Z160</f>
        <v>0</v>
      </c>
      <c r="AD78" s="126">
        <f>+Actuals!AA160</f>
        <v>0</v>
      </c>
      <c r="AE78" s="127">
        <f>+Actuals!AB160</f>
        <v>0</v>
      </c>
      <c r="AF78" s="126">
        <f>+Actuals!AC160</f>
        <v>0</v>
      </c>
      <c r="AG78" s="127">
        <f>+Actuals!AD160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6">
        <f>+Actuals!E161</f>
        <v>0</v>
      </c>
      <c r="I79" s="127">
        <f>+Actuals!F161</f>
        <v>0</v>
      </c>
      <c r="J79" s="126">
        <f>+Actuals!G161</f>
        <v>0</v>
      </c>
      <c r="K79" s="127">
        <f>+Actuals!H161</f>
        <v>0</v>
      </c>
      <c r="L79" s="126">
        <f>+Actuals!I161</f>
        <v>0</v>
      </c>
      <c r="M79" s="127">
        <f>+Actuals!J161</f>
        <v>0</v>
      </c>
      <c r="N79" s="126">
        <f>+Actuals!K161</f>
        <v>0</v>
      </c>
      <c r="O79" s="127">
        <f>+Actuals!L161</f>
        <v>0</v>
      </c>
      <c r="P79" s="126">
        <f>+Actuals!M201</f>
        <v>0</v>
      </c>
      <c r="Q79" s="127">
        <f>+Actuals!N201</f>
        <v>0</v>
      </c>
      <c r="R79" s="126">
        <f>+Actuals!O201</f>
        <v>0</v>
      </c>
      <c r="S79" s="127">
        <f>+Actuals!P201</f>
        <v>0</v>
      </c>
      <c r="T79" s="126">
        <f>+Actuals!Q201</f>
        <v>0</v>
      </c>
      <c r="U79" s="127">
        <f>+Actuals!R201</f>
        <v>0</v>
      </c>
      <c r="V79" s="126">
        <f>+Actuals!S201</f>
        <v>0</v>
      </c>
      <c r="W79" s="127">
        <f>+Actuals!T201</f>
        <v>0</v>
      </c>
      <c r="X79" s="126">
        <f>+Actuals!U201</f>
        <v>0</v>
      </c>
      <c r="Y79" s="127">
        <f>+Actuals!V201</f>
        <v>0</v>
      </c>
      <c r="Z79" s="126">
        <f>+Actuals!W201</f>
        <v>0</v>
      </c>
      <c r="AA79" s="127">
        <f>+Actuals!X201</f>
        <v>0</v>
      </c>
      <c r="AB79" s="126">
        <f>+Actuals!Y161</f>
        <v>0</v>
      </c>
      <c r="AC79" s="127">
        <f>+Actuals!Z161</f>
        <v>0</v>
      </c>
      <c r="AD79" s="126">
        <f>+Actuals!AA161</f>
        <v>0</v>
      </c>
      <c r="AE79" s="127">
        <f>+Actuals!AB161</f>
        <v>0</v>
      </c>
      <c r="AF79" s="126">
        <f>+Actuals!AC161</f>
        <v>0</v>
      </c>
      <c r="AG79" s="127">
        <f>+Actuals!AD161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6">
        <f>+Actuals!E162</f>
        <v>0</v>
      </c>
      <c r="I80" s="127">
        <f>+Actuals!F162</f>
        <v>0</v>
      </c>
      <c r="J80" s="126">
        <f>+Actuals!G162</f>
        <v>0</v>
      </c>
      <c r="K80" s="127">
        <f>+Actuals!H162</f>
        <v>0</v>
      </c>
      <c r="L80" s="126">
        <f>+Actuals!I162</f>
        <v>0</v>
      </c>
      <c r="M80" s="127">
        <f>+Actuals!J162</f>
        <v>0</v>
      </c>
      <c r="N80" s="126">
        <f>+Actuals!K162</f>
        <v>0</v>
      </c>
      <c r="O80" s="127">
        <f>+Actuals!L162</f>
        <v>0</v>
      </c>
      <c r="P80" s="126">
        <f>+Actuals!M202</f>
        <v>0</v>
      </c>
      <c r="Q80" s="127">
        <f>+Actuals!N202</f>
        <v>0</v>
      </c>
      <c r="R80" s="126">
        <f>+Actuals!O202</f>
        <v>0</v>
      </c>
      <c r="S80" s="127">
        <f>+Actuals!P202</f>
        <v>0</v>
      </c>
      <c r="T80" s="126">
        <f>+Actuals!Q202</f>
        <v>0</v>
      </c>
      <c r="U80" s="127">
        <f>+Actuals!R202</f>
        <v>0</v>
      </c>
      <c r="V80" s="126">
        <f>+Actuals!S202</f>
        <v>0</v>
      </c>
      <c r="W80" s="127">
        <f>+Actuals!T202</f>
        <v>0</v>
      </c>
      <c r="X80" s="126">
        <f>+Actuals!U202</f>
        <v>0</v>
      </c>
      <c r="Y80" s="127">
        <f>+Actuals!V202</f>
        <v>0</v>
      </c>
      <c r="Z80" s="126">
        <f>+Actuals!W202</f>
        <v>0</v>
      </c>
      <c r="AA80" s="127">
        <f>+Actuals!X202</f>
        <v>0</v>
      </c>
      <c r="AB80" s="126">
        <f>+Actuals!Y162</f>
        <v>0</v>
      </c>
      <c r="AC80" s="127">
        <f>+Actuals!Z162</f>
        <v>0</v>
      </c>
      <c r="AD80" s="126">
        <f>+Actuals!AA162</f>
        <v>0</v>
      </c>
      <c r="AE80" s="127">
        <f>+Actuals!AB162</f>
        <v>0</v>
      </c>
      <c r="AF80" s="126">
        <f>+Actuals!AC162</f>
        <v>0</v>
      </c>
      <c r="AG80" s="127">
        <f>+Actuals!AD162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5"/>
        <v>-80855</v>
      </c>
      <c r="F81" s="60">
        <f>'TIE-OUT'!F81+RECLASS!F81</f>
        <v>0</v>
      </c>
      <c r="G81" s="60">
        <f>'TIE-OUT'!G81+RECLASS!G81</f>
        <v>-80855</v>
      </c>
      <c r="H81" s="126">
        <f>+Actuals!E163</f>
        <v>0</v>
      </c>
      <c r="I81" s="153">
        <f>+Actuals!F163</f>
        <v>0</v>
      </c>
      <c r="J81" s="126">
        <f>+Actuals!G163</f>
        <v>0</v>
      </c>
      <c r="K81" s="127">
        <f>+Actuals!H163</f>
        <v>0</v>
      </c>
      <c r="L81" s="126">
        <f>+Actuals!I163</f>
        <v>0</v>
      </c>
      <c r="M81" s="127">
        <f>+Actuals!J163</f>
        <v>0</v>
      </c>
      <c r="N81" s="126">
        <f>+Actuals!K163</f>
        <v>0</v>
      </c>
      <c r="O81" s="127">
        <f>+Actuals!L163</f>
        <v>0</v>
      </c>
      <c r="P81" s="126">
        <f>+Actuals!M203</f>
        <v>0</v>
      </c>
      <c r="Q81" s="127">
        <f>+Actuals!N203</f>
        <v>0</v>
      </c>
      <c r="R81" s="126">
        <f>+Actuals!O203</f>
        <v>0</v>
      </c>
      <c r="S81" s="127">
        <f>+Actuals!P203</f>
        <v>0</v>
      </c>
      <c r="T81" s="126">
        <f>+Actuals!Q203</f>
        <v>0</v>
      </c>
      <c r="U81" s="127">
        <f>+Actuals!R203</f>
        <v>0</v>
      </c>
      <c r="V81" s="126">
        <f>+Actuals!S203</f>
        <v>0</v>
      </c>
      <c r="W81" s="127">
        <f>+Actuals!T203</f>
        <v>0</v>
      </c>
      <c r="X81" s="126">
        <f>+Actuals!U203</f>
        <v>0</v>
      </c>
      <c r="Y81" s="127">
        <f>+Actuals!V203</f>
        <v>0</v>
      </c>
      <c r="Z81" s="126">
        <f>+Actuals!W203</f>
        <v>0</v>
      </c>
      <c r="AA81" s="127">
        <f>+Actuals!X203</f>
        <v>0</v>
      </c>
      <c r="AB81" s="126">
        <f>+Actuals!Y163</f>
        <v>0</v>
      </c>
      <c r="AC81" s="127">
        <f>+Actuals!Z163</f>
        <v>0</v>
      </c>
      <c r="AD81" s="126">
        <f>+Actuals!AA163</f>
        <v>0</v>
      </c>
      <c r="AE81" s="127">
        <f>+Actuals!AB163</f>
        <v>0</v>
      </c>
      <c r="AF81" s="126">
        <f>+Actuals!AC163</f>
        <v>0</v>
      </c>
      <c r="AG81" s="127">
        <f>+Actuals!AD163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-2349352.2750000013</v>
      </c>
      <c r="F82" s="91">
        <f>F16+F24+F29+F36+F43+F45+F47+F49</f>
        <v>0</v>
      </c>
      <c r="G82" s="92">
        <f>SUM(G72:G81)+G16+G24+G29+G36+G43+G45+G47+G49+G51+G56+G61+G66</f>
        <v>-1553185.37</v>
      </c>
      <c r="H82" s="91">
        <f>H16+H24+H29+H36+H43+H45+H47+H49</f>
        <v>0</v>
      </c>
      <c r="I82" s="154">
        <f>SUM(I72:I81)+I16+I24+I29+I36+I43+I45+I47+I49+I51+I56+I61+I66</f>
        <v>-1745944.3300000052</v>
      </c>
      <c r="J82" s="91">
        <f>J16+J24+J29+J36+J43+J45+J47+J49</f>
        <v>0</v>
      </c>
      <c r="K82" s="154">
        <f>SUM(K72:K81)+K16+K24+K29+K36+K43+K45+K47+K49+K51+K56+K61+K66</f>
        <v>-1003310.6549999998</v>
      </c>
      <c r="L82" s="91">
        <f>L16+L24+L29+L36+L43+L45+L47+L49</f>
        <v>0</v>
      </c>
      <c r="M82" s="92">
        <f>SUM(M72:M81)+M16+M24+M29+M36+M43+M45+M47+M49+M51+M56+M61+M66</f>
        <v>650460.94000000041</v>
      </c>
      <c r="N82" s="91">
        <f>N16+N24+N29+N36+N43+N45+N47+N49</f>
        <v>0</v>
      </c>
      <c r="O82" s="92">
        <f>SUM(O72:O81)+O16+O24+O29+O36+O43+O45+O47+O49+O51+O56+O61+O66</f>
        <v>1517850.1550000033</v>
      </c>
      <c r="P82" s="91">
        <f>P16+P24+P29+P36+P43+P45+P47+P49</f>
        <v>0</v>
      </c>
      <c r="Q82" s="92">
        <f>SUM(Q72:Q81)+Q16+Q24+Q29+Q36+Q43+Q45+Q47+Q49+Q51+Q56+Q61+Q66</f>
        <v>-655967.6350000028</v>
      </c>
      <c r="R82" s="91">
        <f>R16+R24+R29+R36+R43+R45+R47+R49</f>
        <v>0</v>
      </c>
      <c r="S82" s="92">
        <f>SUM(S72:S81)+S16+S24+S29+S36+S43+S45+S47+S49+S51+S56+S61+S66</f>
        <v>-18878.900000000001</v>
      </c>
      <c r="T82" s="91">
        <f>T16+T24+T29+T36+T43+T45+T47+T49</f>
        <v>0</v>
      </c>
      <c r="U82" s="92">
        <f>SUM(U72:U81)+U16+U24+U29+U36+U43+U45+U47+U49+U51+U56+U61+U66</f>
        <v>623006.42499999993</v>
      </c>
      <c r="V82" s="91">
        <f>V16+V24+V29+V36+V43+V45+V47+V49</f>
        <v>0</v>
      </c>
      <c r="W82" s="92">
        <f>SUM(W72:W81)+W16+W24+W29+W36+W43+W45+W47+W49+W51+W56+W61+W66</f>
        <v>9902.1</v>
      </c>
      <c r="X82" s="91">
        <f>X16+X24+X29+X36+X43+X45+X47+X49</f>
        <v>0</v>
      </c>
      <c r="Y82" s="92">
        <f>SUM(Y72:Y81)+Y16+Y24+Y29+Y36+Y43+Y45+Y47+Y49+Y51+Y56+Y61+Y66</f>
        <v>90097.909999999989</v>
      </c>
      <c r="Z82" s="91">
        <f>Z16+Z24+Z29+Z36+Z43+Z45+Z47+Z49</f>
        <v>0</v>
      </c>
      <c r="AA82" s="92">
        <f>SUM(AA72:AA81)+AA16+AA24+AA29+AA36+AA43+AA45+AA47+AA49+AA51+AA56+AA61+AA66</f>
        <v>-687390.81500000041</v>
      </c>
      <c r="AB82" s="91">
        <f>AB16+AB24+AB29+AB36+AB43+AB45+AB47+AB49</f>
        <v>0</v>
      </c>
      <c r="AC82" s="92">
        <f>SUM(AC72:AC81)+AC16+AC24+AC29+AC36+AC43+AC45+AC47+AC49+AC51+AC56+AC61+AC66</f>
        <v>424071.9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-64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79"/>
  <sheetViews>
    <sheetView zoomScale="75" workbookViewId="0">
      <pane xSplit="3" ySplit="9" topLeftCell="D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197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'TIE-OUT'!H11+RECLASS!Z11</f>
        <v>0</v>
      </c>
      <c r="G11" s="38">
        <f>'TIE-OUT'!I11+RECLASS!AA11</f>
        <v>0</v>
      </c>
      <c r="H11" s="126">
        <v>0</v>
      </c>
      <c r="I11" s="127">
        <v>0</v>
      </c>
      <c r="J11" s="126">
        <v>0</v>
      </c>
      <c r="K11" s="127">
        <v>0</v>
      </c>
      <c r="L11" s="126">
        <v>0</v>
      </c>
      <c r="M11" s="127">
        <v>0</v>
      </c>
      <c r="N11" s="126">
        <v>0</v>
      </c>
      <c r="O11" s="127">
        <v>0</v>
      </c>
      <c r="P11" s="126">
        <v>0</v>
      </c>
      <c r="Q11" s="127">
        <v>0</v>
      </c>
      <c r="R11" s="126">
        <v>0</v>
      </c>
      <c r="S11" s="127">
        <v>0</v>
      </c>
      <c r="T11" s="126">
        <v>0</v>
      </c>
      <c r="U11" s="127">
        <v>0</v>
      </c>
      <c r="V11" s="126">
        <v>0</v>
      </c>
      <c r="W11" s="127">
        <v>0</v>
      </c>
      <c r="X11" s="126">
        <v>0</v>
      </c>
      <c r="Y11" s="127">
        <v>0</v>
      </c>
      <c r="Z11" s="126">
        <v>0</v>
      </c>
      <c r="AA11" s="127">
        <v>0</v>
      </c>
      <c r="AB11" s="126">
        <v>0</v>
      </c>
      <c r="AC11" s="127">
        <v>0</v>
      </c>
      <c r="AD11" s="126">
        <v>0</v>
      </c>
      <c r="AE11" s="127">
        <v>0</v>
      </c>
      <c r="AF11" s="126">
        <v>0</v>
      </c>
      <c r="AG11" s="127"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'TIE-OUT'!H12+RECLASS!Z12</f>
        <v>0</v>
      </c>
      <c r="G12" s="38">
        <f>'TIE-OUT'!I12+RECLASS!AA12</f>
        <v>0</v>
      </c>
      <c r="H12" s="126">
        <v>0</v>
      </c>
      <c r="I12" s="127">
        <v>0</v>
      </c>
      <c r="J12" s="126">
        <v>0</v>
      </c>
      <c r="K12" s="127">
        <v>0</v>
      </c>
      <c r="L12" s="126">
        <v>0</v>
      </c>
      <c r="M12" s="127">
        <v>0</v>
      </c>
      <c r="N12" s="126">
        <v>0</v>
      </c>
      <c r="O12" s="127">
        <v>0</v>
      </c>
      <c r="P12" s="126">
        <v>0</v>
      </c>
      <c r="Q12" s="127">
        <v>0</v>
      </c>
      <c r="R12" s="126">
        <v>0</v>
      </c>
      <c r="S12" s="127">
        <v>0</v>
      </c>
      <c r="T12" s="126">
        <v>0</v>
      </c>
      <c r="U12" s="127">
        <v>0</v>
      </c>
      <c r="V12" s="126">
        <v>0</v>
      </c>
      <c r="W12" s="127">
        <v>0</v>
      </c>
      <c r="X12" s="126">
        <v>0</v>
      </c>
      <c r="Y12" s="127">
        <v>0</v>
      </c>
      <c r="Z12" s="126">
        <v>0</v>
      </c>
      <c r="AA12" s="127">
        <v>0</v>
      </c>
      <c r="AB12" s="126">
        <v>0</v>
      </c>
      <c r="AC12" s="127">
        <v>0</v>
      </c>
      <c r="AD12" s="126">
        <v>0</v>
      </c>
      <c r="AE12" s="127">
        <v>0</v>
      </c>
      <c r="AF12" s="126">
        <v>0</v>
      </c>
      <c r="AG12" s="127"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'TIE-OUT'!H13+RECLASS!Z13</f>
        <v>0</v>
      </c>
      <c r="G13" s="38">
        <f>'TIE-OUT'!I13+RECLASS!AA13</f>
        <v>0</v>
      </c>
      <c r="H13" s="126">
        <v>0</v>
      </c>
      <c r="I13" s="127">
        <v>0</v>
      </c>
      <c r="J13" s="126">
        <v>0</v>
      </c>
      <c r="K13" s="127">
        <v>0</v>
      </c>
      <c r="L13" s="126">
        <v>0</v>
      </c>
      <c r="M13" s="127">
        <v>0</v>
      </c>
      <c r="N13" s="126">
        <v>0</v>
      </c>
      <c r="O13" s="127">
        <v>0</v>
      </c>
      <c r="P13" s="126">
        <v>0</v>
      </c>
      <c r="Q13" s="127">
        <v>0</v>
      </c>
      <c r="R13" s="126">
        <v>0</v>
      </c>
      <c r="S13" s="127">
        <v>0</v>
      </c>
      <c r="T13" s="126">
        <v>0</v>
      </c>
      <c r="U13" s="127">
        <v>0</v>
      </c>
      <c r="V13" s="126">
        <v>0</v>
      </c>
      <c r="W13" s="127">
        <v>0</v>
      </c>
      <c r="X13" s="126">
        <v>0</v>
      </c>
      <c r="Y13" s="127">
        <v>0</v>
      </c>
      <c r="Z13" s="126">
        <v>0</v>
      </c>
      <c r="AA13" s="127">
        <v>0</v>
      </c>
      <c r="AB13" s="126">
        <v>0</v>
      </c>
      <c r="AC13" s="127">
        <v>0</v>
      </c>
      <c r="AD13" s="126">
        <v>0</v>
      </c>
      <c r="AE13" s="127">
        <v>0</v>
      </c>
      <c r="AF13" s="126">
        <v>0</v>
      </c>
      <c r="AG13" s="127"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6">
        <v>0</v>
      </c>
      <c r="I14" s="127">
        <v>0</v>
      </c>
      <c r="J14" s="126">
        <v>0</v>
      </c>
      <c r="K14" s="127">
        <v>0</v>
      </c>
      <c r="L14" s="126">
        <v>0</v>
      </c>
      <c r="M14" s="127">
        <v>0</v>
      </c>
      <c r="N14" s="126">
        <v>0</v>
      </c>
      <c r="O14" s="127">
        <v>0</v>
      </c>
      <c r="P14" s="126">
        <v>0</v>
      </c>
      <c r="Q14" s="127">
        <v>0</v>
      </c>
      <c r="R14" s="126">
        <v>0</v>
      </c>
      <c r="S14" s="127">
        <v>0</v>
      </c>
      <c r="T14" s="126">
        <v>0</v>
      </c>
      <c r="U14" s="127">
        <v>0</v>
      </c>
      <c r="V14" s="126">
        <v>0</v>
      </c>
      <c r="W14" s="127">
        <v>0</v>
      </c>
      <c r="X14" s="126">
        <v>0</v>
      </c>
      <c r="Y14" s="127">
        <v>0</v>
      </c>
      <c r="Z14" s="126">
        <v>0</v>
      </c>
      <c r="AA14" s="127">
        <v>0</v>
      </c>
      <c r="AB14" s="126">
        <v>0</v>
      </c>
      <c r="AC14" s="127">
        <v>0</v>
      </c>
      <c r="AD14" s="126">
        <v>0</v>
      </c>
      <c r="AE14" s="127">
        <v>0</v>
      </c>
      <c r="AF14" s="126">
        <v>0</v>
      </c>
      <c r="AG14" s="127"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'TIE-OUT'!H15+RECLASS!Z15</f>
        <v>0</v>
      </c>
      <c r="G15" s="82">
        <f>'TIE-OUT'!I15+RECLASS!AA15</f>
        <v>0</v>
      </c>
      <c r="H15" s="126">
        <v>0</v>
      </c>
      <c r="I15" s="127">
        <v>0</v>
      </c>
      <c r="J15" s="126">
        <v>0</v>
      </c>
      <c r="K15" s="127">
        <v>0</v>
      </c>
      <c r="L15" s="126">
        <v>0</v>
      </c>
      <c r="M15" s="127">
        <v>0</v>
      </c>
      <c r="N15" s="126">
        <v>0</v>
      </c>
      <c r="O15" s="127">
        <v>0</v>
      </c>
      <c r="P15" s="126">
        <v>0</v>
      </c>
      <c r="Q15" s="127">
        <v>0</v>
      </c>
      <c r="R15" s="126">
        <v>0</v>
      </c>
      <c r="S15" s="127">
        <v>0</v>
      </c>
      <c r="T15" s="126">
        <v>0</v>
      </c>
      <c r="U15" s="127">
        <v>0</v>
      </c>
      <c r="V15" s="126">
        <v>0</v>
      </c>
      <c r="W15" s="127">
        <v>0</v>
      </c>
      <c r="X15" s="126">
        <v>0</v>
      </c>
      <c r="Y15" s="127">
        <v>0</v>
      </c>
      <c r="Z15" s="126">
        <v>0</v>
      </c>
      <c r="AA15" s="127">
        <v>0</v>
      </c>
      <c r="AB15" s="126">
        <v>0</v>
      </c>
      <c r="AC15" s="127">
        <v>0</v>
      </c>
      <c r="AD15" s="126">
        <v>0</v>
      </c>
      <c r="AE15" s="127">
        <v>0</v>
      </c>
      <c r="AF15" s="126">
        <v>0</v>
      </c>
      <c r="AG15" s="127">
        <v>0</v>
      </c>
    </row>
    <row r="16" spans="1:33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82">
        <f t="shared" si="1"/>
        <v>0</v>
      </c>
      <c r="J16" s="61">
        <f t="shared" si="1"/>
        <v>0</v>
      </c>
      <c r="K16" s="82">
        <f t="shared" si="1"/>
        <v>0</v>
      </c>
      <c r="L16" s="61">
        <f t="shared" si="1"/>
        <v>0</v>
      </c>
      <c r="M16" s="82">
        <f t="shared" si="1"/>
        <v>0</v>
      </c>
      <c r="N16" s="61">
        <f t="shared" si="1"/>
        <v>0</v>
      </c>
      <c r="O16" s="82">
        <f t="shared" si="1"/>
        <v>0</v>
      </c>
      <c r="P16" s="61">
        <f t="shared" si="1"/>
        <v>0</v>
      </c>
      <c r="Q16" s="82">
        <f t="shared" si="1"/>
        <v>0</v>
      </c>
      <c r="R16" s="61">
        <f t="shared" ref="R16:W16" si="2">SUM(R11:R15)</f>
        <v>0</v>
      </c>
      <c r="S16" s="82">
        <f t="shared" si="2"/>
        <v>0</v>
      </c>
      <c r="T16" s="61">
        <f t="shared" si="2"/>
        <v>0</v>
      </c>
      <c r="U16" s="82">
        <f t="shared" si="2"/>
        <v>0</v>
      </c>
      <c r="V16" s="61">
        <f t="shared" si="2"/>
        <v>0</v>
      </c>
      <c r="W16" s="82">
        <f t="shared" si="2"/>
        <v>0</v>
      </c>
      <c r="X16" s="61">
        <f>SUM(X11:X15)</f>
        <v>0</v>
      </c>
      <c r="Y16" s="82">
        <f>SUM(Y11:Y15)</f>
        <v>0</v>
      </c>
      <c r="Z16" s="61">
        <f>SUM(Z11:Z15)</f>
        <v>0</v>
      </c>
      <c r="AA16" s="82">
        <f>SUM(AA11:AA15)</f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  <c r="AF16" s="61">
        <f>SUM(AF11:AF15)</f>
        <v>0</v>
      </c>
      <c r="AG16" s="82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'TIE-OUT'!H19+RECLASS!Z19</f>
        <v>0</v>
      </c>
      <c r="G19" s="68">
        <f>'TIE-OUT'!I19+RECLASS!AA19</f>
        <v>0</v>
      </c>
      <c r="H19" s="126">
        <v>0</v>
      </c>
      <c r="I19" s="127">
        <v>0</v>
      </c>
      <c r="J19" s="126">
        <v>0</v>
      </c>
      <c r="K19" s="127">
        <v>0</v>
      </c>
      <c r="L19" s="126">
        <v>0</v>
      </c>
      <c r="M19" s="127">
        <v>0</v>
      </c>
      <c r="N19" s="126">
        <v>0</v>
      </c>
      <c r="O19" s="127">
        <v>0</v>
      </c>
      <c r="P19" s="126">
        <v>0</v>
      </c>
      <c r="Q19" s="127">
        <v>0</v>
      </c>
      <c r="R19" s="126">
        <v>0</v>
      </c>
      <c r="S19" s="127">
        <v>0</v>
      </c>
      <c r="T19" s="126">
        <v>0</v>
      </c>
      <c r="U19" s="127">
        <v>0</v>
      </c>
      <c r="V19" s="126">
        <v>0</v>
      </c>
      <c r="W19" s="127">
        <v>0</v>
      </c>
      <c r="X19" s="126">
        <v>0</v>
      </c>
      <c r="Y19" s="127">
        <v>0</v>
      </c>
      <c r="Z19" s="126">
        <v>0</v>
      </c>
      <c r="AA19" s="127">
        <v>0</v>
      </c>
      <c r="AB19" s="126">
        <v>0</v>
      </c>
      <c r="AC19" s="127">
        <v>0</v>
      </c>
      <c r="AD19" s="126">
        <v>0</v>
      </c>
      <c r="AE19" s="127">
        <v>0</v>
      </c>
      <c r="AF19" s="126">
        <v>0</v>
      </c>
      <c r="AG19" s="127"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6">
        <v>0</v>
      </c>
      <c r="I20" s="127">
        <v>0</v>
      </c>
      <c r="J20" s="126">
        <v>0</v>
      </c>
      <c r="K20" s="127">
        <v>0</v>
      </c>
      <c r="L20" s="126">
        <v>0</v>
      </c>
      <c r="M20" s="127">
        <v>0</v>
      </c>
      <c r="N20" s="126">
        <v>0</v>
      </c>
      <c r="O20" s="127">
        <v>0</v>
      </c>
      <c r="P20" s="126">
        <v>0</v>
      </c>
      <c r="Q20" s="127">
        <v>0</v>
      </c>
      <c r="R20" s="126">
        <v>0</v>
      </c>
      <c r="S20" s="127">
        <v>0</v>
      </c>
      <c r="T20" s="126">
        <v>0</v>
      </c>
      <c r="U20" s="127">
        <v>0</v>
      </c>
      <c r="V20" s="126">
        <v>0</v>
      </c>
      <c r="W20" s="127">
        <v>0</v>
      </c>
      <c r="X20" s="126">
        <v>0</v>
      </c>
      <c r="Y20" s="127">
        <v>0</v>
      </c>
      <c r="Z20" s="126">
        <v>0</v>
      </c>
      <c r="AA20" s="127">
        <v>0</v>
      </c>
      <c r="AB20" s="126">
        <v>0</v>
      </c>
      <c r="AC20" s="127">
        <v>0</v>
      </c>
      <c r="AD20" s="126">
        <v>0</v>
      </c>
      <c r="AE20" s="127">
        <v>0</v>
      </c>
      <c r="AF20" s="126">
        <v>0</v>
      </c>
      <c r="AG20" s="127"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'TIE-OUT'!H21+RECLASS!Z21</f>
        <v>0</v>
      </c>
      <c r="G21" s="38">
        <f>'TIE-OUT'!I21+RECLASS!AA21</f>
        <v>0</v>
      </c>
      <c r="H21" s="126">
        <v>0</v>
      </c>
      <c r="I21" s="127">
        <v>0</v>
      </c>
      <c r="J21" s="126">
        <v>0</v>
      </c>
      <c r="K21" s="127">
        <v>0</v>
      </c>
      <c r="L21" s="126">
        <v>0</v>
      </c>
      <c r="M21" s="127">
        <v>0</v>
      </c>
      <c r="N21" s="126">
        <v>0</v>
      </c>
      <c r="O21" s="127">
        <v>0</v>
      </c>
      <c r="P21" s="126">
        <v>0</v>
      </c>
      <c r="Q21" s="127">
        <v>0</v>
      </c>
      <c r="R21" s="126">
        <v>0</v>
      </c>
      <c r="S21" s="127">
        <v>0</v>
      </c>
      <c r="T21" s="126">
        <v>0</v>
      </c>
      <c r="U21" s="127">
        <v>0</v>
      </c>
      <c r="V21" s="126">
        <v>0</v>
      </c>
      <c r="W21" s="127">
        <v>0</v>
      </c>
      <c r="X21" s="126">
        <v>0</v>
      </c>
      <c r="Y21" s="127">
        <v>0</v>
      </c>
      <c r="Z21" s="126">
        <v>0</v>
      </c>
      <c r="AA21" s="127">
        <v>0</v>
      </c>
      <c r="AB21" s="126">
        <v>0</v>
      </c>
      <c r="AC21" s="127">
        <v>0</v>
      </c>
      <c r="AD21" s="126">
        <v>0</v>
      </c>
      <c r="AE21" s="127">
        <v>0</v>
      </c>
      <c r="AF21" s="126">
        <v>0</v>
      </c>
      <c r="AG21" s="127"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6">
        <v>0</v>
      </c>
      <c r="I22" s="127">
        <v>0</v>
      </c>
      <c r="J22" s="126">
        <v>0</v>
      </c>
      <c r="K22" s="127">
        <v>0</v>
      </c>
      <c r="L22" s="126">
        <v>0</v>
      </c>
      <c r="M22" s="127">
        <v>0</v>
      </c>
      <c r="N22" s="126">
        <v>0</v>
      </c>
      <c r="O22" s="127">
        <v>0</v>
      </c>
      <c r="P22" s="126">
        <v>0</v>
      </c>
      <c r="Q22" s="127">
        <v>0</v>
      </c>
      <c r="R22" s="126">
        <v>0</v>
      </c>
      <c r="S22" s="127">
        <v>0</v>
      </c>
      <c r="T22" s="126">
        <v>0</v>
      </c>
      <c r="U22" s="127">
        <v>0</v>
      </c>
      <c r="V22" s="126">
        <v>0</v>
      </c>
      <c r="W22" s="127">
        <v>0</v>
      </c>
      <c r="X22" s="126">
        <v>0</v>
      </c>
      <c r="Y22" s="127">
        <v>0</v>
      </c>
      <c r="Z22" s="126">
        <v>0</v>
      </c>
      <c r="AA22" s="127">
        <v>0</v>
      </c>
      <c r="AB22" s="126">
        <v>0</v>
      </c>
      <c r="AC22" s="127">
        <v>0</v>
      </c>
      <c r="AD22" s="126">
        <v>0</v>
      </c>
      <c r="AE22" s="127">
        <v>0</v>
      </c>
      <c r="AF22" s="126">
        <v>0</v>
      </c>
      <c r="AG22" s="127"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'TIE-OUT'!H23+RECLASS!Z23</f>
        <v>0</v>
      </c>
      <c r="G23" s="82">
        <f>'TIE-OUT'!I23+RECLASS!AA23</f>
        <v>0</v>
      </c>
      <c r="H23" s="126">
        <v>0</v>
      </c>
      <c r="I23" s="127">
        <v>0</v>
      </c>
      <c r="J23" s="126">
        <v>0</v>
      </c>
      <c r="K23" s="127">
        <v>0</v>
      </c>
      <c r="L23" s="126">
        <v>0</v>
      </c>
      <c r="M23" s="127">
        <v>0</v>
      </c>
      <c r="N23" s="126">
        <v>0</v>
      </c>
      <c r="O23" s="127">
        <v>0</v>
      </c>
      <c r="P23" s="126">
        <v>0</v>
      </c>
      <c r="Q23" s="127">
        <v>0</v>
      </c>
      <c r="R23" s="126">
        <v>0</v>
      </c>
      <c r="S23" s="127">
        <v>0</v>
      </c>
      <c r="T23" s="126">
        <v>0</v>
      </c>
      <c r="U23" s="127">
        <v>0</v>
      </c>
      <c r="V23" s="126">
        <v>0</v>
      </c>
      <c r="W23" s="127">
        <v>0</v>
      </c>
      <c r="X23" s="126">
        <v>0</v>
      </c>
      <c r="Y23" s="127">
        <v>0</v>
      </c>
      <c r="Z23" s="126">
        <v>0</v>
      </c>
      <c r="AA23" s="127">
        <v>0</v>
      </c>
      <c r="AB23" s="126">
        <v>0</v>
      </c>
      <c r="AC23" s="127">
        <v>0</v>
      </c>
      <c r="AD23" s="126">
        <v>0</v>
      </c>
      <c r="AE23" s="127">
        <v>0</v>
      </c>
      <c r="AF23" s="126">
        <v>0</v>
      </c>
      <c r="AG23" s="127">
        <v>0</v>
      </c>
    </row>
    <row r="24" spans="1:33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'TIE-OUT'!H27+RECLASS!Z27</f>
        <v>0</v>
      </c>
      <c r="G27" s="68">
        <f>'TIE-OUT'!I27+RECLASS!AA27</f>
        <v>0</v>
      </c>
      <c r="H27" s="126">
        <v>0</v>
      </c>
      <c r="I27" s="127">
        <v>0</v>
      </c>
      <c r="J27" s="126">
        <v>0</v>
      </c>
      <c r="K27" s="127">
        <v>0</v>
      </c>
      <c r="L27" s="126">
        <v>0</v>
      </c>
      <c r="M27" s="127">
        <v>0</v>
      </c>
      <c r="N27" s="126">
        <v>0</v>
      </c>
      <c r="O27" s="127">
        <v>0</v>
      </c>
      <c r="P27" s="126">
        <v>0</v>
      </c>
      <c r="Q27" s="127">
        <v>0</v>
      </c>
      <c r="R27" s="126">
        <v>0</v>
      </c>
      <c r="S27" s="127">
        <v>0</v>
      </c>
      <c r="T27" s="126">
        <v>0</v>
      </c>
      <c r="U27" s="127">
        <v>0</v>
      </c>
      <c r="V27" s="126">
        <v>0</v>
      </c>
      <c r="W27" s="127">
        <v>0</v>
      </c>
      <c r="X27" s="126">
        <v>0</v>
      </c>
      <c r="Y27" s="127">
        <v>0</v>
      </c>
      <c r="Z27" s="126">
        <v>0</v>
      </c>
      <c r="AA27" s="127">
        <v>0</v>
      </c>
      <c r="AB27" s="126">
        <v>0</v>
      </c>
      <c r="AC27" s="127">
        <v>0</v>
      </c>
      <c r="AD27" s="126">
        <v>0</v>
      </c>
      <c r="AE27" s="127">
        <v>0</v>
      </c>
      <c r="AF27" s="126">
        <v>0</v>
      </c>
      <c r="AG27" s="127"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'TIE-OUT'!H28+RECLASS!Z28</f>
        <v>0</v>
      </c>
      <c r="G28" s="82">
        <f>'TIE-OUT'!I28+RECLASS!AA28</f>
        <v>0</v>
      </c>
      <c r="H28" s="126">
        <v>0</v>
      </c>
      <c r="I28" s="127">
        <v>0</v>
      </c>
      <c r="J28" s="126">
        <v>0</v>
      </c>
      <c r="K28" s="127">
        <v>0</v>
      </c>
      <c r="L28" s="126">
        <v>0</v>
      </c>
      <c r="M28" s="127">
        <v>0</v>
      </c>
      <c r="N28" s="126">
        <v>0</v>
      </c>
      <c r="O28" s="127">
        <v>0</v>
      </c>
      <c r="P28" s="126">
        <v>0</v>
      </c>
      <c r="Q28" s="127">
        <v>0</v>
      </c>
      <c r="R28" s="126">
        <v>0</v>
      </c>
      <c r="S28" s="127">
        <v>0</v>
      </c>
      <c r="T28" s="126">
        <v>0</v>
      </c>
      <c r="U28" s="127">
        <v>0</v>
      </c>
      <c r="V28" s="126">
        <v>0</v>
      </c>
      <c r="W28" s="127">
        <v>0</v>
      </c>
      <c r="X28" s="126">
        <v>0</v>
      </c>
      <c r="Y28" s="127">
        <v>0</v>
      </c>
      <c r="Z28" s="126">
        <v>0</v>
      </c>
      <c r="AA28" s="127">
        <v>0</v>
      </c>
      <c r="AB28" s="126">
        <v>0</v>
      </c>
      <c r="AC28" s="127">
        <v>0</v>
      </c>
      <c r="AD28" s="126">
        <v>0</v>
      </c>
      <c r="AE28" s="127">
        <v>0</v>
      </c>
      <c r="AF28" s="126">
        <v>0</v>
      </c>
      <c r="AG28" s="127">
        <v>0</v>
      </c>
    </row>
    <row r="29" spans="1:33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6">
        <v>0</v>
      </c>
      <c r="I32" s="127">
        <v>0</v>
      </c>
      <c r="J32" s="126">
        <v>0</v>
      </c>
      <c r="K32" s="127">
        <v>0</v>
      </c>
      <c r="L32" s="126">
        <v>0</v>
      </c>
      <c r="M32" s="127">
        <v>0</v>
      </c>
      <c r="N32" s="126">
        <v>0</v>
      </c>
      <c r="O32" s="127">
        <v>0</v>
      </c>
      <c r="P32" s="126">
        <v>0</v>
      </c>
      <c r="Q32" s="127">
        <v>0</v>
      </c>
      <c r="R32" s="126">
        <v>0</v>
      </c>
      <c r="S32" s="127">
        <v>0</v>
      </c>
      <c r="T32" s="126">
        <v>0</v>
      </c>
      <c r="U32" s="127">
        <v>0</v>
      </c>
      <c r="V32" s="126">
        <v>0</v>
      </c>
      <c r="W32" s="127">
        <v>0</v>
      </c>
      <c r="X32" s="126">
        <v>0</v>
      </c>
      <c r="Y32" s="127">
        <v>0</v>
      </c>
      <c r="Z32" s="126">
        <v>0</v>
      </c>
      <c r="AA32" s="127">
        <v>0</v>
      </c>
      <c r="AB32" s="126">
        <v>0</v>
      </c>
      <c r="AC32" s="127">
        <v>0</v>
      </c>
      <c r="AD32" s="126">
        <v>0</v>
      </c>
      <c r="AE32" s="127">
        <v>0</v>
      </c>
      <c r="AF32" s="126">
        <v>0</v>
      </c>
      <c r="AG32" s="127"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6">
        <v>0</v>
      </c>
      <c r="I33" s="127">
        <v>0</v>
      </c>
      <c r="J33" s="126">
        <v>0</v>
      </c>
      <c r="K33" s="127">
        <v>0</v>
      </c>
      <c r="L33" s="126">
        <v>0</v>
      </c>
      <c r="M33" s="127">
        <v>0</v>
      </c>
      <c r="N33" s="126">
        <v>0</v>
      </c>
      <c r="O33" s="127">
        <v>0</v>
      </c>
      <c r="P33" s="126">
        <v>0</v>
      </c>
      <c r="Q33" s="127">
        <v>0</v>
      </c>
      <c r="R33" s="126">
        <v>0</v>
      </c>
      <c r="S33" s="127">
        <v>0</v>
      </c>
      <c r="T33" s="126">
        <v>0</v>
      </c>
      <c r="U33" s="127">
        <v>0</v>
      </c>
      <c r="V33" s="126">
        <v>0</v>
      </c>
      <c r="W33" s="127">
        <v>0</v>
      </c>
      <c r="X33" s="126">
        <v>0</v>
      </c>
      <c r="Y33" s="127">
        <v>0</v>
      </c>
      <c r="Z33" s="126">
        <v>0</v>
      </c>
      <c r="AA33" s="127">
        <v>0</v>
      </c>
      <c r="AB33" s="126">
        <v>0</v>
      </c>
      <c r="AC33" s="127">
        <v>0</v>
      </c>
      <c r="AD33" s="126">
        <v>0</v>
      </c>
      <c r="AE33" s="127">
        <v>0</v>
      </c>
      <c r="AF33" s="126">
        <v>0</v>
      </c>
      <c r="AG33" s="127"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6">
        <v>0</v>
      </c>
      <c r="I34" s="127">
        <v>0</v>
      </c>
      <c r="J34" s="126">
        <v>0</v>
      </c>
      <c r="K34" s="127">
        <v>0</v>
      </c>
      <c r="L34" s="126">
        <v>0</v>
      </c>
      <c r="M34" s="127">
        <v>0</v>
      </c>
      <c r="N34" s="126">
        <v>0</v>
      </c>
      <c r="O34" s="127">
        <v>0</v>
      </c>
      <c r="P34" s="126">
        <v>0</v>
      </c>
      <c r="Q34" s="127">
        <v>0</v>
      </c>
      <c r="R34" s="126">
        <v>0</v>
      </c>
      <c r="S34" s="127">
        <v>0</v>
      </c>
      <c r="T34" s="126">
        <v>0</v>
      </c>
      <c r="U34" s="127">
        <v>0</v>
      </c>
      <c r="V34" s="126">
        <v>0</v>
      </c>
      <c r="W34" s="127">
        <v>0</v>
      </c>
      <c r="X34" s="126">
        <v>0</v>
      </c>
      <c r="Y34" s="127">
        <v>0</v>
      </c>
      <c r="Z34" s="126">
        <v>0</v>
      </c>
      <c r="AA34" s="127">
        <v>0</v>
      </c>
      <c r="AB34" s="126">
        <v>0</v>
      </c>
      <c r="AC34" s="127">
        <v>0</v>
      </c>
      <c r="AD34" s="126">
        <v>0</v>
      </c>
      <c r="AE34" s="127">
        <v>0</v>
      </c>
      <c r="AF34" s="126">
        <v>0</v>
      </c>
      <c r="AG34" s="127"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6">
        <v>0</v>
      </c>
      <c r="I35" s="127">
        <v>0</v>
      </c>
      <c r="J35" s="126">
        <v>0</v>
      </c>
      <c r="K35" s="127">
        <v>0</v>
      </c>
      <c r="L35" s="126">
        <v>0</v>
      </c>
      <c r="M35" s="127">
        <v>0</v>
      </c>
      <c r="N35" s="126">
        <v>0</v>
      </c>
      <c r="O35" s="127">
        <v>0</v>
      </c>
      <c r="P35" s="126">
        <v>0</v>
      </c>
      <c r="Q35" s="127">
        <v>0</v>
      </c>
      <c r="R35" s="126">
        <v>0</v>
      </c>
      <c r="S35" s="127">
        <v>0</v>
      </c>
      <c r="T35" s="126">
        <v>0</v>
      </c>
      <c r="U35" s="127">
        <v>0</v>
      </c>
      <c r="V35" s="126">
        <v>0</v>
      </c>
      <c r="W35" s="127">
        <v>0</v>
      </c>
      <c r="X35" s="126">
        <v>0</v>
      </c>
      <c r="Y35" s="127">
        <v>0</v>
      </c>
      <c r="Z35" s="126">
        <v>0</v>
      </c>
      <c r="AA35" s="127">
        <v>0</v>
      </c>
      <c r="AB35" s="126">
        <v>0</v>
      </c>
      <c r="AC35" s="127">
        <v>0</v>
      </c>
      <c r="AD35" s="126">
        <v>0</v>
      </c>
      <c r="AE35" s="127">
        <v>0</v>
      </c>
      <c r="AF35" s="126">
        <v>0</v>
      </c>
      <c r="AG35" s="127">
        <v>0</v>
      </c>
    </row>
    <row r="36" spans="1:33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6">
        <v>0</v>
      </c>
      <c r="I39" s="127">
        <v>0</v>
      </c>
      <c r="J39" s="126">
        <v>0</v>
      </c>
      <c r="K39" s="127">
        <v>0</v>
      </c>
      <c r="L39" s="126">
        <v>0</v>
      </c>
      <c r="M39" s="127">
        <v>0</v>
      </c>
      <c r="N39" s="126">
        <v>0</v>
      </c>
      <c r="O39" s="127">
        <v>0</v>
      </c>
      <c r="P39" s="126">
        <v>0</v>
      </c>
      <c r="Q39" s="127">
        <v>0</v>
      </c>
      <c r="R39" s="126">
        <v>0</v>
      </c>
      <c r="S39" s="127">
        <v>0</v>
      </c>
      <c r="T39" s="126">
        <v>0</v>
      </c>
      <c r="U39" s="127">
        <v>0</v>
      </c>
      <c r="V39" s="126">
        <v>0</v>
      </c>
      <c r="W39" s="127">
        <v>0</v>
      </c>
      <c r="X39" s="126">
        <v>0</v>
      </c>
      <c r="Y39" s="127">
        <v>0</v>
      </c>
      <c r="Z39" s="126">
        <v>0</v>
      </c>
      <c r="AA39" s="127">
        <v>0</v>
      </c>
      <c r="AB39" s="126">
        <v>0</v>
      </c>
      <c r="AC39" s="127">
        <v>0</v>
      </c>
      <c r="AD39" s="126">
        <v>0</v>
      </c>
      <c r="AE39" s="127">
        <v>0</v>
      </c>
      <c r="AF39" s="126">
        <v>0</v>
      </c>
      <c r="AG39" s="127"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6">
        <v>0</v>
      </c>
      <c r="I40" s="127">
        <v>0</v>
      </c>
      <c r="J40" s="126">
        <v>0</v>
      </c>
      <c r="K40" s="127">
        <v>0</v>
      </c>
      <c r="L40" s="126">
        <v>0</v>
      </c>
      <c r="M40" s="127">
        <v>0</v>
      </c>
      <c r="N40" s="126">
        <v>0</v>
      </c>
      <c r="O40" s="127">
        <v>0</v>
      </c>
      <c r="P40" s="126">
        <v>0</v>
      </c>
      <c r="Q40" s="127">
        <v>0</v>
      </c>
      <c r="R40" s="126">
        <v>0</v>
      </c>
      <c r="S40" s="127">
        <v>0</v>
      </c>
      <c r="T40" s="126">
        <v>0</v>
      </c>
      <c r="U40" s="127">
        <v>0</v>
      </c>
      <c r="V40" s="126">
        <v>0</v>
      </c>
      <c r="W40" s="127">
        <v>0</v>
      </c>
      <c r="X40" s="126">
        <v>0</v>
      </c>
      <c r="Y40" s="127">
        <v>0</v>
      </c>
      <c r="Z40" s="126">
        <v>0</v>
      </c>
      <c r="AA40" s="127">
        <v>0</v>
      </c>
      <c r="AB40" s="126">
        <v>0</v>
      </c>
      <c r="AC40" s="127">
        <v>0</v>
      </c>
      <c r="AD40" s="126">
        <v>0</v>
      </c>
      <c r="AE40" s="127">
        <v>0</v>
      </c>
      <c r="AF40" s="126">
        <v>0</v>
      </c>
      <c r="AG40" s="127"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6">
        <v>0</v>
      </c>
      <c r="I41" s="127">
        <v>0</v>
      </c>
      <c r="J41" s="126">
        <v>0</v>
      </c>
      <c r="K41" s="127">
        <v>0</v>
      </c>
      <c r="L41" s="126">
        <v>0</v>
      </c>
      <c r="M41" s="127">
        <v>0</v>
      </c>
      <c r="N41" s="126">
        <v>0</v>
      </c>
      <c r="O41" s="127">
        <v>0</v>
      </c>
      <c r="P41" s="126">
        <v>0</v>
      </c>
      <c r="Q41" s="127">
        <v>0</v>
      </c>
      <c r="R41" s="126">
        <v>0</v>
      </c>
      <c r="S41" s="127">
        <v>0</v>
      </c>
      <c r="T41" s="126">
        <v>0</v>
      </c>
      <c r="U41" s="127">
        <v>0</v>
      </c>
      <c r="V41" s="126">
        <v>0</v>
      </c>
      <c r="W41" s="127">
        <v>0</v>
      </c>
      <c r="X41" s="126">
        <v>0</v>
      </c>
      <c r="Y41" s="127">
        <v>0</v>
      </c>
      <c r="Z41" s="126">
        <v>0</v>
      </c>
      <c r="AA41" s="127">
        <v>0</v>
      </c>
      <c r="AB41" s="126">
        <v>0</v>
      </c>
      <c r="AC41" s="127">
        <v>0</v>
      </c>
      <c r="AD41" s="126">
        <v>0</v>
      </c>
      <c r="AE41" s="127">
        <v>0</v>
      </c>
      <c r="AF41" s="126">
        <v>0</v>
      </c>
      <c r="AG41" s="127">
        <v>0</v>
      </c>
    </row>
    <row r="42" spans="1:33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'TIE-OUT'!H45+RECLASS!Z45</f>
        <v>0</v>
      </c>
      <c r="G45" s="68">
        <f>'TIE-OUT'!I45+RECLASS!AA45</f>
        <v>0</v>
      </c>
      <c r="H45" s="126">
        <v>0</v>
      </c>
      <c r="I45" s="127">
        <v>0</v>
      </c>
      <c r="J45" s="126">
        <v>0</v>
      </c>
      <c r="K45" s="127">
        <v>0</v>
      </c>
      <c r="L45" s="126">
        <v>0</v>
      </c>
      <c r="M45" s="127">
        <v>0</v>
      </c>
      <c r="N45" s="126">
        <v>0</v>
      </c>
      <c r="O45" s="127">
        <v>0</v>
      </c>
      <c r="P45" s="126">
        <v>0</v>
      </c>
      <c r="Q45" s="127">
        <v>0</v>
      </c>
      <c r="R45" s="126">
        <v>0</v>
      </c>
      <c r="S45" s="127">
        <v>0</v>
      </c>
      <c r="T45" s="126">
        <v>0</v>
      </c>
      <c r="U45" s="127">
        <v>0</v>
      </c>
      <c r="V45" s="126">
        <v>0</v>
      </c>
      <c r="W45" s="127">
        <v>0</v>
      </c>
      <c r="X45" s="126">
        <v>0</v>
      </c>
      <c r="Y45" s="127">
        <v>0</v>
      </c>
      <c r="Z45" s="126">
        <v>0</v>
      </c>
      <c r="AA45" s="127">
        <v>0</v>
      </c>
      <c r="AB45" s="126">
        <v>0</v>
      </c>
      <c r="AC45" s="127">
        <v>0</v>
      </c>
      <c r="AD45" s="126">
        <v>0</v>
      </c>
      <c r="AE45" s="127">
        <v>0</v>
      </c>
      <c r="AF45" s="126">
        <v>0</v>
      </c>
      <c r="AG45" s="127"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'TIE-OUT'!H47+RECLASS!Z47</f>
        <v>0</v>
      </c>
      <c r="G47" s="38">
        <f>'TIE-OUT'!I47+RECLASS!AA47</f>
        <v>0</v>
      </c>
      <c r="H47" s="126">
        <v>0</v>
      </c>
      <c r="I47" s="127">
        <v>0</v>
      </c>
      <c r="J47" s="126">
        <v>0</v>
      </c>
      <c r="K47" s="127">
        <v>0</v>
      </c>
      <c r="L47" s="126">
        <v>0</v>
      </c>
      <c r="M47" s="127">
        <v>0</v>
      </c>
      <c r="N47" s="126">
        <v>0</v>
      </c>
      <c r="O47" s="127">
        <v>0</v>
      </c>
      <c r="P47" s="126">
        <v>0</v>
      </c>
      <c r="Q47" s="127">
        <v>0</v>
      </c>
      <c r="R47" s="126">
        <v>0</v>
      </c>
      <c r="S47" s="127">
        <v>0</v>
      </c>
      <c r="T47" s="126">
        <v>0</v>
      </c>
      <c r="U47" s="127">
        <v>0</v>
      </c>
      <c r="V47" s="126">
        <v>0</v>
      </c>
      <c r="W47" s="127">
        <v>0</v>
      </c>
      <c r="X47" s="126">
        <v>0</v>
      </c>
      <c r="Y47" s="127">
        <v>0</v>
      </c>
      <c r="Z47" s="126">
        <v>0</v>
      </c>
      <c r="AA47" s="127">
        <v>0</v>
      </c>
      <c r="AB47" s="126">
        <v>0</v>
      </c>
      <c r="AC47" s="127">
        <v>0</v>
      </c>
      <c r="AD47" s="126">
        <v>0</v>
      </c>
      <c r="AE47" s="127">
        <v>0</v>
      </c>
      <c r="AF47" s="126">
        <v>0</v>
      </c>
      <c r="AG47" s="127"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'TIE-OUT'!H49+RECLASS!Z49</f>
        <v>0</v>
      </c>
      <c r="G49" s="38">
        <f>'TIE-OUT'!I49+RECLASS!AA49</f>
        <v>0</v>
      </c>
      <c r="H49" s="126">
        <v>0</v>
      </c>
      <c r="I49" s="127">
        <v>0</v>
      </c>
      <c r="J49" s="126">
        <v>0</v>
      </c>
      <c r="K49" s="127">
        <v>0</v>
      </c>
      <c r="L49" s="126">
        <v>0</v>
      </c>
      <c r="M49" s="127">
        <v>0</v>
      </c>
      <c r="N49" s="126">
        <v>0</v>
      </c>
      <c r="O49" s="127">
        <v>0</v>
      </c>
      <c r="P49" s="126">
        <v>0</v>
      </c>
      <c r="Q49" s="127">
        <v>0</v>
      </c>
      <c r="R49" s="126">
        <v>0</v>
      </c>
      <c r="S49" s="127">
        <v>0</v>
      </c>
      <c r="T49" s="126">
        <v>0</v>
      </c>
      <c r="U49" s="127">
        <v>0</v>
      </c>
      <c r="V49" s="126">
        <v>0</v>
      </c>
      <c r="W49" s="127">
        <v>0</v>
      </c>
      <c r="X49" s="126">
        <v>0</v>
      </c>
      <c r="Y49" s="127">
        <v>0</v>
      </c>
      <c r="Z49" s="126">
        <v>0</v>
      </c>
      <c r="AA49" s="127">
        <v>0</v>
      </c>
      <c r="AB49" s="126">
        <v>0</v>
      </c>
      <c r="AC49" s="127">
        <v>0</v>
      </c>
      <c r="AD49" s="126">
        <v>0</v>
      </c>
      <c r="AE49" s="127">
        <v>0</v>
      </c>
      <c r="AF49" s="126">
        <v>0</v>
      </c>
      <c r="AG49" s="127"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'TIE-OUT'!H51+RECLASS!Z51</f>
        <v>0</v>
      </c>
      <c r="G51" s="38">
        <f>'TIE-OUT'!I51+RECLASS!AA51</f>
        <v>0</v>
      </c>
      <c r="H51" s="126">
        <v>0</v>
      </c>
      <c r="I51" s="127">
        <v>0</v>
      </c>
      <c r="J51" s="126">
        <v>0</v>
      </c>
      <c r="K51" s="127">
        <v>0</v>
      </c>
      <c r="L51" s="126">
        <v>0</v>
      </c>
      <c r="M51" s="127">
        <v>0</v>
      </c>
      <c r="N51" s="126">
        <v>0</v>
      </c>
      <c r="O51" s="127">
        <v>0</v>
      </c>
      <c r="P51" s="126">
        <v>0</v>
      </c>
      <c r="Q51" s="127">
        <v>0</v>
      </c>
      <c r="R51" s="126">
        <v>0</v>
      </c>
      <c r="S51" s="127">
        <v>0</v>
      </c>
      <c r="T51" s="126">
        <v>0</v>
      </c>
      <c r="U51" s="127">
        <v>0</v>
      </c>
      <c r="V51" s="126">
        <v>0</v>
      </c>
      <c r="W51" s="127">
        <v>0</v>
      </c>
      <c r="X51" s="126">
        <v>0</v>
      </c>
      <c r="Y51" s="127">
        <v>0</v>
      </c>
      <c r="Z51" s="126">
        <v>0</v>
      </c>
      <c r="AA51" s="127">
        <v>0</v>
      </c>
      <c r="AB51" s="126">
        <v>0</v>
      </c>
      <c r="AC51" s="127">
        <v>0</v>
      </c>
      <c r="AD51" s="126">
        <v>0</v>
      </c>
      <c r="AE51" s="127">
        <v>0</v>
      </c>
      <c r="AF51" s="126">
        <v>0</v>
      </c>
      <c r="AG51" s="127"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'TIE-OUT'!H54+RECLASS!Z54</f>
        <v>0</v>
      </c>
      <c r="G54" s="68">
        <f>'TIE-OUT'!I54+RECLASS!AA54</f>
        <v>0</v>
      </c>
      <c r="H54" s="126">
        <v>0</v>
      </c>
      <c r="I54" s="127">
        <v>0</v>
      </c>
      <c r="J54" s="126">
        <v>0</v>
      </c>
      <c r="K54" s="127">
        <v>0</v>
      </c>
      <c r="L54" s="126">
        <v>0</v>
      </c>
      <c r="M54" s="127">
        <v>0</v>
      </c>
      <c r="N54" s="126">
        <v>0</v>
      </c>
      <c r="O54" s="127">
        <v>0</v>
      </c>
      <c r="P54" s="126">
        <v>0</v>
      </c>
      <c r="Q54" s="127">
        <v>0</v>
      </c>
      <c r="R54" s="126">
        <v>0</v>
      </c>
      <c r="S54" s="127">
        <v>0</v>
      </c>
      <c r="T54" s="126">
        <v>0</v>
      </c>
      <c r="U54" s="127">
        <v>0</v>
      </c>
      <c r="V54" s="126">
        <v>0</v>
      </c>
      <c r="W54" s="127">
        <v>0</v>
      </c>
      <c r="X54" s="126">
        <v>0</v>
      </c>
      <c r="Y54" s="127">
        <v>0</v>
      </c>
      <c r="Z54" s="126">
        <v>0</v>
      </c>
      <c r="AA54" s="127">
        <v>0</v>
      </c>
      <c r="AB54" s="126">
        <v>0</v>
      </c>
      <c r="AC54" s="127">
        <v>0</v>
      </c>
      <c r="AD54" s="126">
        <v>0</v>
      </c>
      <c r="AE54" s="127">
        <v>0</v>
      </c>
      <c r="AF54" s="126">
        <v>0</v>
      </c>
      <c r="AG54" s="127"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'TIE-OUT'!H55+RECLASS!Z55</f>
        <v>0</v>
      </c>
      <c r="G55" s="82">
        <f>'TIE-OUT'!I55+RECLASS!AA55</f>
        <v>0</v>
      </c>
      <c r="H55" s="126">
        <v>0</v>
      </c>
      <c r="I55" s="127">
        <v>0</v>
      </c>
      <c r="J55" s="126">
        <v>0</v>
      </c>
      <c r="K55" s="127">
        <v>0</v>
      </c>
      <c r="L55" s="126">
        <v>0</v>
      </c>
      <c r="M55" s="127">
        <v>0</v>
      </c>
      <c r="N55" s="126">
        <v>0</v>
      </c>
      <c r="O55" s="127">
        <v>0</v>
      </c>
      <c r="P55" s="126">
        <v>0</v>
      </c>
      <c r="Q55" s="127">
        <v>0</v>
      </c>
      <c r="R55" s="126">
        <v>0</v>
      </c>
      <c r="S55" s="127">
        <v>0</v>
      </c>
      <c r="T55" s="126">
        <v>0</v>
      </c>
      <c r="U55" s="127">
        <v>0</v>
      </c>
      <c r="V55" s="126">
        <v>0</v>
      </c>
      <c r="W55" s="127">
        <v>0</v>
      </c>
      <c r="X55" s="126">
        <v>0</v>
      </c>
      <c r="Y55" s="127">
        <v>0</v>
      </c>
      <c r="Z55" s="126">
        <v>0</v>
      </c>
      <c r="AA55" s="127">
        <v>0</v>
      </c>
      <c r="AB55" s="126">
        <v>0</v>
      </c>
      <c r="AC55" s="127">
        <v>0</v>
      </c>
      <c r="AD55" s="126">
        <v>0</v>
      </c>
      <c r="AE55" s="127">
        <v>0</v>
      </c>
      <c r="AF55" s="126">
        <v>0</v>
      </c>
      <c r="AG55" s="127">
        <v>0</v>
      </c>
    </row>
    <row r="56" spans="1:33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'TIE-OUT'!H59+RECLASS!Z59</f>
        <v>0</v>
      </c>
      <c r="G59" s="68">
        <f>'TIE-OUT'!I59+RECLASS!AA59</f>
        <v>0</v>
      </c>
      <c r="H59" s="126">
        <v>0</v>
      </c>
      <c r="I59" s="127">
        <v>0</v>
      </c>
      <c r="J59" s="126">
        <v>0</v>
      </c>
      <c r="K59" s="127">
        <v>0</v>
      </c>
      <c r="L59" s="126">
        <v>0</v>
      </c>
      <c r="M59" s="127">
        <v>0</v>
      </c>
      <c r="N59" s="126">
        <v>0</v>
      </c>
      <c r="O59" s="127">
        <v>0</v>
      </c>
      <c r="P59" s="126">
        <v>0</v>
      </c>
      <c r="Q59" s="127">
        <v>0</v>
      </c>
      <c r="R59" s="126">
        <v>0</v>
      </c>
      <c r="S59" s="127">
        <v>0</v>
      </c>
      <c r="T59" s="126">
        <v>0</v>
      </c>
      <c r="U59" s="127">
        <v>0</v>
      </c>
      <c r="V59" s="126">
        <v>0</v>
      </c>
      <c r="W59" s="127">
        <v>0</v>
      </c>
      <c r="X59" s="126">
        <v>0</v>
      </c>
      <c r="Y59" s="127">
        <v>0</v>
      </c>
      <c r="Z59" s="126">
        <v>0</v>
      </c>
      <c r="AA59" s="127">
        <v>0</v>
      </c>
      <c r="AB59" s="126">
        <v>0</v>
      </c>
      <c r="AC59" s="127">
        <v>0</v>
      </c>
      <c r="AD59" s="126">
        <v>0</v>
      </c>
      <c r="AE59" s="127">
        <v>0</v>
      </c>
      <c r="AF59" s="126">
        <v>0</v>
      </c>
      <c r="AG59" s="127"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'TIE-OUT'!H60+RECLASS!Z60</f>
        <v>0</v>
      </c>
      <c r="G60" s="82">
        <f>'TIE-OUT'!I60+RECLASS!AA60</f>
        <v>0</v>
      </c>
      <c r="H60" s="126">
        <v>0</v>
      </c>
      <c r="I60" s="127">
        <v>0</v>
      </c>
      <c r="J60" s="126">
        <v>0</v>
      </c>
      <c r="K60" s="127">
        <v>0</v>
      </c>
      <c r="L60" s="126">
        <v>0</v>
      </c>
      <c r="M60" s="127">
        <v>0</v>
      </c>
      <c r="N60" s="126">
        <v>0</v>
      </c>
      <c r="O60" s="127">
        <v>0</v>
      </c>
      <c r="P60" s="126">
        <v>0</v>
      </c>
      <c r="Q60" s="127">
        <v>0</v>
      </c>
      <c r="R60" s="126">
        <v>0</v>
      </c>
      <c r="S60" s="127">
        <v>0</v>
      </c>
      <c r="T60" s="126">
        <v>0</v>
      </c>
      <c r="U60" s="127">
        <v>0</v>
      </c>
      <c r="V60" s="126">
        <v>0</v>
      </c>
      <c r="W60" s="127">
        <v>0</v>
      </c>
      <c r="X60" s="126">
        <v>0</v>
      </c>
      <c r="Y60" s="127">
        <v>0</v>
      </c>
      <c r="Z60" s="126">
        <v>0</v>
      </c>
      <c r="AA60" s="127">
        <v>0</v>
      </c>
      <c r="AB60" s="126">
        <v>0</v>
      </c>
      <c r="AC60" s="127">
        <v>0</v>
      </c>
      <c r="AD60" s="126">
        <v>0</v>
      </c>
      <c r="AE60" s="127">
        <v>0</v>
      </c>
      <c r="AF60" s="126">
        <v>0</v>
      </c>
      <c r="AG60" s="127">
        <v>0</v>
      </c>
    </row>
    <row r="61" spans="1:33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'TIE-OUT'!H64+RECLASS!Z64</f>
        <v>0</v>
      </c>
      <c r="G64" s="68">
        <f>'TIE-OUT'!I64+RECLASS!AA64</f>
        <v>0</v>
      </c>
      <c r="H64" s="126">
        <v>0</v>
      </c>
      <c r="I64" s="127">
        <v>0</v>
      </c>
      <c r="J64" s="126">
        <v>0</v>
      </c>
      <c r="K64" s="127">
        <v>0</v>
      </c>
      <c r="L64" s="126">
        <v>0</v>
      </c>
      <c r="M64" s="127">
        <v>0</v>
      </c>
      <c r="N64" s="126">
        <v>0</v>
      </c>
      <c r="O64" s="127">
        <v>0</v>
      </c>
      <c r="P64" s="126">
        <v>0</v>
      </c>
      <c r="Q64" s="127">
        <v>0</v>
      </c>
      <c r="R64" s="126">
        <v>0</v>
      </c>
      <c r="S64" s="127">
        <v>0</v>
      </c>
      <c r="T64" s="126">
        <v>0</v>
      </c>
      <c r="U64" s="127">
        <v>0</v>
      </c>
      <c r="V64" s="126">
        <v>0</v>
      </c>
      <c r="W64" s="127">
        <v>0</v>
      </c>
      <c r="X64" s="126">
        <v>0</v>
      </c>
      <c r="Y64" s="127">
        <v>0</v>
      </c>
      <c r="Z64" s="126">
        <v>0</v>
      </c>
      <c r="AA64" s="127">
        <v>0</v>
      </c>
      <c r="AB64" s="126">
        <v>0</v>
      </c>
      <c r="AC64" s="127">
        <v>0</v>
      </c>
      <c r="AD64" s="126">
        <v>0</v>
      </c>
      <c r="AE64" s="127">
        <v>0</v>
      </c>
      <c r="AF64" s="126">
        <v>0</v>
      </c>
      <c r="AG64" s="127"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'TIE-OUT'!H65+RECLASS!Z65</f>
        <v>0</v>
      </c>
      <c r="G65" s="82">
        <f>'TIE-OUT'!I65+RECLASS!AA65</f>
        <v>0</v>
      </c>
      <c r="H65" s="126">
        <v>0</v>
      </c>
      <c r="I65" s="127">
        <v>0</v>
      </c>
      <c r="J65" s="126">
        <v>0</v>
      </c>
      <c r="K65" s="127">
        <v>0</v>
      </c>
      <c r="L65" s="126">
        <v>0</v>
      </c>
      <c r="M65" s="127">
        <v>0</v>
      </c>
      <c r="N65" s="126">
        <v>0</v>
      </c>
      <c r="O65" s="127">
        <v>0</v>
      </c>
      <c r="P65" s="126">
        <v>0</v>
      </c>
      <c r="Q65" s="127">
        <v>0</v>
      </c>
      <c r="R65" s="126">
        <v>0</v>
      </c>
      <c r="S65" s="127">
        <v>0</v>
      </c>
      <c r="T65" s="126">
        <v>0</v>
      </c>
      <c r="U65" s="127">
        <v>0</v>
      </c>
      <c r="V65" s="126">
        <v>0</v>
      </c>
      <c r="W65" s="127">
        <v>0</v>
      </c>
      <c r="X65" s="126">
        <v>0</v>
      </c>
      <c r="Y65" s="127">
        <v>0</v>
      </c>
      <c r="Z65" s="126">
        <v>0</v>
      </c>
      <c r="AA65" s="127">
        <v>0</v>
      </c>
      <c r="AB65" s="126">
        <v>0</v>
      </c>
      <c r="AC65" s="127">
        <v>0</v>
      </c>
      <c r="AD65" s="126">
        <v>0</v>
      </c>
      <c r="AE65" s="127">
        <v>0</v>
      </c>
      <c r="AF65" s="126">
        <v>0</v>
      </c>
      <c r="AG65" s="127">
        <v>0</v>
      </c>
    </row>
    <row r="66" spans="1:33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22061170</v>
      </c>
      <c r="F70" s="64">
        <f>'TIE-OUT'!H70+RECLASS!Z70</f>
        <v>0</v>
      </c>
      <c r="G70" s="68">
        <f>'TIE-OUT'!I70+RECLASS!AA70</f>
        <v>22061170</v>
      </c>
      <c r="H70" s="126">
        <v>0</v>
      </c>
      <c r="I70" s="127">
        <v>0</v>
      </c>
      <c r="J70" s="126">
        <v>0</v>
      </c>
      <c r="K70" s="127">
        <v>0</v>
      </c>
      <c r="L70" s="126">
        <v>0</v>
      </c>
      <c r="M70" s="127">
        <v>0</v>
      </c>
      <c r="N70" s="126">
        <v>0</v>
      </c>
      <c r="O70" s="127">
        <v>0</v>
      </c>
      <c r="P70" s="126">
        <v>0</v>
      </c>
      <c r="Q70" s="127">
        <v>0</v>
      </c>
      <c r="R70" s="126">
        <v>0</v>
      </c>
      <c r="S70" s="127">
        <v>0</v>
      </c>
      <c r="T70" s="126">
        <v>0</v>
      </c>
      <c r="U70" s="127">
        <v>0</v>
      </c>
      <c r="V70" s="126">
        <v>0</v>
      </c>
      <c r="W70" s="127">
        <v>0</v>
      </c>
      <c r="X70" s="126">
        <v>0</v>
      </c>
      <c r="Y70" s="127">
        <v>0</v>
      </c>
      <c r="Z70" s="126">
        <v>0</v>
      </c>
      <c r="AA70" s="127">
        <v>0</v>
      </c>
      <c r="AB70" s="126">
        <v>0</v>
      </c>
      <c r="AC70" s="127">
        <v>0</v>
      </c>
      <c r="AD70" s="126">
        <v>0</v>
      </c>
      <c r="AE70" s="127">
        <v>0</v>
      </c>
      <c r="AF70" s="126">
        <v>0</v>
      </c>
      <c r="AG70" s="127"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'TIE-OUT'!H71+RECLASS!Z71</f>
        <v>0</v>
      </c>
      <c r="G71" s="82">
        <f>'TIE-OUT'!I71+RECLASS!AA71</f>
        <v>0</v>
      </c>
      <c r="H71" s="126">
        <v>0</v>
      </c>
      <c r="I71" s="127">
        <v>0</v>
      </c>
      <c r="J71" s="126">
        <v>0</v>
      </c>
      <c r="K71" s="127">
        <v>0</v>
      </c>
      <c r="L71" s="126">
        <v>0</v>
      </c>
      <c r="M71" s="127">
        <v>0</v>
      </c>
      <c r="N71" s="126">
        <v>0</v>
      </c>
      <c r="O71" s="127">
        <v>0</v>
      </c>
      <c r="P71" s="126">
        <v>0</v>
      </c>
      <c r="Q71" s="127">
        <v>0</v>
      </c>
      <c r="R71" s="126">
        <v>0</v>
      </c>
      <c r="S71" s="127">
        <v>0</v>
      </c>
      <c r="T71" s="126">
        <v>0</v>
      </c>
      <c r="U71" s="127">
        <v>0</v>
      </c>
      <c r="V71" s="126">
        <v>0</v>
      </c>
      <c r="W71" s="127">
        <v>0</v>
      </c>
      <c r="X71" s="126">
        <v>0</v>
      </c>
      <c r="Y71" s="127">
        <v>0</v>
      </c>
      <c r="Z71" s="126">
        <v>0</v>
      </c>
      <c r="AA71" s="127">
        <v>0</v>
      </c>
      <c r="AB71" s="126">
        <v>0</v>
      </c>
      <c r="AC71" s="127">
        <v>0</v>
      </c>
      <c r="AD71" s="126">
        <v>0</v>
      </c>
      <c r="AE71" s="127">
        <v>0</v>
      </c>
      <c r="AF71" s="126">
        <v>0</v>
      </c>
      <c r="AG71" s="127">
        <v>0</v>
      </c>
    </row>
    <row r="72" spans="1:33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22061170</v>
      </c>
      <c r="F72" s="61">
        <f t="shared" si="22"/>
        <v>0</v>
      </c>
      <c r="G72" s="39">
        <f t="shared" si="22"/>
        <v>22061170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'TIE-OUT'!H73+RECLASS!Z73</f>
        <v>0</v>
      </c>
      <c r="G73" s="60">
        <f>'TIE-OUT'!I73+RECLASS!AA73</f>
        <v>0</v>
      </c>
      <c r="H73" s="126">
        <v>0</v>
      </c>
      <c r="I73" s="127">
        <v>0</v>
      </c>
      <c r="J73" s="126">
        <v>0</v>
      </c>
      <c r="K73" s="127">
        <v>0</v>
      </c>
      <c r="L73" s="126">
        <v>0</v>
      </c>
      <c r="M73" s="127">
        <v>0</v>
      </c>
      <c r="N73" s="126">
        <v>0</v>
      </c>
      <c r="O73" s="127">
        <v>0</v>
      </c>
      <c r="P73" s="126">
        <v>0</v>
      </c>
      <c r="Q73" s="127">
        <v>0</v>
      </c>
      <c r="R73" s="126">
        <v>0</v>
      </c>
      <c r="S73" s="127">
        <v>0</v>
      </c>
      <c r="T73" s="126">
        <v>0</v>
      </c>
      <c r="U73" s="127">
        <v>0</v>
      </c>
      <c r="V73" s="126">
        <v>0</v>
      </c>
      <c r="W73" s="127">
        <v>0</v>
      </c>
      <c r="X73" s="126">
        <v>0</v>
      </c>
      <c r="Y73" s="127">
        <v>0</v>
      </c>
      <c r="Z73" s="126">
        <v>0</v>
      </c>
      <c r="AA73" s="127">
        <v>0</v>
      </c>
      <c r="AB73" s="126">
        <v>0</v>
      </c>
      <c r="AC73" s="127">
        <v>0</v>
      </c>
      <c r="AD73" s="126">
        <v>0</v>
      </c>
      <c r="AE73" s="127">
        <v>0</v>
      </c>
      <c r="AF73" s="126">
        <v>0</v>
      </c>
      <c r="AG73" s="127"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-22036381</v>
      </c>
      <c r="F74" s="60">
        <f>'TIE-OUT'!H74+RECLASS!Z74</f>
        <v>0</v>
      </c>
      <c r="G74" s="60">
        <f>'TIE-OUT'!I74+RECLASS!AA74</f>
        <v>-22036381</v>
      </c>
      <c r="H74" s="126">
        <v>0</v>
      </c>
      <c r="I74" s="127">
        <v>0</v>
      </c>
      <c r="J74" s="126">
        <v>0</v>
      </c>
      <c r="K74" s="127">
        <v>0</v>
      </c>
      <c r="L74" s="126">
        <v>0</v>
      </c>
      <c r="M74" s="127">
        <v>0</v>
      </c>
      <c r="N74" s="126">
        <v>0</v>
      </c>
      <c r="O74" s="127">
        <v>0</v>
      </c>
      <c r="P74" s="126">
        <v>0</v>
      </c>
      <c r="Q74" s="127">
        <v>0</v>
      </c>
      <c r="R74" s="126">
        <v>0</v>
      </c>
      <c r="S74" s="127">
        <v>0</v>
      </c>
      <c r="T74" s="126">
        <v>0</v>
      </c>
      <c r="U74" s="127">
        <v>0</v>
      </c>
      <c r="V74" s="126">
        <v>0</v>
      </c>
      <c r="W74" s="127">
        <v>0</v>
      </c>
      <c r="X74" s="126">
        <v>0</v>
      </c>
      <c r="Y74" s="127">
        <v>0</v>
      </c>
      <c r="Z74" s="126">
        <v>0</v>
      </c>
      <c r="AA74" s="127">
        <v>0</v>
      </c>
      <c r="AB74" s="126">
        <v>0</v>
      </c>
      <c r="AC74" s="127">
        <v>0</v>
      </c>
      <c r="AD74" s="126">
        <v>0</v>
      </c>
      <c r="AE74" s="127">
        <v>0</v>
      </c>
      <c r="AF74" s="126">
        <v>0</v>
      </c>
      <c r="AG74" s="127"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'TIE-OUT'!H75+RECLASS!Z75</f>
        <v>0</v>
      </c>
      <c r="G75" s="60">
        <f>'TIE-OUT'!I75+RECLASS!AA75</f>
        <v>0</v>
      </c>
      <c r="H75" s="126">
        <v>0</v>
      </c>
      <c r="I75" s="127">
        <v>0</v>
      </c>
      <c r="J75" s="126">
        <v>0</v>
      </c>
      <c r="K75" s="127">
        <v>0</v>
      </c>
      <c r="L75" s="126">
        <v>0</v>
      </c>
      <c r="M75" s="127">
        <v>0</v>
      </c>
      <c r="N75" s="126">
        <v>0</v>
      </c>
      <c r="O75" s="127">
        <v>0</v>
      </c>
      <c r="P75" s="126">
        <v>0</v>
      </c>
      <c r="Q75" s="127">
        <v>0</v>
      </c>
      <c r="R75" s="126">
        <v>0</v>
      </c>
      <c r="S75" s="127">
        <v>0</v>
      </c>
      <c r="T75" s="126">
        <v>0</v>
      </c>
      <c r="U75" s="127">
        <v>0</v>
      </c>
      <c r="V75" s="126">
        <v>0</v>
      </c>
      <c r="W75" s="127">
        <v>0</v>
      </c>
      <c r="X75" s="126">
        <v>0</v>
      </c>
      <c r="Y75" s="127">
        <v>0</v>
      </c>
      <c r="Z75" s="126">
        <v>0</v>
      </c>
      <c r="AA75" s="127">
        <v>0</v>
      </c>
      <c r="AB75" s="126">
        <v>0</v>
      </c>
      <c r="AC75" s="127">
        <v>0</v>
      </c>
      <c r="AD75" s="126">
        <v>0</v>
      </c>
      <c r="AE75" s="127">
        <v>0</v>
      </c>
      <c r="AF75" s="126">
        <v>0</v>
      </c>
      <c r="AG75" s="127"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'TIE-OUT'!H76+RECLASS!Z76</f>
        <v>0</v>
      </c>
      <c r="G76" s="60">
        <f>'TIE-OUT'!I76+RECLASS!AA76</f>
        <v>0</v>
      </c>
      <c r="H76" s="126">
        <v>0</v>
      </c>
      <c r="I76" s="127">
        <v>0</v>
      </c>
      <c r="J76" s="126">
        <v>0</v>
      </c>
      <c r="K76" s="127">
        <v>0</v>
      </c>
      <c r="L76" s="126">
        <v>0</v>
      </c>
      <c r="M76" s="127">
        <v>0</v>
      </c>
      <c r="N76" s="126">
        <v>0</v>
      </c>
      <c r="O76" s="127">
        <v>0</v>
      </c>
      <c r="P76" s="126">
        <v>0</v>
      </c>
      <c r="Q76" s="127">
        <v>0</v>
      </c>
      <c r="R76" s="126">
        <v>0</v>
      </c>
      <c r="S76" s="127">
        <v>0</v>
      </c>
      <c r="T76" s="126">
        <v>0</v>
      </c>
      <c r="U76" s="127">
        <v>0</v>
      </c>
      <c r="V76" s="126">
        <v>0</v>
      </c>
      <c r="W76" s="127">
        <v>0</v>
      </c>
      <c r="X76" s="126">
        <v>0</v>
      </c>
      <c r="Y76" s="127">
        <v>0</v>
      </c>
      <c r="Z76" s="126">
        <v>0</v>
      </c>
      <c r="AA76" s="127">
        <v>0</v>
      </c>
      <c r="AB76" s="126">
        <v>0</v>
      </c>
      <c r="AC76" s="127">
        <v>0</v>
      </c>
      <c r="AD76" s="126">
        <v>0</v>
      </c>
      <c r="AE76" s="127">
        <v>0</v>
      </c>
      <c r="AF76" s="126">
        <v>0</v>
      </c>
      <c r="AG76" s="127"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'TIE-OUT'!H77+RECLASS!Z77</f>
        <v>0</v>
      </c>
      <c r="G77" s="60">
        <f>'TIE-OUT'!I77+RECLASS!AA77</f>
        <v>0</v>
      </c>
      <c r="H77" s="126">
        <v>0</v>
      </c>
      <c r="I77" s="127">
        <v>0</v>
      </c>
      <c r="J77" s="126">
        <v>0</v>
      </c>
      <c r="K77" s="127">
        <v>0</v>
      </c>
      <c r="L77" s="126">
        <v>0</v>
      </c>
      <c r="M77" s="127">
        <v>0</v>
      </c>
      <c r="N77" s="126">
        <v>0</v>
      </c>
      <c r="O77" s="127">
        <v>0</v>
      </c>
      <c r="P77" s="126">
        <v>0</v>
      </c>
      <c r="Q77" s="127">
        <v>0</v>
      </c>
      <c r="R77" s="126">
        <v>0</v>
      </c>
      <c r="S77" s="127">
        <v>0</v>
      </c>
      <c r="T77" s="126">
        <v>0</v>
      </c>
      <c r="U77" s="127">
        <v>0</v>
      </c>
      <c r="V77" s="126">
        <v>0</v>
      </c>
      <c r="W77" s="127">
        <v>0</v>
      </c>
      <c r="X77" s="126">
        <v>0</v>
      </c>
      <c r="Y77" s="127">
        <v>0</v>
      </c>
      <c r="Z77" s="126">
        <v>0</v>
      </c>
      <c r="AA77" s="127">
        <v>0</v>
      </c>
      <c r="AB77" s="126">
        <v>0</v>
      </c>
      <c r="AC77" s="127">
        <v>0</v>
      </c>
      <c r="AD77" s="126">
        <v>0</v>
      </c>
      <c r="AE77" s="127">
        <v>0</v>
      </c>
      <c r="AF77" s="126">
        <v>0</v>
      </c>
      <c r="AG77" s="127"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'TIE-OUT'!H78+RECLASS!Z78</f>
        <v>0</v>
      </c>
      <c r="G78" s="60">
        <f>'TIE-OUT'!I78+RECLASS!AA78</f>
        <v>0</v>
      </c>
      <c r="H78" s="126">
        <v>0</v>
      </c>
      <c r="I78" s="127">
        <v>0</v>
      </c>
      <c r="J78" s="126">
        <v>0</v>
      </c>
      <c r="K78" s="127">
        <v>0</v>
      </c>
      <c r="L78" s="126">
        <v>0</v>
      </c>
      <c r="M78" s="127">
        <v>0</v>
      </c>
      <c r="N78" s="126">
        <v>0</v>
      </c>
      <c r="O78" s="127">
        <v>0</v>
      </c>
      <c r="P78" s="126">
        <v>0</v>
      </c>
      <c r="Q78" s="127">
        <v>0</v>
      </c>
      <c r="R78" s="126">
        <v>0</v>
      </c>
      <c r="S78" s="127">
        <v>0</v>
      </c>
      <c r="T78" s="126">
        <v>0</v>
      </c>
      <c r="U78" s="127">
        <v>0</v>
      </c>
      <c r="V78" s="126">
        <v>0</v>
      </c>
      <c r="W78" s="127">
        <v>0</v>
      </c>
      <c r="X78" s="126">
        <v>0</v>
      </c>
      <c r="Y78" s="127">
        <v>0</v>
      </c>
      <c r="Z78" s="126">
        <v>0</v>
      </c>
      <c r="AA78" s="127">
        <v>0</v>
      </c>
      <c r="AB78" s="126">
        <v>0</v>
      </c>
      <c r="AC78" s="127">
        <v>0</v>
      </c>
      <c r="AD78" s="126">
        <v>0</v>
      </c>
      <c r="AE78" s="127">
        <v>0</v>
      </c>
      <c r="AF78" s="126">
        <v>0</v>
      </c>
      <c r="AG78" s="127"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'TIE-OUT'!H79+RECLASS!Z79</f>
        <v>0</v>
      </c>
      <c r="G79" s="60">
        <f>'TIE-OUT'!I79+RECLASS!AA79</f>
        <v>0</v>
      </c>
      <c r="H79" s="126">
        <v>0</v>
      </c>
      <c r="I79" s="127">
        <v>0</v>
      </c>
      <c r="J79" s="126">
        <v>0</v>
      </c>
      <c r="K79" s="127">
        <v>0</v>
      </c>
      <c r="L79" s="126">
        <v>0</v>
      </c>
      <c r="M79" s="127">
        <v>0</v>
      </c>
      <c r="N79" s="126">
        <v>0</v>
      </c>
      <c r="O79" s="127">
        <v>0</v>
      </c>
      <c r="P79" s="126">
        <v>0</v>
      </c>
      <c r="Q79" s="127">
        <v>0</v>
      </c>
      <c r="R79" s="126">
        <v>0</v>
      </c>
      <c r="S79" s="127">
        <v>0</v>
      </c>
      <c r="T79" s="126">
        <v>0</v>
      </c>
      <c r="U79" s="127">
        <v>0</v>
      </c>
      <c r="V79" s="126">
        <v>0</v>
      </c>
      <c r="W79" s="127">
        <v>0</v>
      </c>
      <c r="X79" s="126">
        <v>0</v>
      </c>
      <c r="Y79" s="127">
        <v>0</v>
      </c>
      <c r="Z79" s="126">
        <v>0</v>
      </c>
      <c r="AA79" s="127">
        <v>0</v>
      </c>
      <c r="AB79" s="126">
        <v>0</v>
      </c>
      <c r="AC79" s="127">
        <v>0</v>
      </c>
      <c r="AD79" s="126">
        <v>0</v>
      </c>
      <c r="AE79" s="127">
        <v>0</v>
      </c>
      <c r="AF79" s="126">
        <v>0</v>
      </c>
      <c r="AG79" s="127"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'TIE-OUT'!H80+RECLASS!Z80</f>
        <v>0</v>
      </c>
      <c r="G80" s="60">
        <f>'TIE-OUT'!I80+RECLASS!AA80</f>
        <v>0</v>
      </c>
      <c r="H80" s="126">
        <v>0</v>
      </c>
      <c r="I80" s="127">
        <v>0</v>
      </c>
      <c r="J80" s="126">
        <v>0</v>
      </c>
      <c r="K80" s="127">
        <v>0</v>
      </c>
      <c r="L80" s="126">
        <v>0</v>
      </c>
      <c r="M80" s="127">
        <v>0</v>
      </c>
      <c r="N80" s="126">
        <v>0</v>
      </c>
      <c r="O80" s="127">
        <v>0</v>
      </c>
      <c r="P80" s="126">
        <v>0</v>
      </c>
      <c r="Q80" s="127">
        <v>0</v>
      </c>
      <c r="R80" s="126">
        <v>0</v>
      </c>
      <c r="S80" s="127">
        <v>0</v>
      </c>
      <c r="T80" s="126">
        <v>0</v>
      </c>
      <c r="U80" s="127">
        <v>0</v>
      </c>
      <c r="V80" s="126">
        <v>0</v>
      </c>
      <c r="W80" s="127">
        <v>0</v>
      </c>
      <c r="X80" s="126">
        <v>0</v>
      </c>
      <c r="Y80" s="127">
        <v>0</v>
      </c>
      <c r="Z80" s="126">
        <v>0</v>
      </c>
      <c r="AA80" s="127">
        <v>0</v>
      </c>
      <c r="AB80" s="126">
        <v>0</v>
      </c>
      <c r="AC80" s="127">
        <v>0</v>
      </c>
      <c r="AD80" s="126">
        <v>0</v>
      </c>
      <c r="AE80" s="127">
        <v>0</v>
      </c>
      <c r="AF80" s="126">
        <v>0</v>
      </c>
      <c r="AG80" s="127"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'TIE-OUT'!H81+RECLASS!Z81</f>
        <v>0</v>
      </c>
      <c r="G81" s="60">
        <f>'TIE-OUT'!I81+RECLASS!AA81</f>
        <v>0</v>
      </c>
      <c r="H81" s="126">
        <v>0</v>
      </c>
      <c r="I81" s="127">
        <v>0</v>
      </c>
      <c r="J81" s="126">
        <v>0</v>
      </c>
      <c r="K81" s="127">
        <v>0</v>
      </c>
      <c r="L81" s="126">
        <v>0</v>
      </c>
      <c r="M81" s="127">
        <v>0</v>
      </c>
      <c r="N81" s="126">
        <v>0</v>
      </c>
      <c r="O81" s="127">
        <v>0</v>
      </c>
      <c r="P81" s="126">
        <v>0</v>
      </c>
      <c r="Q81" s="127">
        <v>0</v>
      </c>
      <c r="R81" s="126">
        <v>0</v>
      </c>
      <c r="S81" s="127">
        <v>0</v>
      </c>
      <c r="T81" s="126">
        <v>0</v>
      </c>
      <c r="U81" s="127">
        <v>0</v>
      </c>
      <c r="V81" s="126">
        <v>0</v>
      </c>
      <c r="W81" s="127">
        <v>0</v>
      </c>
      <c r="X81" s="126">
        <v>0</v>
      </c>
      <c r="Y81" s="127">
        <v>0</v>
      </c>
      <c r="Z81" s="126">
        <v>0</v>
      </c>
      <c r="AA81" s="127">
        <v>0</v>
      </c>
      <c r="AB81" s="126">
        <v>0</v>
      </c>
      <c r="AC81" s="127">
        <v>0</v>
      </c>
      <c r="AD81" s="126">
        <v>0</v>
      </c>
      <c r="AE81" s="127">
        <v>0</v>
      </c>
      <c r="AF81" s="126">
        <v>0</v>
      </c>
      <c r="AG81" s="127"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24789</v>
      </c>
      <c r="F82" s="91">
        <f>F16+F24+F29+F36+F43+F45+F47+F49</f>
        <v>0</v>
      </c>
      <c r="G82" s="92">
        <f>SUM(G72:G81)+G16+G24+G29+G36+G43+G45+G47+G49+G51+G56+G61+G66</f>
        <v>24789</v>
      </c>
      <c r="H82" s="91">
        <f>H16+H24+H29+H36+H43+H45+H47+H49</f>
        <v>0</v>
      </c>
      <c r="I82" s="154">
        <f>SUM(I72:I81)+I16+I24+I29+I36+I43+I45+I47+I49+I51+I56+I61+I66</f>
        <v>0</v>
      </c>
      <c r="J82" s="91">
        <f>J16+J24+J29+J36+J43+J45+J47+J49</f>
        <v>0</v>
      </c>
      <c r="K82" s="154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G187"/>
  <sheetViews>
    <sheetView zoomScale="75" workbookViewId="0">
      <pane xSplit="3" ySplit="9" topLeftCell="Y57" activePane="bottomRight" state="frozen"/>
      <selection activeCell="AF9" sqref="AF9"/>
      <selection pane="topRight" activeCell="AF9" sqref="AF9"/>
      <selection pane="bottomLeft" activeCell="AF9" sqref="AF9"/>
      <selection pane="bottomRight" activeCell="AG90" sqref="AG9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89589836</v>
      </c>
      <c r="E11" s="38">
        <f t="shared" si="0"/>
        <v>260319803.40000004</v>
      </c>
      <c r="F11" s="60">
        <f>'TIE-OUT'!J11+RECLASS!H11</f>
        <v>0</v>
      </c>
      <c r="G11" s="38">
        <f>'TIE-OUT'!K11+RECLASS!I11</f>
        <v>1375251</v>
      </c>
      <c r="H11" s="126">
        <f>+Actuals!E164</f>
        <v>85050390</v>
      </c>
      <c r="I11" s="127">
        <f>+Actuals!F164</f>
        <v>258977545.60000002</v>
      </c>
      <c r="J11" s="126">
        <f>+Actuals!G164</f>
        <v>2348198</v>
      </c>
      <c r="K11" s="145">
        <f>+Actuals!H164</f>
        <v>-6289706.5699999994</v>
      </c>
      <c r="L11" s="126">
        <f>+Actuals!I164</f>
        <v>1310090</v>
      </c>
      <c r="M11" s="127">
        <f>+Actuals!J164</f>
        <v>3726865.66</v>
      </c>
      <c r="N11" s="126">
        <f>+Actuals!K164</f>
        <v>-196259</v>
      </c>
      <c r="O11" s="127">
        <f>+Actuals!L164</f>
        <v>-918305.28000000003</v>
      </c>
      <c r="P11" s="126">
        <f>+Actuals!M244</f>
        <v>-1526195</v>
      </c>
      <c r="Q11" s="127">
        <f>+Actuals!N244</f>
        <v>-4401717.43</v>
      </c>
      <c r="R11" s="126">
        <f>+Actuals!O244</f>
        <v>-284</v>
      </c>
      <c r="S11" s="127">
        <f>+Actuals!P244</f>
        <v>-4278.47</v>
      </c>
      <c r="T11" s="126">
        <f>+Actuals!Q244</f>
        <v>4092778</v>
      </c>
      <c r="U11" s="127">
        <f>+Actuals!R244</f>
        <v>11984553.449999999</v>
      </c>
      <c r="V11" s="126">
        <f>+Actuals!S244</f>
        <v>2664</v>
      </c>
      <c r="W11" s="127">
        <f>+Actuals!T244</f>
        <v>7202.43</v>
      </c>
      <c r="X11" s="126">
        <f>+Actuals!U244</f>
        <v>-409599</v>
      </c>
      <c r="Y11" s="127">
        <f>+Actuals!V244</f>
        <v>-1188471.8700000001</v>
      </c>
      <c r="Z11" s="126">
        <f>+Actuals!W244</f>
        <v>-1016299</v>
      </c>
      <c r="AA11" s="127">
        <f>+Actuals!X244</f>
        <v>-2736700.2</v>
      </c>
      <c r="AB11" s="126">
        <f>+Actuals!Y164</f>
        <v>0</v>
      </c>
      <c r="AC11" s="127">
        <f>+Actuals!Z164</f>
        <v>0</v>
      </c>
      <c r="AD11" s="126">
        <v>-65648</v>
      </c>
      <c r="AE11" s="127">
        <v>-212434.92</v>
      </c>
      <c r="AF11" s="126">
        <v>0</v>
      </c>
      <c r="AG11" s="127"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-197610.21</v>
      </c>
      <c r="F12" s="60">
        <f>'TIE-OUT'!J12+RECLASS!H12</f>
        <v>0</v>
      </c>
      <c r="G12" s="38">
        <f>'TIE-OUT'!K12+RECLASS!I12</f>
        <v>-197610.21</v>
      </c>
      <c r="H12" s="126">
        <f>+Actuals!E165</f>
        <v>0</v>
      </c>
      <c r="I12" s="127">
        <f>+Actuals!F165</f>
        <v>0</v>
      </c>
      <c r="J12" s="126">
        <f>+Actuals!G165</f>
        <v>0</v>
      </c>
      <c r="K12" s="156">
        <f>+Actuals!H165</f>
        <v>0</v>
      </c>
      <c r="L12" s="126">
        <f>+Actuals!I165</f>
        <v>0</v>
      </c>
      <c r="M12" s="127">
        <f>+Actuals!J165</f>
        <v>0</v>
      </c>
      <c r="N12" s="126">
        <f>+Actuals!K165</f>
        <v>0</v>
      </c>
      <c r="O12" s="127">
        <f>+Actuals!L165</f>
        <v>0</v>
      </c>
      <c r="P12" s="126">
        <f>+Actuals!M245</f>
        <v>0</v>
      </c>
      <c r="Q12" s="127">
        <f>+Actuals!N245</f>
        <v>0</v>
      </c>
      <c r="R12" s="126">
        <f>+Actuals!O245</f>
        <v>0</v>
      </c>
      <c r="S12" s="127">
        <f>+Actuals!P245</f>
        <v>0</v>
      </c>
      <c r="T12" s="126">
        <f>+Actuals!Q245</f>
        <v>0</v>
      </c>
      <c r="U12" s="127">
        <f>+Actuals!R245</f>
        <v>0</v>
      </c>
      <c r="V12" s="126">
        <f>+Actuals!S245</f>
        <v>0</v>
      </c>
      <c r="W12" s="127">
        <f>+Actuals!T245</f>
        <v>0</v>
      </c>
      <c r="X12" s="126">
        <f>+Actuals!U245</f>
        <v>0</v>
      </c>
      <c r="Y12" s="127">
        <f>+Actuals!V245</f>
        <v>0</v>
      </c>
      <c r="Z12" s="126">
        <f>+Actuals!W245</f>
        <v>0</v>
      </c>
      <c r="AA12" s="127">
        <f>+Actuals!X245</f>
        <v>0</v>
      </c>
      <c r="AB12" s="126">
        <f>+Actuals!Y165</f>
        <v>0</v>
      </c>
      <c r="AC12" s="127">
        <f>+Actuals!Z165</f>
        <v>0</v>
      </c>
      <c r="AD12" s="126">
        <f>+Actuals!AA165</f>
        <v>0</v>
      </c>
      <c r="AE12" s="127">
        <f>+Actuals!AB165</f>
        <v>0</v>
      </c>
      <c r="AF12" s="126">
        <f>+Actuals!AC165</f>
        <v>0</v>
      </c>
      <c r="AG12" s="127">
        <f>+Actuals!AD165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32470494</v>
      </c>
      <c r="E13" s="38">
        <f t="shared" si="0"/>
        <v>85375026</v>
      </c>
      <c r="F13" s="60">
        <f>'TIE-OUT'!J13+RECLASS!H13</f>
        <v>0</v>
      </c>
      <c r="G13" s="38">
        <f>'TIE-OUT'!K13+RECLASS!I13</f>
        <v>0</v>
      </c>
      <c r="H13" s="126">
        <f>+Actuals!E166</f>
        <v>32441679</v>
      </c>
      <c r="I13" s="127">
        <f>+Actuals!F166</f>
        <v>85301401</v>
      </c>
      <c r="J13" s="126">
        <f>+Actuals!G166</f>
        <v>6016737</v>
      </c>
      <c r="K13" s="145">
        <f>+Actuals!H166</f>
        <v>16975670</v>
      </c>
      <c r="L13" s="126">
        <f>+Actuals!I166</f>
        <v>6016737</v>
      </c>
      <c r="M13" s="127">
        <f>+Actuals!J166</f>
        <v>16975670</v>
      </c>
      <c r="N13" s="126">
        <f>+Actuals!K166</f>
        <v>-38458416</v>
      </c>
      <c r="O13" s="127">
        <f>+Actuals!L166</f>
        <v>-102277071</v>
      </c>
      <c r="P13" s="126">
        <f>+Actuals!M246</f>
        <v>44475153</v>
      </c>
      <c r="Q13" s="127">
        <f>+Actuals!N246</f>
        <v>119252741</v>
      </c>
      <c r="R13" s="126">
        <f>+Actuals!O246</f>
        <v>4</v>
      </c>
      <c r="S13" s="127">
        <f>+Actuals!P246</f>
        <v>11</v>
      </c>
      <c r="T13" s="126">
        <f>+Actuals!Q246</f>
        <v>-44475153</v>
      </c>
      <c r="U13" s="127">
        <f>+Actuals!R246</f>
        <v>-119252741</v>
      </c>
      <c r="V13" s="126">
        <f>+Actuals!S246</f>
        <v>0</v>
      </c>
      <c r="W13" s="127">
        <f>+Actuals!T246</f>
        <v>0</v>
      </c>
      <c r="X13" s="126">
        <f>+Actuals!U246</f>
        <v>0</v>
      </c>
      <c r="Y13" s="127">
        <f>+Actuals!V246</f>
        <v>0</v>
      </c>
      <c r="Z13" s="126">
        <f>+Actuals!W246</f>
        <v>26453753</v>
      </c>
      <c r="AA13" s="127">
        <f>+Actuals!X246</f>
        <v>68399345</v>
      </c>
      <c r="AB13" s="126">
        <f>+Actuals!Y166</f>
        <v>0</v>
      </c>
      <c r="AC13" s="127">
        <f>+Actuals!Z166</f>
        <v>0</v>
      </c>
      <c r="AD13" s="126">
        <f>+Actuals!AA166</f>
        <v>0</v>
      </c>
      <c r="AE13" s="127">
        <f>+Actuals!AB166</f>
        <v>0</v>
      </c>
      <c r="AF13" s="126">
        <f>+Actuals!AC166</f>
        <v>0</v>
      </c>
      <c r="AG13" s="127">
        <f>+Actuals!AD166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6">
        <f>+Actuals!E167</f>
        <v>0</v>
      </c>
      <c r="I14" s="127">
        <f>+Actuals!F167</f>
        <v>0</v>
      </c>
      <c r="J14" s="126">
        <f>+Actuals!G167</f>
        <v>0</v>
      </c>
      <c r="K14" s="145">
        <f>+Actuals!H167</f>
        <v>0</v>
      </c>
      <c r="L14" s="126">
        <f>+Actuals!I167</f>
        <v>0</v>
      </c>
      <c r="M14" s="127">
        <f>+Actuals!J167</f>
        <v>0</v>
      </c>
      <c r="N14" s="126">
        <f>+Actuals!K167</f>
        <v>0</v>
      </c>
      <c r="O14" s="127">
        <f>+Actuals!L167</f>
        <v>0</v>
      </c>
      <c r="P14" s="126">
        <f>+Actuals!M247</f>
        <v>0</v>
      </c>
      <c r="Q14" s="127">
        <f>+Actuals!N247</f>
        <v>0</v>
      </c>
      <c r="R14" s="126">
        <f>+Actuals!O247</f>
        <v>0</v>
      </c>
      <c r="S14" s="127">
        <f>+Actuals!P247</f>
        <v>0</v>
      </c>
      <c r="T14" s="126">
        <f>+Actuals!Q247</f>
        <v>0</v>
      </c>
      <c r="U14" s="127">
        <f>+Actuals!R247</f>
        <v>0</v>
      </c>
      <c r="V14" s="126">
        <f>+Actuals!S247</f>
        <v>0</v>
      </c>
      <c r="W14" s="127">
        <f>+Actuals!T247</f>
        <v>0</v>
      </c>
      <c r="X14" s="126">
        <f>+Actuals!U247</f>
        <v>0</v>
      </c>
      <c r="Y14" s="127">
        <f>+Actuals!V247</f>
        <v>0</v>
      </c>
      <c r="Z14" s="126">
        <f>+Actuals!W247</f>
        <v>0</v>
      </c>
      <c r="AA14" s="127">
        <f>+Actuals!X247</f>
        <v>0</v>
      </c>
      <c r="AB14" s="126">
        <f>+Actuals!Y167</f>
        <v>0</v>
      </c>
      <c r="AC14" s="127">
        <f>+Actuals!Z167</f>
        <v>0</v>
      </c>
      <c r="AD14" s="126">
        <f>+Actuals!AA167</f>
        <v>0</v>
      </c>
      <c r="AE14" s="127">
        <f>+Actuals!AB167</f>
        <v>0</v>
      </c>
      <c r="AF14" s="126">
        <f>+Actuals!AC167</f>
        <v>0</v>
      </c>
      <c r="AG14" s="127">
        <f>+Actuals!AD167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1123363.0199999998</v>
      </c>
      <c r="F15" s="81">
        <f>'TIE-OUT'!J15+RECLASS!H15</f>
        <v>0</v>
      </c>
      <c r="G15" s="82">
        <f>'TIE-OUT'!K15+RECLASS!I15</f>
        <v>-588662</v>
      </c>
      <c r="H15" s="126">
        <f>+Actuals!E168</f>
        <v>0</v>
      </c>
      <c r="I15" s="127">
        <f>+Actuals!F168</f>
        <v>6628959.8700000001</v>
      </c>
      <c r="J15" s="126">
        <f>+Actuals!G168</f>
        <v>0</v>
      </c>
      <c r="K15" s="145">
        <f>+Actuals!H168</f>
        <v>-4931038.53</v>
      </c>
      <c r="L15" s="126">
        <f>+Actuals!I168</f>
        <v>0</v>
      </c>
      <c r="M15" s="127">
        <f>+Actuals!J168</f>
        <v>6000</v>
      </c>
      <c r="N15" s="126">
        <f>+Actuals!K168</f>
        <v>0</v>
      </c>
      <c r="O15" s="127">
        <f>+Actuals!L168</f>
        <v>0</v>
      </c>
      <c r="P15" s="126">
        <f>+Actuals!M248</f>
        <v>0</v>
      </c>
      <c r="Q15" s="127">
        <f>+Actuals!N248</f>
        <v>0</v>
      </c>
      <c r="R15" s="126">
        <f>+Actuals!O248</f>
        <v>0</v>
      </c>
      <c r="S15" s="127">
        <f>+Actuals!P248</f>
        <v>6995.76</v>
      </c>
      <c r="T15" s="126">
        <f>+Actuals!Q248</f>
        <v>0</v>
      </c>
      <c r="U15" s="127">
        <f>+Actuals!R248</f>
        <v>1875.46</v>
      </c>
      <c r="V15" s="126">
        <f>+Actuals!S248</f>
        <v>0</v>
      </c>
      <c r="W15" s="127">
        <f>+Actuals!T248</f>
        <v>-767.54</v>
      </c>
      <c r="X15" s="126">
        <f>+Actuals!U248</f>
        <v>0</v>
      </c>
      <c r="Y15" s="127">
        <f>+Actuals!V248</f>
        <v>0</v>
      </c>
      <c r="Z15" s="126">
        <f>+Actuals!W248</f>
        <v>0</v>
      </c>
      <c r="AA15" s="127">
        <f>+Actuals!X248</f>
        <v>0</v>
      </c>
      <c r="AB15" s="126">
        <f>+Actuals!Y168</f>
        <v>0</v>
      </c>
      <c r="AC15" s="127">
        <f>+Actuals!Z168</f>
        <v>0</v>
      </c>
      <c r="AD15" s="126">
        <f>+Actuals!AA168</f>
        <v>0</v>
      </c>
      <c r="AE15" s="127">
        <f>+Actuals!AB168</f>
        <v>0</v>
      </c>
      <c r="AF15" s="126">
        <f>+Actuals!AC168</f>
        <v>0</v>
      </c>
      <c r="AG15" s="127">
        <f>+Actuals!AD168</f>
        <v>0</v>
      </c>
    </row>
    <row r="16" spans="1:33" x14ac:dyDescent="0.25">
      <c r="A16" s="9"/>
      <c r="B16" s="7" t="s">
        <v>30</v>
      </c>
      <c r="C16" s="6"/>
      <c r="D16" s="61">
        <f t="shared" ref="D16:AE16" si="1">SUM(D11:D15)</f>
        <v>122060330</v>
      </c>
      <c r="E16" s="39">
        <f t="shared" si="1"/>
        <v>346620582.21000004</v>
      </c>
      <c r="F16" s="61">
        <f t="shared" si="1"/>
        <v>0</v>
      </c>
      <c r="G16" s="39">
        <f t="shared" si="1"/>
        <v>588978.79</v>
      </c>
      <c r="H16" s="61">
        <f t="shared" si="1"/>
        <v>117492069</v>
      </c>
      <c r="I16" s="39">
        <f t="shared" si="1"/>
        <v>350907906.47000003</v>
      </c>
      <c r="J16" s="61">
        <f t="shared" si="1"/>
        <v>8364935</v>
      </c>
      <c r="K16" s="146">
        <f t="shared" si="1"/>
        <v>5754924.8999999994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-103195376.28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-280</v>
      </c>
      <c r="S16" s="39">
        <f t="shared" si="2"/>
        <v>2728.29</v>
      </c>
      <c r="T16" s="61">
        <f t="shared" si="2"/>
        <v>-40382375</v>
      </c>
      <c r="U16" s="39">
        <f t="shared" si="2"/>
        <v>-107266312.09</v>
      </c>
      <c r="V16" s="61">
        <f t="shared" si="2"/>
        <v>2664</v>
      </c>
      <c r="W16" s="39">
        <f t="shared" si="2"/>
        <v>6434.89</v>
      </c>
      <c r="X16" s="61">
        <f>SUM(X11:X15)</f>
        <v>-409599</v>
      </c>
      <c r="Y16" s="39">
        <f>SUM(Y11:Y15)</f>
        <v>-1188471.8700000001</v>
      </c>
      <c r="Z16" s="61">
        <f>SUM(Z11:Z15)</f>
        <v>25437454</v>
      </c>
      <c r="AA16" s="39">
        <f>SUM(AA11:AA15)</f>
        <v>65662644.799999997</v>
      </c>
      <c r="AB16" s="61">
        <f t="shared" si="1"/>
        <v>0</v>
      </c>
      <c r="AC16" s="39">
        <f t="shared" si="1"/>
        <v>0</v>
      </c>
      <c r="AD16" s="61">
        <f t="shared" si="1"/>
        <v>-65648</v>
      </c>
      <c r="AE16" s="39">
        <f t="shared" si="1"/>
        <v>-212434.92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-97372457</v>
      </c>
      <c r="E19" s="38">
        <f t="shared" si="3"/>
        <v>-278509795.29000002</v>
      </c>
      <c r="F19" s="64">
        <f>'TIE-OUT'!J19+RECLASS!H19</f>
        <v>0</v>
      </c>
      <c r="G19" s="68">
        <f>'TIE-OUT'!K19+RECLASS!I19</f>
        <v>-848110</v>
      </c>
      <c r="H19" s="126">
        <f>+Actuals!E169</f>
        <v>-92713474</v>
      </c>
      <c r="I19" s="127">
        <f>+Actuals!F169</f>
        <v>-277791774.35000002</v>
      </c>
      <c r="J19" s="126">
        <f>+Actuals!G169</f>
        <v>-2583578</v>
      </c>
      <c r="K19" s="145">
        <f>+Actuals!H169</f>
        <v>5965881.1799999997</v>
      </c>
      <c r="L19" s="126">
        <f>+Actuals!I169</f>
        <v>-2972352</v>
      </c>
      <c r="M19" s="127">
        <f>+Actuals!J169</f>
        <v>-8464155.629999999</v>
      </c>
      <c r="N19" s="126">
        <f>+Actuals!K169</f>
        <v>877247</v>
      </c>
      <c r="O19" s="127">
        <f>+Actuals!L169</f>
        <v>2571035.17</v>
      </c>
      <c r="P19" s="126">
        <f>+Actuals!M249</f>
        <v>1661835</v>
      </c>
      <c r="Q19" s="127">
        <f>+Actuals!N249</f>
        <v>4840771.57</v>
      </c>
      <c r="R19" s="126">
        <f>+Actuals!O249</f>
        <v>1320</v>
      </c>
      <c r="S19" s="127">
        <f>+Actuals!P249</f>
        <v>-2306.13</v>
      </c>
      <c r="T19" s="126">
        <f>+Actuals!Q249</f>
        <v>-1746781</v>
      </c>
      <c r="U19" s="127">
        <f>+Actuals!R249</f>
        <v>-5088261.9000000004</v>
      </c>
      <c r="V19" s="126">
        <f>+Actuals!S249</f>
        <v>-3112</v>
      </c>
      <c r="W19" s="127">
        <f>+Actuals!T249</f>
        <v>257.31</v>
      </c>
      <c r="X19" s="126">
        <f>+Actuals!U249</f>
        <v>1960</v>
      </c>
      <c r="Y19" s="127">
        <f>+Actuals!V249</f>
        <v>135558.64000000001</v>
      </c>
      <c r="Z19" s="126">
        <f>+Actuals!W249</f>
        <v>57384</v>
      </c>
      <c r="AA19" s="127">
        <f>+Actuals!X249</f>
        <v>30087.34</v>
      </c>
      <c r="AB19" s="126">
        <f>+Actuals!Y169</f>
        <v>0</v>
      </c>
      <c r="AC19" s="127">
        <f>+Actuals!Z169</f>
        <v>0</v>
      </c>
      <c r="AD19" s="126">
        <v>45669</v>
      </c>
      <c r="AE19" s="127">
        <v>146488.13</v>
      </c>
      <c r="AF19" s="126">
        <v>1425</v>
      </c>
      <c r="AG19" s="127">
        <v>-5266.62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'TIE-OUT'!J20+RECLASS!H20</f>
        <v>0</v>
      </c>
      <c r="G20" s="38">
        <f>'TIE-OUT'!K20+RECLASS!I20</f>
        <v>-2813856.94</v>
      </c>
      <c r="H20" s="126">
        <f>+Actuals!E170</f>
        <v>0</v>
      </c>
      <c r="I20" s="127">
        <f>+Actuals!F170</f>
        <v>0</v>
      </c>
      <c r="J20" s="126">
        <f>+Actuals!G170</f>
        <v>0</v>
      </c>
      <c r="K20" s="153">
        <f>+Actuals!H170+20400-20505</f>
        <v>-105</v>
      </c>
      <c r="L20" s="126">
        <f>+Actuals!I170</f>
        <v>0</v>
      </c>
      <c r="M20" s="127">
        <f>+Actuals!J170</f>
        <v>0</v>
      </c>
      <c r="N20" s="126">
        <f>+Actuals!K170</f>
        <v>0</v>
      </c>
      <c r="O20" s="127">
        <f>+Actuals!L170</f>
        <v>0</v>
      </c>
      <c r="P20" s="126">
        <f>+Actuals!M250</f>
        <v>0</v>
      </c>
      <c r="Q20" s="153">
        <v>-241869</v>
      </c>
      <c r="R20" s="126">
        <f>+Actuals!O250</f>
        <v>0</v>
      </c>
      <c r="S20" s="127"/>
      <c r="T20" s="126">
        <f>+Actuals!Q250</f>
        <v>0</v>
      </c>
      <c r="U20" s="127"/>
      <c r="V20" s="126">
        <f>+Actuals!S250</f>
        <v>0</v>
      </c>
      <c r="W20" s="127"/>
      <c r="X20" s="126">
        <f>+Actuals!U250</f>
        <v>0</v>
      </c>
      <c r="Y20" s="127"/>
      <c r="Z20" s="126">
        <f>+Actuals!W250</f>
        <v>0</v>
      </c>
      <c r="AA20" s="127"/>
      <c r="AB20" s="126">
        <f>+Actuals!Y170</f>
        <v>0</v>
      </c>
      <c r="AC20" s="127">
        <f>+Actuals!Z170</f>
        <v>0</v>
      </c>
      <c r="AD20" s="126">
        <f>+Actuals!AA170</f>
        <v>0</v>
      </c>
      <c r="AE20" s="127">
        <f>+Actuals!AB170</f>
        <v>0</v>
      </c>
      <c r="AF20" s="126">
        <f>+Actuals!AC170</f>
        <v>0</v>
      </c>
      <c r="AG20" s="127">
        <f>+Actuals!AD170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-31868882</v>
      </c>
      <c r="E21" s="38">
        <f t="shared" si="3"/>
        <v>-83966339</v>
      </c>
      <c r="F21" s="60">
        <f>'TIE-OUT'!J21+RECLASS!H21</f>
        <v>0</v>
      </c>
      <c r="G21" s="38">
        <f>'TIE-OUT'!K21+RECLASS!I21</f>
        <v>0</v>
      </c>
      <c r="H21" s="126">
        <f>+Actuals!E171</f>
        <v>-31868882</v>
      </c>
      <c r="I21" s="127">
        <f>+Actuals!F171</f>
        <v>-83966339</v>
      </c>
      <c r="J21" s="126">
        <f>+Actuals!G171</f>
        <v>-6016737</v>
      </c>
      <c r="K21" s="145">
        <f>+Actuals!H171</f>
        <v>-16975670</v>
      </c>
      <c r="L21" s="126">
        <f>+Actuals!I171</f>
        <v>-4468010</v>
      </c>
      <c r="M21" s="127">
        <f>+Actuals!J171</f>
        <v>-12590031</v>
      </c>
      <c r="N21" s="126">
        <f>+Actuals!K171</f>
        <v>37885812</v>
      </c>
      <c r="O21" s="127">
        <f>+Actuals!L171</f>
        <v>100942542</v>
      </c>
      <c r="P21" s="126">
        <f>+Actuals!M251</f>
        <v>-42353629</v>
      </c>
      <c r="Q21" s="127">
        <f>+Actuals!N251</f>
        <v>-113532040</v>
      </c>
      <c r="R21" s="126">
        <f>+Actuals!O251</f>
        <v>0</v>
      </c>
      <c r="S21" s="127">
        <f>+Actuals!P251</f>
        <v>0</v>
      </c>
      <c r="T21" s="126">
        <f>+Actuals!Q251</f>
        <v>42353629</v>
      </c>
      <c r="U21" s="127">
        <f>+Actuals!R251</f>
        <v>113532040</v>
      </c>
      <c r="V21" s="126">
        <f>+Actuals!S251</f>
        <v>0</v>
      </c>
      <c r="W21" s="127">
        <f>+Actuals!T251</f>
        <v>0</v>
      </c>
      <c r="X21" s="126">
        <f>+Actuals!U251</f>
        <v>0</v>
      </c>
      <c r="Y21" s="127">
        <f>+Actuals!V251</f>
        <v>0</v>
      </c>
      <c r="Z21" s="126">
        <f>+Actuals!W251</f>
        <v>-27401065</v>
      </c>
      <c r="AA21" s="127">
        <f>+Actuals!X251</f>
        <v>-71376841</v>
      </c>
      <c r="AB21" s="126">
        <f>+Actuals!Y171</f>
        <v>0</v>
      </c>
      <c r="AC21" s="127">
        <f>+Actuals!Z171</f>
        <v>0</v>
      </c>
      <c r="AD21" s="126">
        <f>+Actuals!AA171</f>
        <v>0</v>
      </c>
      <c r="AE21" s="127">
        <f>+Actuals!AB171</f>
        <v>0</v>
      </c>
      <c r="AF21" s="126">
        <f>+Actuals!AC171</f>
        <v>0</v>
      </c>
      <c r="AG21" s="127">
        <f>+Actuals!AD171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6">
        <f>+Actuals!E172</f>
        <v>0</v>
      </c>
      <c r="I22" s="127">
        <f>+Actuals!F172</f>
        <v>0</v>
      </c>
      <c r="J22" s="126">
        <f>+Actuals!G172</f>
        <v>0</v>
      </c>
      <c r="K22" s="145">
        <f>+Actuals!H172</f>
        <v>0</v>
      </c>
      <c r="L22" s="126">
        <f>+Actuals!I172</f>
        <v>0</v>
      </c>
      <c r="M22" s="127">
        <f>+Actuals!J172</f>
        <v>0</v>
      </c>
      <c r="N22" s="126">
        <f>+Actuals!K172</f>
        <v>0</v>
      </c>
      <c r="O22" s="127">
        <f>+Actuals!L172</f>
        <v>0</v>
      </c>
      <c r="P22" s="126">
        <f>+Actuals!M252</f>
        <v>0</v>
      </c>
      <c r="Q22" s="127">
        <f>+Actuals!N252</f>
        <v>0</v>
      </c>
      <c r="R22" s="126">
        <f>+Actuals!O252</f>
        <v>0</v>
      </c>
      <c r="S22" s="127">
        <f>+Actuals!P252</f>
        <v>0</v>
      </c>
      <c r="T22" s="126">
        <f>+Actuals!Q252</f>
        <v>0</v>
      </c>
      <c r="U22" s="127">
        <f>+Actuals!R252</f>
        <v>0</v>
      </c>
      <c r="V22" s="126">
        <f>+Actuals!S252</f>
        <v>0</v>
      </c>
      <c r="W22" s="127">
        <f>+Actuals!T252</f>
        <v>0</v>
      </c>
      <c r="X22" s="126">
        <f>+Actuals!U252</f>
        <v>0</v>
      </c>
      <c r="Y22" s="127">
        <f>+Actuals!V252</f>
        <v>0</v>
      </c>
      <c r="Z22" s="126">
        <f>+Actuals!W252</f>
        <v>0</v>
      </c>
      <c r="AA22" s="127">
        <f>+Actuals!X252</f>
        <v>0</v>
      </c>
      <c r="AB22" s="126">
        <f>+Actuals!Y172</f>
        <v>0</v>
      </c>
      <c r="AC22" s="127">
        <f>+Actuals!Z172</f>
        <v>0</v>
      </c>
      <c r="AD22" s="126">
        <f>+Actuals!AA172</f>
        <v>0</v>
      </c>
      <c r="AE22" s="127">
        <f>+Actuals!AB172</f>
        <v>0</v>
      </c>
      <c r="AF22" s="126">
        <f>+Actuals!AC172</f>
        <v>0</v>
      </c>
      <c r="AG22" s="127">
        <f>+Actuals!AD172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183793</v>
      </c>
      <c r="E23" s="38">
        <f t="shared" si="3"/>
        <v>1554916.108</v>
      </c>
      <c r="F23" s="81">
        <f>'TIE-OUT'!J23+RECLASS!H23</f>
        <v>0</v>
      </c>
      <c r="G23" s="82">
        <f>'TIE-OUT'!K23+RECLASS!I23</f>
        <v>0</v>
      </c>
      <c r="H23" s="126">
        <f>+Actuals!E173</f>
        <v>820603</v>
      </c>
      <c r="I23" s="127">
        <f>+Actuals!F173</f>
        <v>2378107.4939999999</v>
      </c>
      <c r="J23" s="126">
        <f>+Actuals!G173</f>
        <v>-312827</v>
      </c>
      <c r="K23" s="145">
        <f>+Actuals!H173</f>
        <v>-906572.64599999995</v>
      </c>
      <c r="L23" s="126">
        <f>+Actuals!I173</f>
        <v>3560</v>
      </c>
      <c r="M23" s="127">
        <f>+Actuals!J173</f>
        <v>10316.879999999999</v>
      </c>
      <c r="N23" s="126">
        <f>+Actuals!K173</f>
        <v>11548</v>
      </c>
      <c r="O23" s="127">
        <f>+Actuals!L173</f>
        <v>33466.103999999999</v>
      </c>
      <c r="P23" s="126">
        <f>+Actuals!M253</f>
        <v>-771</v>
      </c>
      <c r="Q23" s="127">
        <f>+Actuals!N253</f>
        <v>-2234.3580000000002</v>
      </c>
      <c r="R23" s="126">
        <f>+Actuals!O253</f>
        <v>-352759</v>
      </c>
      <c r="S23" s="127">
        <f>+Actuals!P253</f>
        <v>-11.592000000000001</v>
      </c>
      <c r="T23" s="126">
        <f>+Actuals!Q253</f>
        <v>2574</v>
      </c>
      <c r="U23" s="127">
        <f>+Actuals!R253</f>
        <v>7459.4520000000002</v>
      </c>
      <c r="V23" s="126">
        <f>+Actuals!S253</f>
        <v>-11</v>
      </c>
      <c r="W23" s="127">
        <f>+Actuals!T253</f>
        <v>-31.878</v>
      </c>
      <c r="X23" s="126">
        <f>+Actuals!U253</f>
        <v>9649</v>
      </c>
      <c r="Y23" s="127">
        <f>+Actuals!V253</f>
        <v>27962.802</v>
      </c>
      <c r="Z23" s="126">
        <f>+Actuals!W253</f>
        <v>0</v>
      </c>
      <c r="AA23" s="127">
        <f>+Actuals!X253</f>
        <v>0</v>
      </c>
      <c r="AB23" s="126">
        <f>+Actuals!Y173</f>
        <v>0</v>
      </c>
      <c r="AC23" s="127">
        <f>+Actuals!Z173</f>
        <v>0</v>
      </c>
      <c r="AD23" s="126">
        <v>2316</v>
      </c>
      <c r="AE23" s="127">
        <v>6711.77</v>
      </c>
      <c r="AF23" s="126">
        <v>-89</v>
      </c>
      <c r="AG23" s="127">
        <v>-257.92</v>
      </c>
    </row>
    <row r="24" spans="1:33" x14ac:dyDescent="0.25">
      <c r="A24" s="9"/>
      <c r="B24" s="7" t="s">
        <v>33</v>
      </c>
      <c r="C24" s="6"/>
      <c r="D24" s="61">
        <f t="shared" ref="D24:AE24" si="4">SUM(D19:D23)</f>
        <v>-129057546</v>
      </c>
      <c r="E24" s="39">
        <f t="shared" si="4"/>
        <v>-363977049.12200004</v>
      </c>
      <c r="F24" s="61">
        <f t="shared" si="4"/>
        <v>0</v>
      </c>
      <c r="G24" s="39">
        <f t="shared" si="4"/>
        <v>-3661966.94</v>
      </c>
      <c r="H24" s="61">
        <f t="shared" si="4"/>
        <v>-123761753</v>
      </c>
      <c r="I24" s="39">
        <f t="shared" si="4"/>
        <v>-359380005.85600001</v>
      </c>
      <c r="J24" s="61">
        <f t="shared" si="4"/>
        <v>-8913142</v>
      </c>
      <c r="K24" s="146">
        <f t="shared" si="4"/>
        <v>-11916466.466</v>
      </c>
      <c r="L24" s="61">
        <f t="shared" si="4"/>
        <v>-7436802</v>
      </c>
      <c r="M24" s="39">
        <f t="shared" si="4"/>
        <v>-21043869.75</v>
      </c>
      <c r="N24" s="61">
        <f t="shared" si="4"/>
        <v>38774607</v>
      </c>
      <c r="O24" s="39">
        <f t="shared" si="4"/>
        <v>103547043.274</v>
      </c>
      <c r="P24" s="61">
        <f t="shared" si="4"/>
        <v>-40692565</v>
      </c>
      <c r="Q24" s="39">
        <f t="shared" si="4"/>
        <v>-108935371.788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108451237.552</v>
      </c>
      <c r="V24" s="61">
        <f t="shared" si="5"/>
        <v>-3123</v>
      </c>
      <c r="W24" s="39">
        <f t="shared" si="5"/>
        <v>225.43200000000002</v>
      </c>
      <c r="X24" s="61">
        <f>SUM(X19:X23)</f>
        <v>11609</v>
      </c>
      <c r="Y24" s="39">
        <f>SUM(Y19:Y23)</f>
        <v>163521.44200000001</v>
      </c>
      <c r="Z24" s="61">
        <f>SUM(Z19:Z23)</f>
        <v>-27343681</v>
      </c>
      <c r="AA24" s="39">
        <f>SUM(AA19:AA23)</f>
        <v>-71346753.659999996</v>
      </c>
      <c r="AB24" s="61">
        <f t="shared" si="4"/>
        <v>0</v>
      </c>
      <c r="AC24" s="39">
        <f t="shared" si="4"/>
        <v>0</v>
      </c>
      <c r="AD24" s="61">
        <f t="shared" si="4"/>
        <v>47985</v>
      </c>
      <c r="AE24" s="39">
        <f t="shared" si="4"/>
        <v>153199.9</v>
      </c>
      <c r="AF24" s="61">
        <f>SUM(AF19:AF23)</f>
        <v>1336</v>
      </c>
      <c r="AG24" s="39">
        <f>SUM(AG19:AG23)</f>
        <v>-5524.54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8780890</v>
      </c>
      <c r="E27" s="38">
        <f>SUM(G27,I27,K27,M27,O27,Q27,S27,U27,W27,Y27,AA27,AC27,AE27,AG27)</f>
        <v>22475264.77</v>
      </c>
      <c r="F27" s="64">
        <f>'TIE-OUT'!J27+RECLASS!H27</f>
        <v>0</v>
      </c>
      <c r="G27" s="68">
        <f>'TIE-OUT'!K27+RECLASS!I27</f>
        <v>0</v>
      </c>
      <c r="H27" s="126">
        <f>+Actuals!E174</f>
        <v>8779679</v>
      </c>
      <c r="I27" s="127">
        <f>+Actuals!F174</f>
        <v>22463200.43</v>
      </c>
      <c r="J27" s="126">
        <f>+Actuals!G174</f>
        <v>51212</v>
      </c>
      <c r="K27" s="145">
        <f>+Actuals!H174</f>
        <v>142941.37</v>
      </c>
      <c r="L27" s="126">
        <f>+Actuals!I174</f>
        <v>-50001</v>
      </c>
      <c r="M27" s="127">
        <f>+Actuals!J174</f>
        <v>-130877.03</v>
      </c>
      <c r="N27" s="126">
        <f>+Actuals!K174</f>
        <v>0</v>
      </c>
      <c r="O27" s="127">
        <f>+Actuals!L174</f>
        <v>0</v>
      </c>
      <c r="P27" s="126">
        <f>+Actuals!M254</f>
        <v>0</v>
      </c>
      <c r="Q27" s="127">
        <f>+Actuals!N254</f>
        <v>0</v>
      </c>
      <c r="R27" s="126">
        <f>+Actuals!O254</f>
        <v>0</v>
      </c>
      <c r="S27" s="127">
        <f>+Actuals!P254</f>
        <v>0</v>
      </c>
      <c r="T27" s="126">
        <f>+Actuals!Q254</f>
        <v>0</v>
      </c>
      <c r="U27" s="127">
        <f>+Actuals!R254</f>
        <v>0</v>
      </c>
      <c r="V27" s="126">
        <f>+Actuals!S254</f>
        <v>0</v>
      </c>
      <c r="W27" s="127">
        <f>+Actuals!T254</f>
        <v>0</v>
      </c>
      <c r="X27" s="126">
        <f>+Actuals!U254</f>
        <v>0</v>
      </c>
      <c r="Y27" s="127">
        <f>+Actuals!V254</f>
        <v>0</v>
      </c>
      <c r="Z27" s="126">
        <f>+Actuals!W254</f>
        <v>0</v>
      </c>
      <c r="AA27" s="127">
        <f>+Actuals!X254</f>
        <v>0</v>
      </c>
      <c r="AB27" s="126">
        <f>+Actuals!Y174</f>
        <v>0</v>
      </c>
      <c r="AC27" s="127">
        <f>+Actuals!Z174</f>
        <v>0</v>
      </c>
      <c r="AD27" s="126">
        <f>+Actuals!AA174</f>
        <v>0</v>
      </c>
      <c r="AE27" s="127">
        <f>+Actuals!AB174</f>
        <v>0</v>
      </c>
      <c r="AF27" s="126">
        <f>+Actuals!AC174</f>
        <v>0</v>
      </c>
      <c r="AG27" s="127">
        <f>+Actuals!AD174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-2040280</v>
      </c>
      <c r="E28" s="38">
        <f>SUM(G28,I28,K28,M28,O28,Q28,S28,U28,W28,Y28,AA28,AC28,AE28,AG28)</f>
        <v>-5242512.18</v>
      </c>
      <c r="F28" s="81">
        <f>'TIE-OUT'!J28+RECLASS!H28</f>
        <v>0</v>
      </c>
      <c r="G28" s="82">
        <f>'TIE-OUT'!K28+RECLASS!I28</f>
        <v>0</v>
      </c>
      <c r="H28" s="126">
        <f>+Actuals!E175</f>
        <v>-2135681</v>
      </c>
      <c r="I28" s="127">
        <f>+Actuals!F175</f>
        <v>-5477955.3399999999</v>
      </c>
      <c r="J28" s="126">
        <f>+Actuals!G175</f>
        <v>30568</v>
      </c>
      <c r="K28" s="145">
        <f>+Actuals!H175</f>
        <v>75100.800000000003</v>
      </c>
      <c r="L28" s="126">
        <f>+Actuals!I175</f>
        <v>0</v>
      </c>
      <c r="M28" s="127">
        <f>+Actuals!J175</f>
        <v>0</v>
      </c>
      <c r="N28" s="126">
        <f>+Actuals!K175</f>
        <v>0</v>
      </c>
      <c r="O28" s="127">
        <f>+Actuals!L175</f>
        <v>0</v>
      </c>
      <c r="P28" s="126">
        <f>+Actuals!M255</f>
        <v>0</v>
      </c>
      <c r="Q28" s="127">
        <f>+Actuals!N255</f>
        <v>0</v>
      </c>
      <c r="R28" s="126">
        <f>+Actuals!O255</f>
        <v>0</v>
      </c>
      <c r="S28" s="127">
        <f>+Actuals!P255</f>
        <v>0</v>
      </c>
      <c r="T28" s="126">
        <f>+Actuals!Q255</f>
        <v>0</v>
      </c>
      <c r="U28" s="127">
        <f>+Actuals!R255</f>
        <v>0</v>
      </c>
      <c r="V28" s="126">
        <f>+Actuals!S255</f>
        <v>0</v>
      </c>
      <c r="W28" s="127">
        <f>+Actuals!T255</f>
        <v>0</v>
      </c>
      <c r="X28" s="126">
        <f>+Actuals!U255</f>
        <v>0</v>
      </c>
      <c r="Y28" s="127">
        <f>+Actuals!V255</f>
        <v>0</v>
      </c>
      <c r="Z28" s="126">
        <f>+Actuals!W255</f>
        <v>64833</v>
      </c>
      <c r="AA28" s="127">
        <f>+Actuals!X255</f>
        <v>160342.35999999999</v>
      </c>
      <c r="AB28" s="126">
        <f>+Actuals!Y175</f>
        <v>0</v>
      </c>
      <c r="AC28" s="127">
        <f>+Actuals!Z175</f>
        <v>0</v>
      </c>
      <c r="AD28" s="126">
        <f>+Actuals!AA175</f>
        <v>0</v>
      </c>
      <c r="AE28" s="127">
        <f>+Actuals!AB175</f>
        <v>0</v>
      </c>
      <c r="AF28" s="126">
        <f>+Actuals!AC175</f>
        <v>0</v>
      </c>
      <c r="AG28" s="127">
        <f>+Actuals!AD175</f>
        <v>0</v>
      </c>
    </row>
    <row r="29" spans="1:33" x14ac:dyDescent="0.25">
      <c r="A29" s="9"/>
      <c r="B29" s="7" t="s">
        <v>37</v>
      </c>
      <c r="C29" s="18"/>
      <c r="D29" s="61">
        <f t="shared" ref="D29:AE29" si="6">SUM(D27:D28)</f>
        <v>6740610</v>
      </c>
      <c r="E29" s="39">
        <f t="shared" si="6"/>
        <v>17232752.59</v>
      </c>
      <c r="F29" s="61">
        <f t="shared" si="6"/>
        <v>0</v>
      </c>
      <c r="G29" s="39">
        <f t="shared" si="6"/>
        <v>0</v>
      </c>
      <c r="H29" s="61">
        <f t="shared" si="6"/>
        <v>6643998</v>
      </c>
      <c r="I29" s="39">
        <f t="shared" si="6"/>
        <v>16985245.09</v>
      </c>
      <c r="J29" s="61">
        <f t="shared" si="6"/>
        <v>81780</v>
      </c>
      <c r="K29" s="146">
        <f t="shared" si="6"/>
        <v>218042.16999999998</v>
      </c>
      <c r="L29" s="61">
        <f t="shared" si="6"/>
        <v>-50001</v>
      </c>
      <c r="M29" s="39">
        <f t="shared" si="6"/>
        <v>-130877.03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64833</v>
      </c>
      <c r="AA29" s="39">
        <f>SUM(AA27:AA28)</f>
        <v>160342.35999999999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-117607</v>
      </c>
      <c r="E32" s="38">
        <f t="shared" si="8"/>
        <v>-340824.61500000051</v>
      </c>
      <c r="F32" s="64">
        <f>'TIE-OUT'!J32+RECLASS!H32</f>
        <v>0</v>
      </c>
      <c r="G32" s="68">
        <f>'TIE-OUT'!K32+RECLASS!I32</f>
        <v>0</v>
      </c>
      <c r="H32" s="126">
        <f>+Actuals!E176</f>
        <v>60680</v>
      </c>
      <c r="I32" s="127">
        <f>+Actuals!F176</f>
        <v>175850.64</v>
      </c>
      <c r="J32" s="126">
        <f>+Actuals!G176</f>
        <v>-155897</v>
      </c>
      <c r="K32" s="145">
        <f>+Actuals!H176</f>
        <v>-451789.04</v>
      </c>
      <c r="L32" s="126">
        <f>+Actuals!I176</f>
        <v>2096293</v>
      </c>
      <c r="M32" s="127">
        <f>+Actuals!J176</f>
        <v>6075057.1169999996</v>
      </c>
      <c r="N32" s="126">
        <f>+Actuals!K176</f>
        <v>-1042715</v>
      </c>
      <c r="O32" s="127">
        <f>+Actuals!L176</f>
        <v>-3021788.07</v>
      </c>
      <c r="P32" s="126">
        <f>+Actuals!M256</f>
        <v>696893</v>
      </c>
      <c r="Q32" s="127">
        <f>+Actuals!N256</f>
        <v>2019595.9140000001</v>
      </c>
      <c r="R32" s="126">
        <f>+Actuals!O256</f>
        <v>1157</v>
      </c>
      <c r="S32" s="127">
        <f>+Actuals!P256</f>
        <v>3352.9859999999999</v>
      </c>
      <c r="T32" s="126">
        <f>+Actuals!Q256</f>
        <v>-2345731</v>
      </c>
      <c r="U32" s="127">
        <f>+Actuals!R256</f>
        <v>-6797928.4380000001</v>
      </c>
      <c r="V32" s="126">
        <f>+Actuals!S256</f>
        <v>55</v>
      </c>
      <c r="W32" s="127">
        <f>+Actuals!T256</f>
        <v>159.38999999999999</v>
      </c>
      <c r="X32" s="126">
        <f>+Actuals!U256</f>
        <v>-548425</v>
      </c>
      <c r="Y32" s="127">
        <f>+Actuals!V256</f>
        <v>-1589335.65</v>
      </c>
      <c r="Z32" s="126">
        <f>+Actuals!W256</f>
        <v>1220917</v>
      </c>
      <c r="AA32" s="127">
        <f>+Actuals!X256</f>
        <v>3538217.466</v>
      </c>
      <c r="AB32" s="126">
        <v>-100674</v>
      </c>
      <c r="AC32" s="127">
        <v>-291753.25</v>
      </c>
      <c r="AD32" s="126">
        <v>-21</v>
      </c>
      <c r="AE32" s="127">
        <v>-60.86</v>
      </c>
      <c r="AF32" s="126">
        <v>-139</v>
      </c>
      <c r="AG32" s="127">
        <v>-402.82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-201649</v>
      </c>
      <c r="E33" s="38">
        <f t="shared" si="8"/>
        <v>-522718.93999999994</v>
      </c>
      <c r="F33" s="60">
        <f>'TIE-OUT'!J33+RECLASS!H33</f>
        <v>0</v>
      </c>
      <c r="G33" s="38">
        <f>'TIE-OUT'!K33+RECLASS!I33</f>
        <v>0</v>
      </c>
      <c r="H33" s="126">
        <f>+Actuals!E177</f>
        <v>0</v>
      </c>
      <c r="I33" s="127">
        <f>+Actuals!F177</f>
        <v>0</v>
      </c>
      <c r="J33" s="126">
        <f>+Actuals!G177</f>
        <v>-129873</v>
      </c>
      <c r="K33" s="145">
        <f>+Actuals!H177</f>
        <v>-333500.31</v>
      </c>
      <c r="L33" s="126">
        <f>+Actuals!I177</f>
        <v>-3206</v>
      </c>
      <c r="M33" s="127">
        <f>+Actuals!J177</f>
        <v>-8207.36</v>
      </c>
      <c r="N33" s="126">
        <f>+Actuals!K177</f>
        <v>-16832</v>
      </c>
      <c r="O33" s="127">
        <f>+Actuals!L177</f>
        <v>-45404.69</v>
      </c>
      <c r="P33" s="126">
        <f>+Actuals!M257</f>
        <v>0</v>
      </c>
      <c r="Q33" s="127">
        <f>+Actuals!N257</f>
        <v>0</v>
      </c>
      <c r="R33" s="126">
        <f>+Actuals!O257</f>
        <v>-1034</v>
      </c>
      <c r="S33" s="127">
        <f>+Actuals!P257</f>
        <v>-2792.73</v>
      </c>
      <c r="T33" s="126">
        <f>+Actuals!Q257</f>
        <v>-351</v>
      </c>
      <c r="U33" s="127">
        <f>+Actuals!R257</f>
        <v>-885.35</v>
      </c>
      <c r="V33" s="126">
        <f>+Actuals!S257</f>
        <v>0</v>
      </c>
      <c r="W33" s="127">
        <f>+Actuals!T257</f>
        <v>0</v>
      </c>
      <c r="X33" s="126">
        <f>+Actuals!U257</f>
        <v>-50353</v>
      </c>
      <c r="Y33" s="127">
        <f>+Actuals!V257</f>
        <v>-131928.5</v>
      </c>
      <c r="Z33" s="126">
        <f>+Actuals!W257</f>
        <v>0</v>
      </c>
      <c r="AA33" s="127">
        <f>+Actuals!X257</f>
        <v>0</v>
      </c>
      <c r="AB33" s="126">
        <f>+Actuals!Y177</f>
        <v>0</v>
      </c>
      <c r="AC33" s="127">
        <f>+Actuals!Z177</f>
        <v>0</v>
      </c>
      <c r="AD33" s="126">
        <f>+Actuals!AA177</f>
        <v>0</v>
      </c>
      <c r="AE33" s="127">
        <f>+Actuals!AB177</f>
        <v>0</v>
      </c>
      <c r="AF33" s="126">
        <f>+Actuals!AC177</f>
        <v>0</v>
      </c>
      <c r="AG33" s="127">
        <f>+Actuals!AD177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'TIE-OUT'!J34+RECLASS!H34</f>
        <v>0</v>
      </c>
      <c r="G34" s="38">
        <f>'TIE-OUT'!K34+RECLASS!I34</f>
        <v>0</v>
      </c>
      <c r="H34" s="126">
        <f>+Actuals!E178</f>
        <v>0</v>
      </c>
      <c r="I34" s="127">
        <f>+Actuals!F178</f>
        <v>0</v>
      </c>
      <c r="J34" s="126">
        <f>+Actuals!G178</f>
        <v>51505</v>
      </c>
      <c r="K34" s="145">
        <f>+Actuals!H178</f>
        <v>129852.9</v>
      </c>
      <c r="L34" s="126">
        <f>+Actuals!I178</f>
        <v>2046</v>
      </c>
      <c r="M34" s="127">
        <f>+Actuals!J178</f>
        <v>5392.44</v>
      </c>
      <c r="N34" s="126">
        <f>+Actuals!K178</f>
        <v>16782</v>
      </c>
      <c r="O34" s="127">
        <f>+Actuals!L178</f>
        <v>44720.480000000003</v>
      </c>
      <c r="P34" s="126">
        <f>+Actuals!M258</f>
        <v>0</v>
      </c>
      <c r="Q34" s="127">
        <f>+Actuals!N258</f>
        <v>0</v>
      </c>
      <c r="R34" s="126">
        <f>+Actuals!O258</f>
        <v>0</v>
      </c>
      <c r="S34" s="127">
        <f>+Actuals!P258</f>
        <v>0</v>
      </c>
      <c r="T34" s="126">
        <f>+Actuals!Q258</f>
        <v>0</v>
      </c>
      <c r="U34" s="127">
        <f>+Actuals!R258</f>
        <v>0</v>
      </c>
      <c r="V34" s="126">
        <f>+Actuals!S258</f>
        <v>347</v>
      </c>
      <c r="W34" s="127">
        <f>+Actuals!T258</f>
        <v>939.78</v>
      </c>
      <c r="X34" s="126">
        <f>+Actuals!U258</f>
        <v>0</v>
      </c>
      <c r="Y34" s="127">
        <f>+Actuals!V258</f>
        <v>0</v>
      </c>
      <c r="Z34" s="126">
        <f>+Actuals!W258</f>
        <v>0</v>
      </c>
      <c r="AA34" s="127">
        <f>+Actuals!X258</f>
        <v>0</v>
      </c>
      <c r="AB34" s="126">
        <f>+Actuals!Y178</f>
        <v>0</v>
      </c>
      <c r="AC34" s="127">
        <f>+Actuals!Z178</f>
        <v>0</v>
      </c>
      <c r="AD34" s="126">
        <f>+Actuals!AA178</f>
        <v>0</v>
      </c>
      <c r="AE34" s="127">
        <f>+Actuals!AB178</f>
        <v>0</v>
      </c>
      <c r="AF34" s="126">
        <f>+Actuals!AC178</f>
        <v>0</v>
      </c>
      <c r="AG34" s="127">
        <f>+Actuals!AD178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26">
        <f>+Actuals!E179</f>
        <v>0</v>
      </c>
      <c r="I35" s="127">
        <f>+Actuals!F179</f>
        <v>0</v>
      </c>
      <c r="J35" s="126">
        <f>+Actuals!G179</f>
        <v>0</v>
      </c>
      <c r="K35" s="145">
        <f>+Actuals!H179</f>
        <v>0</v>
      </c>
      <c r="L35" s="126">
        <f>+Actuals!I179</f>
        <v>0</v>
      </c>
      <c r="M35" s="127">
        <f>+Actuals!J179</f>
        <v>0</v>
      </c>
      <c r="N35" s="126">
        <f>+Actuals!K179</f>
        <v>0</v>
      </c>
      <c r="O35" s="127">
        <f>+Actuals!L179</f>
        <v>0</v>
      </c>
      <c r="P35" s="126">
        <f>+Actuals!M259</f>
        <v>0</v>
      </c>
      <c r="Q35" s="127">
        <f>+Actuals!N259</f>
        <v>0</v>
      </c>
      <c r="R35" s="126">
        <f>+Actuals!O259</f>
        <v>0</v>
      </c>
      <c r="S35" s="127">
        <f>+Actuals!P259</f>
        <v>0</v>
      </c>
      <c r="T35" s="126">
        <f>+Actuals!Q259</f>
        <v>100600</v>
      </c>
      <c r="U35" s="127">
        <f>+Actuals!R259</f>
        <v>0</v>
      </c>
      <c r="V35" s="126">
        <f>+Actuals!S259</f>
        <v>0</v>
      </c>
      <c r="W35" s="127">
        <f>+Actuals!T259</f>
        <v>0</v>
      </c>
      <c r="X35" s="126">
        <f>+Actuals!U259</f>
        <v>0</v>
      </c>
      <c r="Y35" s="127">
        <f>+Actuals!V259</f>
        <v>0</v>
      </c>
      <c r="Z35" s="126">
        <f>+Actuals!W259</f>
        <v>0</v>
      </c>
      <c r="AA35" s="127">
        <f>+Actuals!X259</f>
        <v>0</v>
      </c>
      <c r="AB35" s="126">
        <f>+Actuals!Y179</f>
        <v>0</v>
      </c>
      <c r="AC35" s="127">
        <f>+Actuals!Z179</f>
        <v>0</v>
      </c>
      <c r="AD35" s="126">
        <f>+Actuals!AA179</f>
        <v>0</v>
      </c>
      <c r="AE35" s="127">
        <f>+Actuals!AB179</f>
        <v>0</v>
      </c>
      <c r="AF35" s="126">
        <f>+Actuals!AC179</f>
        <v>0</v>
      </c>
      <c r="AG35" s="127">
        <f>+Actuals!AD179</f>
        <v>0</v>
      </c>
    </row>
    <row r="36" spans="1:33" x14ac:dyDescent="0.25">
      <c r="A36" s="9"/>
      <c r="B36" s="7" t="s">
        <v>43</v>
      </c>
      <c r="C36" s="6"/>
      <c r="D36" s="61">
        <f t="shared" ref="D36:AE36" si="9">SUM(D32:D35)</f>
        <v>-147976</v>
      </c>
      <c r="E36" s="39">
        <f t="shared" si="9"/>
        <v>-682637.95500000042</v>
      </c>
      <c r="F36" s="61">
        <f t="shared" si="9"/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-234265</v>
      </c>
      <c r="K36" s="146">
        <f t="shared" si="9"/>
        <v>-655436.44999999995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-2245482</v>
      </c>
      <c r="U36" s="39">
        <f t="shared" si="10"/>
        <v>-6798813.7879999997</v>
      </c>
      <c r="V36" s="61">
        <f t="shared" si="10"/>
        <v>402</v>
      </c>
      <c r="W36" s="39">
        <f t="shared" si="10"/>
        <v>1099.17</v>
      </c>
      <c r="X36" s="61">
        <f>SUM(X32:X35)</f>
        <v>-598778</v>
      </c>
      <c r="Y36" s="39">
        <f>SUM(Y32:Y35)</f>
        <v>-1721264.15</v>
      </c>
      <c r="Z36" s="61">
        <f>SUM(Z32:Z35)</f>
        <v>1220917</v>
      </c>
      <c r="AA36" s="39">
        <f>SUM(AA32:AA35)</f>
        <v>3538217.466</v>
      </c>
      <c r="AB36" s="61">
        <f t="shared" si="9"/>
        <v>-100674</v>
      </c>
      <c r="AC36" s="39">
        <f t="shared" si="9"/>
        <v>-291753.25</v>
      </c>
      <c r="AD36" s="61">
        <f t="shared" si="9"/>
        <v>-21</v>
      </c>
      <c r="AE36" s="39">
        <f t="shared" si="9"/>
        <v>-60.86</v>
      </c>
      <c r="AF36" s="61">
        <f>SUM(AF32:AF35)</f>
        <v>-139</v>
      </c>
      <c r="AG36" s="39">
        <f>SUM(AG32:AG35)</f>
        <v>-402.82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75502</v>
      </c>
      <c r="E39" s="38">
        <f t="shared" si="11"/>
        <v>218804.59</v>
      </c>
      <c r="F39" s="64">
        <f>'TIE-OUT'!J39+RECLASS!H39</f>
        <v>0</v>
      </c>
      <c r="G39" s="68">
        <f>'TIE-OUT'!K39+RECLASS!I39</f>
        <v>0</v>
      </c>
      <c r="H39" s="126">
        <f>+Actuals!E180</f>
        <v>0</v>
      </c>
      <c r="I39" s="127">
        <f>+Actuals!F180</f>
        <v>0</v>
      </c>
      <c r="J39" s="126">
        <f>+Actuals!G180</f>
        <v>0</v>
      </c>
      <c r="K39" s="145">
        <f>+Actuals!H180</f>
        <v>0</v>
      </c>
      <c r="L39" s="126">
        <f>+Actuals!I180</f>
        <v>100600</v>
      </c>
      <c r="M39" s="127">
        <f>+Actuals!J180</f>
        <v>291538.8</v>
      </c>
      <c r="N39" s="126">
        <f>+Actuals!K180</f>
        <v>0</v>
      </c>
      <c r="O39" s="127">
        <f>+Actuals!L180</f>
        <v>0</v>
      </c>
      <c r="P39" s="126">
        <f>+Actuals!M260</f>
        <v>0</v>
      </c>
      <c r="Q39" s="127">
        <f>+Actuals!N260</f>
        <v>0</v>
      </c>
      <c r="R39" s="126">
        <f>+Actuals!O260</f>
        <v>0</v>
      </c>
      <c r="S39" s="127">
        <f>+Actuals!P260</f>
        <v>0</v>
      </c>
      <c r="T39" s="126">
        <f>+Actuals!Q260</f>
        <v>-120600</v>
      </c>
      <c r="U39" s="127">
        <f>+Actuals!R260</f>
        <v>-349499</v>
      </c>
      <c r="V39" s="126">
        <f>+Actuals!S260</f>
        <v>0</v>
      </c>
      <c r="W39" s="127">
        <f>+Actuals!T260</f>
        <v>0</v>
      </c>
      <c r="X39" s="126">
        <f>+Actuals!U260</f>
        <v>0</v>
      </c>
      <c r="Y39" s="127">
        <f>+Actuals!V260</f>
        <v>0</v>
      </c>
      <c r="Z39" s="126">
        <f>+Actuals!W260</f>
        <v>0</v>
      </c>
      <c r="AA39" s="127">
        <f>+Actuals!X260</f>
        <v>0</v>
      </c>
      <c r="AB39" s="126">
        <v>97818</v>
      </c>
      <c r="AC39" s="127">
        <v>283476.56</v>
      </c>
      <c r="AD39" s="126">
        <v>-2316</v>
      </c>
      <c r="AE39" s="127">
        <v>-6711.77</v>
      </c>
      <c r="AF39" s="126">
        <v>0</v>
      </c>
      <c r="AG39" s="127"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'TIE-OUT'!J40+RECLASS!H40</f>
        <v>0</v>
      </c>
      <c r="G40" s="38">
        <f>'TIE-OUT'!K40+RECLASS!I40</f>
        <v>0</v>
      </c>
      <c r="H40" s="126">
        <f>+Actuals!E181</f>
        <v>0</v>
      </c>
      <c r="I40" s="127">
        <f>+Actuals!F181</f>
        <v>0</v>
      </c>
      <c r="J40" s="126">
        <f>+Actuals!G181</f>
        <v>0</v>
      </c>
      <c r="K40" s="145">
        <f>+Actuals!H181</f>
        <v>0</v>
      </c>
      <c r="L40" s="126">
        <f>+Actuals!I181</f>
        <v>0</v>
      </c>
      <c r="M40" s="127">
        <f>+Actuals!J181</f>
        <v>0</v>
      </c>
      <c r="N40" s="126">
        <f>+Actuals!K181</f>
        <v>0</v>
      </c>
      <c r="O40" s="127">
        <f>+Actuals!L181</f>
        <v>0</v>
      </c>
      <c r="P40" s="126">
        <f>+Actuals!M261</f>
        <v>0</v>
      </c>
      <c r="Q40" s="127">
        <f>+Actuals!N261</f>
        <v>0</v>
      </c>
      <c r="R40" s="126">
        <f>+Actuals!O261</f>
        <v>0</v>
      </c>
      <c r="S40" s="127">
        <f>+Actuals!P261</f>
        <v>0</v>
      </c>
      <c r="T40" s="126">
        <f>+Actuals!Q261</f>
        <v>0</v>
      </c>
      <c r="U40" s="127">
        <f>+Actuals!R261</f>
        <v>0</v>
      </c>
      <c r="V40" s="126">
        <f>+Actuals!S261</f>
        <v>0</v>
      </c>
      <c r="W40" s="127">
        <f>+Actuals!T261</f>
        <v>0</v>
      </c>
      <c r="X40" s="126">
        <f>+Actuals!U261</f>
        <v>0</v>
      </c>
      <c r="Y40" s="127">
        <f>+Actuals!V261</f>
        <v>0</v>
      </c>
      <c r="Z40" s="126">
        <f>+Actuals!W261</f>
        <v>0</v>
      </c>
      <c r="AA40" s="127">
        <f>+Actuals!X261</f>
        <v>0</v>
      </c>
      <c r="AB40" s="126">
        <f>+Actuals!Y181</f>
        <v>0</v>
      </c>
      <c r="AC40" s="127">
        <f>+Actuals!Z181</f>
        <v>0</v>
      </c>
      <c r="AD40" s="126">
        <f>+Actuals!AA181</f>
        <v>0</v>
      </c>
      <c r="AE40" s="127">
        <f>+Actuals!AB181</f>
        <v>0</v>
      </c>
      <c r="AF40" s="126">
        <f>+Actuals!AC181</f>
        <v>0</v>
      </c>
      <c r="AG40" s="127">
        <f>+Actuals!AD181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6">
        <f>+Actuals!E182</f>
        <v>0</v>
      </c>
      <c r="I41" s="127">
        <f>+Actuals!F182</f>
        <v>0</v>
      </c>
      <c r="J41" s="126">
        <f>+Actuals!G182</f>
        <v>0</v>
      </c>
      <c r="K41" s="145">
        <f>+Actuals!H182</f>
        <v>0</v>
      </c>
      <c r="L41" s="126">
        <f>+Actuals!I182</f>
        <v>0</v>
      </c>
      <c r="M41" s="127">
        <f>+Actuals!J182</f>
        <v>0</v>
      </c>
      <c r="N41" s="126">
        <f>+Actuals!K182</f>
        <v>0</v>
      </c>
      <c r="O41" s="127">
        <f>+Actuals!L182</f>
        <v>0</v>
      </c>
      <c r="P41" s="126">
        <f>+Actuals!M262</f>
        <v>0</v>
      </c>
      <c r="Q41" s="127">
        <f>+Actuals!N262</f>
        <v>0</v>
      </c>
      <c r="R41" s="126">
        <f>+Actuals!O262</f>
        <v>0</v>
      </c>
      <c r="S41" s="127">
        <f>+Actuals!P262</f>
        <v>0</v>
      </c>
      <c r="T41" s="126">
        <f>+Actuals!Q262</f>
        <v>0</v>
      </c>
      <c r="U41" s="127">
        <f>+Actuals!R262</f>
        <v>0</v>
      </c>
      <c r="V41" s="126">
        <f>+Actuals!S262</f>
        <v>0</v>
      </c>
      <c r="W41" s="127">
        <f>+Actuals!T262</f>
        <v>0</v>
      </c>
      <c r="X41" s="126">
        <f>+Actuals!U262</f>
        <v>0</v>
      </c>
      <c r="Y41" s="127">
        <f>+Actuals!V262</f>
        <v>0</v>
      </c>
      <c r="Z41" s="126">
        <f>+Actuals!W262</f>
        <v>0</v>
      </c>
      <c r="AA41" s="127">
        <f>+Actuals!X262</f>
        <v>0</v>
      </c>
      <c r="AB41" s="126">
        <f>+Actuals!Y182</f>
        <v>0</v>
      </c>
      <c r="AC41" s="127">
        <f>+Actuals!Z182</f>
        <v>0</v>
      </c>
      <c r="AD41" s="126">
        <f>+Actuals!AA182</f>
        <v>0</v>
      </c>
      <c r="AE41" s="127">
        <f>+Actuals!AB182</f>
        <v>0</v>
      </c>
      <c r="AF41" s="126">
        <f>+Actuals!AC182</f>
        <v>0</v>
      </c>
      <c r="AG41" s="127">
        <f>+Actuals!AD182</f>
        <v>0</v>
      </c>
    </row>
    <row r="42" spans="1:33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AE43" si="14">D42+D39</f>
        <v>75502</v>
      </c>
      <c r="E43" s="39">
        <f t="shared" si="14"/>
        <v>218804.59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6">
        <f t="shared" si="14"/>
        <v>0</v>
      </c>
      <c r="L43" s="61">
        <f t="shared" si="14"/>
        <v>100600</v>
      </c>
      <c r="M43" s="39">
        <f t="shared" si="14"/>
        <v>291538.8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97818</v>
      </c>
      <c r="AC43" s="39">
        <f t="shared" si="14"/>
        <v>283476.56</v>
      </c>
      <c r="AD43" s="61">
        <f t="shared" si="14"/>
        <v>-2316</v>
      </c>
      <c r="AE43" s="39">
        <f t="shared" si="14"/>
        <v>-6711.77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'TIE-OUT'!J45+RECLASS!H45</f>
        <v>0</v>
      </c>
      <c r="G45" s="68">
        <f>'TIE-OUT'!K45+RECLASS!I45</f>
        <v>0</v>
      </c>
      <c r="H45" s="126">
        <f>+Actuals!E183</f>
        <v>0</v>
      </c>
      <c r="I45" s="127">
        <f>+Actuals!F183</f>
        <v>0</v>
      </c>
      <c r="J45" s="126">
        <f>+Actuals!G183</f>
        <v>0</v>
      </c>
      <c r="K45" s="145">
        <f>+Actuals!H183</f>
        <v>0</v>
      </c>
      <c r="L45" s="126">
        <f>+Actuals!I183</f>
        <v>0</v>
      </c>
      <c r="M45" s="127">
        <f>+Actuals!J183</f>
        <v>0</v>
      </c>
      <c r="N45" s="126">
        <f>+Actuals!K183</f>
        <v>0</v>
      </c>
      <c r="O45" s="127">
        <f>+Actuals!L183</f>
        <v>0</v>
      </c>
      <c r="P45" s="126">
        <f>+Actuals!M263</f>
        <v>0</v>
      </c>
      <c r="Q45" s="127">
        <f>+Actuals!N263</f>
        <v>0</v>
      </c>
      <c r="R45" s="126">
        <f>+Actuals!O263</f>
        <v>0</v>
      </c>
      <c r="S45" s="127">
        <f>+Actuals!P263</f>
        <v>0</v>
      </c>
      <c r="T45" s="126">
        <f>+Actuals!Q263</f>
        <v>0</v>
      </c>
      <c r="U45" s="127">
        <f>+Actuals!R263</f>
        <v>0</v>
      </c>
      <c r="V45" s="126">
        <f>+Actuals!S263</f>
        <v>0</v>
      </c>
      <c r="W45" s="127">
        <f>+Actuals!T263</f>
        <v>0</v>
      </c>
      <c r="X45" s="126">
        <f>+Actuals!U263</f>
        <v>0</v>
      </c>
      <c r="Y45" s="127">
        <f>+Actuals!V263</f>
        <v>0</v>
      </c>
      <c r="Z45" s="126">
        <f>+Actuals!W263</f>
        <v>0</v>
      </c>
      <c r="AA45" s="127">
        <f>+Actuals!X263</f>
        <v>0</v>
      </c>
      <c r="AB45" s="126">
        <f>+Actuals!Y183</f>
        <v>0</v>
      </c>
      <c r="AC45" s="127">
        <f>+Actuals!Z183</f>
        <v>0</v>
      </c>
      <c r="AD45" s="126">
        <f>+Actuals!AA183</f>
        <v>0</v>
      </c>
      <c r="AE45" s="127">
        <f>+Actuals!AB183</f>
        <v>0</v>
      </c>
      <c r="AF45" s="126">
        <f>+Actuals!AC183</f>
        <v>0</v>
      </c>
      <c r="AG45" s="127">
        <f>+Actuals!AD183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'TIE-OUT'!J47+RECLASS!H47</f>
        <v>0</v>
      </c>
      <c r="G47" s="38">
        <f>'TIE-OUT'!K47+RECLASS!I47</f>
        <v>0</v>
      </c>
      <c r="H47" s="126">
        <f>+Actuals!E184</f>
        <v>0</v>
      </c>
      <c r="I47" s="127">
        <f>+Actuals!F184</f>
        <v>0</v>
      </c>
      <c r="J47" s="126">
        <f>+Actuals!G184</f>
        <v>0</v>
      </c>
      <c r="K47" s="145">
        <f>+Actuals!H184</f>
        <v>0</v>
      </c>
      <c r="L47" s="126">
        <f>+Actuals!I184</f>
        <v>0</v>
      </c>
      <c r="M47" s="127">
        <f>+Actuals!J184</f>
        <v>0</v>
      </c>
      <c r="N47" s="126">
        <f>+Actuals!K184</f>
        <v>0</v>
      </c>
      <c r="O47" s="127">
        <f>+Actuals!L184</f>
        <v>0</v>
      </c>
      <c r="P47" s="126">
        <f>+Actuals!M264</f>
        <v>0</v>
      </c>
      <c r="Q47" s="127">
        <f>+Actuals!N264</f>
        <v>0</v>
      </c>
      <c r="R47" s="126">
        <f>+Actuals!O264</f>
        <v>0</v>
      </c>
      <c r="S47" s="127">
        <f>+Actuals!P264</f>
        <v>0</v>
      </c>
      <c r="T47" s="126">
        <f>+Actuals!Q264</f>
        <v>0</v>
      </c>
      <c r="U47" s="127">
        <f>+Actuals!R264</f>
        <v>0</v>
      </c>
      <c r="V47" s="126">
        <f>+Actuals!S264</f>
        <v>0</v>
      </c>
      <c r="W47" s="127">
        <f>+Actuals!T264</f>
        <v>0</v>
      </c>
      <c r="X47" s="126">
        <f>+Actuals!U264</f>
        <v>0</v>
      </c>
      <c r="Y47" s="127">
        <f>+Actuals!V264</f>
        <v>0</v>
      </c>
      <c r="Z47" s="126">
        <f>+Actuals!W264</f>
        <v>0</v>
      </c>
      <c r="AA47" s="127">
        <f>+Actuals!X264</f>
        <v>0</v>
      </c>
      <c r="AB47" s="126">
        <f>+Actuals!Y184</f>
        <v>0</v>
      </c>
      <c r="AC47" s="127">
        <f>+Actuals!Z184</f>
        <v>0</v>
      </c>
      <c r="AD47" s="126">
        <f>+Actuals!AA184</f>
        <v>0</v>
      </c>
      <c r="AE47" s="127">
        <f>+Actuals!AB184</f>
        <v>0</v>
      </c>
      <c r="AF47" s="126">
        <f>+Actuals!AC184</f>
        <v>0</v>
      </c>
      <c r="AG47" s="127">
        <f>+Actuals!AD184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329080</v>
      </c>
      <c r="E49" s="38">
        <f>SUM(G49,I49,K49,M49,O49,Q49,S49,U49,W49,Y49,AA49,AC49,AE49,AG49)</f>
        <v>953673.83799999964</v>
      </c>
      <c r="F49" s="60">
        <f>'TIE-OUT'!J49+RECLASS!H49</f>
        <v>0</v>
      </c>
      <c r="G49" s="38">
        <f>'TIE-OUT'!K49+RECLASS!I49</f>
        <v>0</v>
      </c>
      <c r="H49" s="126">
        <f>+Actuals!E185</f>
        <v>-434994</v>
      </c>
      <c r="I49" s="127">
        <f>+Actuals!F185</f>
        <v>-1260612.612</v>
      </c>
      <c r="J49" s="126">
        <f>+Actuals!G185</f>
        <v>700692</v>
      </c>
      <c r="K49" s="145">
        <f>+Actuals!H185</f>
        <v>2030605.416</v>
      </c>
      <c r="L49" s="126">
        <f>+Actuals!I185</f>
        <v>-2035757</v>
      </c>
      <c r="M49" s="127">
        <f>+Actuals!J185</f>
        <v>-5899623.7860000003</v>
      </c>
      <c r="N49" s="126">
        <f>+Actuals!K185</f>
        <v>922833</v>
      </c>
      <c r="O49" s="127">
        <f>+Actuals!L185</f>
        <v>2674370.034</v>
      </c>
      <c r="P49" s="126">
        <f>+Actuals!M265</f>
        <v>-2953286</v>
      </c>
      <c r="Q49" s="127">
        <f>+Actuals!N265</f>
        <v>-8558622.8279999997</v>
      </c>
      <c r="R49" s="126">
        <f>+Actuals!O265</f>
        <v>351596</v>
      </c>
      <c r="S49" s="127">
        <f>+Actuals!P265</f>
        <v>1018925.208</v>
      </c>
      <c r="T49" s="126">
        <f>+Actuals!Q265</f>
        <v>2139035</v>
      </c>
      <c r="U49" s="127">
        <f>+Actuals!R265</f>
        <v>6198923.4299999997</v>
      </c>
      <c r="V49" s="126">
        <f>+Actuals!S265</f>
        <v>57</v>
      </c>
      <c r="W49" s="127">
        <f>+Actuals!T265</f>
        <v>165.18600000000001</v>
      </c>
      <c r="X49" s="126">
        <f>+Actuals!U265</f>
        <v>996768</v>
      </c>
      <c r="Y49" s="127">
        <f>+Actuals!V265</f>
        <v>2888633.6639999999</v>
      </c>
      <c r="Z49" s="126">
        <f>+Actuals!W265</f>
        <v>620477</v>
      </c>
      <c r="AA49" s="127">
        <f>+Actuals!X265</f>
        <v>1798142.3459999999</v>
      </c>
      <c r="AB49" s="126">
        <v>2856</v>
      </c>
      <c r="AC49" s="127">
        <v>8276.69</v>
      </c>
      <c r="AD49" s="126">
        <v>20000</v>
      </c>
      <c r="AE49" s="127">
        <v>57960</v>
      </c>
      <c r="AF49" s="126">
        <v>-1197</v>
      </c>
      <c r="AG49" s="127">
        <v>-3468.91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-536548</v>
      </c>
      <c r="E51" s="38">
        <f>SUM(G51,I51,K51,M51,O51,Q51,S51,U51,W51,Y51,AA51,AC51,AE51,AG51)</f>
        <v>-1554916.108</v>
      </c>
      <c r="F51" s="60">
        <f>'TIE-OUT'!J51+RECLASS!H51</f>
        <v>0</v>
      </c>
      <c r="G51" s="38">
        <f>'TIE-OUT'!K51+RECLASS!I51</f>
        <v>0</v>
      </c>
      <c r="H51" s="126">
        <f>+Actuals!E186</f>
        <v>-820603</v>
      </c>
      <c r="I51" s="127">
        <f>+Actuals!F186</f>
        <v>-2378107.4939999999</v>
      </c>
      <c r="J51" s="126">
        <f>+Actuals!G186</f>
        <v>312827</v>
      </c>
      <c r="K51" s="145">
        <f>+Actuals!H186</f>
        <v>906572.64599999995</v>
      </c>
      <c r="L51" s="126">
        <f>+Actuals!I186</f>
        <v>-3560</v>
      </c>
      <c r="M51" s="127">
        <f>+Actuals!J186</f>
        <v>-10316.879999999999</v>
      </c>
      <c r="N51" s="126">
        <f>+Actuals!K186</f>
        <v>-11548</v>
      </c>
      <c r="O51" s="127">
        <f>+Actuals!L186</f>
        <v>-33466.103999999999</v>
      </c>
      <c r="P51" s="126">
        <f>+Actuals!M266</f>
        <v>771</v>
      </c>
      <c r="Q51" s="127">
        <f>+Actuals!N266</f>
        <v>2234.3580000000002</v>
      </c>
      <c r="R51" s="126">
        <f>+Actuals!O266</f>
        <v>4</v>
      </c>
      <c r="S51" s="127">
        <f>+Actuals!P266</f>
        <v>11.592000000000001</v>
      </c>
      <c r="T51" s="126">
        <f>+Actuals!Q266</f>
        <v>-2574</v>
      </c>
      <c r="U51" s="127">
        <f>+Actuals!R266</f>
        <v>-7459.4520000000002</v>
      </c>
      <c r="V51" s="126">
        <f>+Actuals!S266</f>
        <v>11</v>
      </c>
      <c r="W51" s="127">
        <f>+Actuals!T266</f>
        <v>31.878</v>
      </c>
      <c r="X51" s="126">
        <f>+Actuals!U266</f>
        <v>-9649</v>
      </c>
      <c r="Y51" s="127">
        <f>+Actuals!V266</f>
        <v>-27962.802</v>
      </c>
      <c r="Z51" s="126">
        <f>+Actuals!W266</f>
        <v>0</v>
      </c>
      <c r="AA51" s="127">
        <f>+Actuals!X266</f>
        <v>0</v>
      </c>
      <c r="AB51" s="126">
        <f>+Actuals!Y186</f>
        <v>0</v>
      </c>
      <c r="AC51" s="127">
        <f>+Actuals!Z186</f>
        <v>0</v>
      </c>
      <c r="AD51" s="126">
        <v>-2316</v>
      </c>
      <c r="AE51" s="127">
        <v>-6711.77</v>
      </c>
      <c r="AF51" s="126">
        <v>89</v>
      </c>
      <c r="AG51" s="127">
        <v>257.92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-65219211</v>
      </c>
      <c r="E54" s="38">
        <f>SUM(G54,I54,K54,M54,O54,Q54,S54,U54,W54,Y54,AA54,AC54,AE54,AG54)</f>
        <v>-487356.00999999983</v>
      </c>
      <c r="F54" s="64">
        <f>'TIE-OUT'!J54+RECLASS!H54</f>
        <v>0</v>
      </c>
      <c r="G54" s="68">
        <f>'TIE-OUT'!K54+RECLASS!I54</f>
        <v>-174482</v>
      </c>
      <c r="H54" s="126">
        <f>+Actuals!E187</f>
        <v>-72002340</v>
      </c>
      <c r="I54" s="127">
        <f>+Actuals!F187</f>
        <v>-1138993.8899999999</v>
      </c>
      <c r="J54" s="126">
        <f>+Actuals!G187</f>
        <v>-13268914</v>
      </c>
      <c r="K54" s="145">
        <f>+Actuals!H187</f>
        <v>498182.9</v>
      </c>
      <c r="L54" s="126">
        <f>+Actuals!I187</f>
        <v>14918799</v>
      </c>
      <c r="M54" s="127">
        <f>+Actuals!J187</f>
        <v>22618.560000000001</v>
      </c>
      <c r="N54" s="126">
        <f>+Actuals!K187</f>
        <v>9079615</v>
      </c>
      <c r="O54" s="127">
        <f>+Actuals!L187</f>
        <v>93804.06</v>
      </c>
      <c r="P54" s="126">
        <f>+Actuals!M267</f>
        <v>301086</v>
      </c>
      <c r="Q54" s="127">
        <f>+Actuals!N267</f>
        <v>39852.6</v>
      </c>
      <c r="R54" s="126">
        <f>+Actuals!O267</f>
        <v>3547</v>
      </c>
      <c r="S54" s="127">
        <f>+Actuals!P267</f>
        <v>10432.65</v>
      </c>
      <c r="T54" s="126">
        <f>+Actuals!Q267</f>
        <v>-1604655</v>
      </c>
      <c r="U54" s="127">
        <f>+Actuals!R267</f>
        <v>-30529.7</v>
      </c>
      <c r="V54" s="126">
        <f>+Actuals!S267</f>
        <v>-161</v>
      </c>
      <c r="W54" s="127">
        <f>+Actuals!T267</f>
        <v>8460.61</v>
      </c>
      <c r="X54" s="126">
        <f>+Actuals!U267</f>
        <v>-2356909</v>
      </c>
      <c r="Y54" s="127">
        <f>+Actuals!V267</f>
        <v>73228.72</v>
      </c>
      <c r="Z54" s="126">
        <f>+Actuals!W267</f>
        <v>1</v>
      </c>
      <c r="AA54" s="127">
        <f>+Actuals!X267</f>
        <v>99652.08</v>
      </c>
      <c r="AB54" s="126">
        <v>14924</v>
      </c>
      <c r="AC54" s="127">
        <v>82.08</v>
      </c>
      <c r="AD54" s="126">
        <v>-291800</v>
      </c>
      <c r="AE54" s="127">
        <v>-542</v>
      </c>
      <c r="AF54" s="126">
        <v>-12404</v>
      </c>
      <c r="AG54" s="127">
        <v>10877.32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-1226228.2300000002</v>
      </c>
      <c r="F55" s="81">
        <f>'TIE-OUT'!J55+RECLASS!H55</f>
        <v>0</v>
      </c>
      <c r="G55" s="82">
        <f>'TIE-OUT'!K55+RECLASS!I55</f>
        <v>-137294</v>
      </c>
      <c r="H55" s="126">
        <f>+Actuals!E188</f>
        <v>0</v>
      </c>
      <c r="I55" s="127">
        <f>+Actuals!F188</f>
        <v>-148842.85</v>
      </c>
      <c r="J55" s="126">
        <f>+Actuals!G188</f>
        <v>0</v>
      </c>
      <c r="K55" s="145">
        <f>+Actuals!H188</f>
        <v>-1453903.48</v>
      </c>
      <c r="L55" s="126">
        <f>+Actuals!I188</f>
        <v>0</v>
      </c>
      <c r="M55" s="127">
        <f>+Actuals!J188</f>
        <v>697141.86</v>
      </c>
      <c r="N55" s="126">
        <f>+Actuals!K188</f>
        <v>0</v>
      </c>
      <c r="O55" s="127">
        <f>+Actuals!L188</f>
        <v>223027.57</v>
      </c>
      <c r="P55" s="126">
        <f>+Actuals!M268</f>
        <v>0</v>
      </c>
      <c r="Q55" s="127">
        <f>+Actuals!N268</f>
        <v>-392459.34</v>
      </c>
      <c r="R55" s="126">
        <f>+Actuals!O268</f>
        <v>0</v>
      </c>
      <c r="S55" s="127">
        <f>+Actuals!P268</f>
        <v>30129.67</v>
      </c>
      <c r="T55" s="126">
        <f>+Actuals!Q268</f>
        <v>0</v>
      </c>
      <c r="U55" s="127">
        <f>+Actuals!R268</f>
        <v>75</v>
      </c>
      <c r="V55" s="126">
        <f>+Actuals!S268</f>
        <v>0</v>
      </c>
      <c r="W55" s="127">
        <f>+Actuals!T268</f>
        <v>-75</v>
      </c>
      <c r="X55" s="126">
        <f>+Actuals!U268</f>
        <v>0</v>
      </c>
      <c r="Y55" s="127">
        <f>+Actuals!V268</f>
        <v>-22003.07</v>
      </c>
      <c r="Z55" s="126">
        <f>+Actuals!W268</f>
        <v>0</v>
      </c>
      <c r="AA55" s="127">
        <f>+Actuals!X268</f>
        <v>-21908.67</v>
      </c>
      <c r="AB55" s="126">
        <f>+Actuals!Y188</f>
        <v>0</v>
      </c>
      <c r="AC55" s="127">
        <f>+Actuals!Z188</f>
        <v>0</v>
      </c>
      <c r="AD55" s="126">
        <f>+Actuals!AA188</f>
        <v>0</v>
      </c>
      <c r="AE55" s="127">
        <f>+Actuals!AB188</f>
        <v>0</v>
      </c>
      <c r="AF55" s="126">
        <f>+Actuals!AC188</f>
        <v>0</v>
      </c>
      <c r="AG55" s="127">
        <v>-115.92</v>
      </c>
    </row>
    <row r="56" spans="1:33" x14ac:dyDescent="0.25">
      <c r="A56" s="9"/>
      <c r="B56" s="7" t="s">
        <v>57</v>
      </c>
      <c r="C56" s="6"/>
      <c r="D56" s="61">
        <f t="shared" ref="D56:AE56" si="16">SUM(D54:D55)</f>
        <v>-65219211</v>
      </c>
      <c r="E56" s="39">
        <f t="shared" si="16"/>
        <v>-1713584.24</v>
      </c>
      <c r="F56" s="61">
        <f t="shared" si="16"/>
        <v>0</v>
      </c>
      <c r="G56" s="39">
        <f t="shared" si="16"/>
        <v>-311776</v>
      </c>
      <c r="H56" s="61">
        <f t="shared" si="16"/>
        <v>-72002340</v>
      </c>
      <c r="I56" s="39">
        <f t="shared" si="16"/>
        <v>-1287836.74</v>
      </c>
      <c r="J56" s="61">
        <f t="shared" si="16"/>
        <v>-13268914</v>
      </c>
      <c r="K56" s="146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-161</v>
      </c>
      <c r="W56" s="39">
        <f t="shared" si="17"/>
        <v>8385.61</v>
      </c>
      <c r="X56" s="61">
        <f>SUM(X54:X55)</f>
        <v>-2356909</v>
      </c>
      <c r="Y56" s="39">
        <f>SUM(Y54:Y55)</f>
        <v>51225.65</v>
      </c>
      <c r="Z56" s="61">
        <f>SUM(Z54:Z55)</f>
        <v>1</v>
      </c>
      <c r="AA56" s="39">
        <f>SUM(AA54:AA55)</f>
        <v>77743.41</v>
      </c>
      <c r="AB56" s="61">
        <f t="shared" si="16"/>
        <v>14924</v>
      </c>
      <c r="AC56" s="39">
        <f t="shared" si="16"/>
        <v>82.08</v>
      </c>
      <c r="AD56" s="61">
        <f t="shared" si="16"/>
        <v>-291800</v>
      </c>
      <c r="AE56" s="39">
        <f t="shared" si="16"/>
        <v>-542</v>
      </c>
      <c r="AF56" s="61">
        <f>SUM(AF54:AF55)</f>
        <v>-12404</v>
      </c>
      <c r="AG56" s="39">
        <f>SUM(AG54:AG55)</f>
        <v>10761.4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36300.339999999997</v>
      </c>
      <c r="F59" s="64">
        <f>'TIE-OUT'!J59+RECLASS!H59</f>
        <v>0</v>
      </c>
      <c r="G59" s="68">
        <f>'TIE-OUT'!K59+RECLASS!I59</f>
        <v>0</v>
      </c>
      <c r="H59" s="126">
        <f>+Actuals!E189</f>
        <v>0</v>
      </c>
      <c r="I59" s="127">
        <f>+Actuals!F189</f>
        <v>-112345.60000000001</v>
      </c>
      <c r="J59" s="126">
        <f>+Actuals!G189</f>
        <v>0</v>
      </c>
      <c r="K59" s="145">
        <f>+Actuals!H189</f>
        <v>30216.400000000001</v>
      </c>
      <c r="L59" s="126">
        <f>+Actuals!I189</f>
        <v>0</v>
      </c>
      <c r="M59" s="127">
        <f>+Actuals!J189</f>
        <v>0.05</v>
      </c>
      <c r="N59" s="126">
        <f>+Actuals!K189</f>
        <v>0</v>
      </c>
      <c r="O59" s="127">
        <f>+Actuals!L189</f>
        <v>0</v>
      </c>
      <c r="P59" s="126">
        <f>+Actuals!M269</f>
        <v>0</v>
      </c>
      <c r="Q59" s="127">
        <f>+Actuals!N269</f>
        <v>3679.49</v>
      </c>
      <c r="R59" s="126">
        <f>+Actuals!O269</f>
        <v>0</v>
      </c>
      <c r="S59" s="127">
        <f>+Actuals!P269</f>
        <v>0</v>
      </c>
      <c r="T59" s="126">
        <f>+Actuals!Q269</f>
        <v>0</v>
      </c>
      <c r="U59" s="127">
        <f>+Actuals!R269</f>
        <v>114750</v>
      </c>
      <c r="V59" s="126">
        <f>+Actuals!S269</f>
        <v>0</v>
      </c>
      <c r="W59" s="127">
        <f>+Actuals!T269</f>
        <v>0</v>
      </c>
      <c r="X59" s="126">
        <f>+Actuals!U269</f>
        <v>0</v>
      </c>
      <c r="Y59" s="127">
        <f>+Actuals!V269</f>
        <v>0</v>
      </c>
      <c r="Z59" s="126">
        <f>+Actuals!W269</f>
        <v>0</v>
      </c>
      <c r="AA59" s="127">
        <f>+Actuals!X269</f>
        <v>0</v>
      </c>
      <c r="AB59" s="126">
        <f>+Actuals!Y189</f>
        <v>0</v>
      </c>
      <c r="AC59" s="127">
        <f>+Actuals!Z189</f>
        <v>0</v>
      </c>
      <c r="AD59" s="126">
        <f>+Actuals!AA189</f>
        <v>0</v>
      </c>
      <c r="AE59" s="127">
        <f>+Actuals!AB189</f>
        <v>0</v>
      </c>
      <c r="AF59" s="126">
        <f>+Actuals!AC189</f>
        <v>0</v>
      </c>
      <c r="AG59" s="127">
        <f>+Actuals!AD189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'TIE-OUT'!J60+RECLASS!H60</f>
        <v>0</v>
      </c>
      <c r="G60" s="82">
        <f>'TIE-OUT'!K60+RECLASS!I60</f>
        <v>0</v>
      </c>
      <c r="H60" s="126">
        <f>+Actuals!E190</f>
        <v>0</v>
      </c>
      <c r="I60" s="127">
        <f>+Actuals!F190</f>
        <v>0</v>
      </c>
      <c r="J60" s="126">
        <f>+Actuals!G190</f>
        <v>0</v>
      </c>
      <c r="K60" s="145">
        <f>+Actuals!H190</f>
        <v>0</v>
      </c>
      <c r="L60" s="126">
        <f>+Actuals!I190</f>
        <v>0</v>
      </c>
      <c r="M60" s="127">
        <f>+Actuals!J190</f>
        <v>0</v>
      </c>
      <c r="N60" s="126">
        <f>+Actuals!K190</f>
        <v>0</v>
      </c>
      <c r="O60" s="127">
        <f>+Actuals!L190</f>
        <v>0</v>
      </c>
      <c r="P60" s="126">
        <f>+Actuals!M270</f>
        <v>0</v>
      </c>
      <c r="Q60" s="127">
        <f>+Actuals!N270</f>
        <v>0</v>
      </c>
      <c r="R60" s="126">
        <f>+Actuals!O270</f>
        <v>0</v>
      </c>
      <c r="S60" s="127">
        <f>+Actuals!P270</f>
        <v>0</v>
      </c>
      <c r="T60" s="126">
        <f>+Actuals!Q270</f>
        <v>0</v>
      </c>
      <c r="U60" s="127">
        <f>+Actuals!R270</f>
        <v>0</v>
      </c>
      <c r="V60" s="126">
        <f>+Actuals!S270</f>
        <v>0</v>
      </c>
      <c r="W60" s="127">
        <f>+Actuals!T270</f>
        <v>0</v>
      </c>
      <c r="X60" s="126">
        <f>+Actuals!U270</f>
        <v>0</v>
      </c>
      <c r="Y60" s="127">
        <f>+Actuals!V270</f>
        <v>0</v>
      </c>
      <c r="Z60" s="126">
        <f>+Actuals!W270</f>
        <v>0</v>
      </c>
      <c r="AA60" s="127">
        <f>+Actuals!X270</f>
        <v>0</v>
      </c>
      <c r="AB60" s="126">
        <f>+Actuals!Y190</f>
        <v>0</v>
      </c>
      <c r="AC60" s="127">
        <f>+Actuals!Z190</f>
        <v>0</v>
      </c>
      <c r="AD60" s="126">
        <f>+Actuals!AA190</f>
        <v>0</v>
      </c>
      <c r="AE60" s="127">
        <f>+Actuals!AB190</f>
        <v>0</v>
      </c>
      <c r="AF60" s="126">
        <f>+Actuals!AC190</f>
        <v>0</v>
      </c>
      <c r="AG60" s="127">
        <f>+Actuals!AD190</f>
        <v>0</v>
      </c>
    </row>
    <row r="61" spans="1:33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36300.339999999997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-112345.60000000001</v>
      </c>
      <c r="J61" s="61">
        <f t="shared" si="18"/>
        <v>0</v>
      </c>
      <c r="K61" s="146">
        <f t="shared" si="18"/>
        <v>30216.400000000001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'TIE-OUT'!J64+RECLASS!H64</f>
        <v>0</v>
      </c>
      <c r="G64" s="68">
        <f>'TIE-OUT'!K64+RECLASS!I64</f>
        <v>0</v>
      </c>
      <c r="H64" s="126">
        <f>+Actuals!E191</f>
        <v>0</v>
      </c>
      <c r="I64" s="127">
        <f>+Actuals!F191</f>
        <v>0</v>
      </c>
      <c r="J64" s="126">
        <f>+Actuals!G191</f>
        <v>0</v>
      </c>
      <c r="K64" s="145">
        <f>+Actuals!H191</f>
        <v>0</v>
      </c>
      <c r="L64" s="126">
        <f>+Actuals!I191</f>
        <v>0</v>
      </c>
      <c r="M64" s="127">
        <f>+Actuals!J191</f>
        <v>0</v>
      </c>
      <c r="N64" s="126">
        <f>+Actuals!K191</f>
        <v>0</v>
      </c>
      <c r="O64" s="127">
        <f>+Actuals!L191</f>
        <v>0</v>
      </c>
      <c r="P64" s="126">
        <f>+Actuals!M271</f>
        <v>0</v>
      </c>
      <c r="Q64" s="127">
        <f>+Actuals!N271</f>
        <v>0</v>
      </c>
      <c r="R64" s="126">
        <f>+Actuals!O271</f>
        <v>0</v>
      </c>
      <c r="S64" s="127">
        <f>+Actuals!P271</f>
        <v>0</v>
      </c>
      <c r="T64" s="126">
        <f>+Actuals!Q271</f>
        <v>0</v>
      </c>
      <c r="U64" s="127">
        <f>+Actuals!R271</f>
        <v>0</v>
      </c>
      <c r="V64" s="126">
        <f>+Actuals!S271</f>
        <v>0</v>
      </c>
      <c r="W64" s="127">
        <f>+Actuals!T271</f>
        <v>0</v>
      </c>
      <c r="X64" s="126">
        <f>+Actuals!U271</f>
        <v>0</v>
      </c>
      <c r="Y64" s="127">
        <f>+Actuals!V271</f>
        <v>0</v>
      </c>
      <c r="Z64" s="126">
        <f>+Actuals!W271</f>
        <v>0</v>
      </c>
      <c r="AA64" s="127">
        <f>+Actuals!X271</f>
        <v>0</v>
      </c>
      <c r="AB64" s="126">
        <f>+Actuals!Y191</f>
        <v>0</v>
      </c>
      <c r="AC64" s="127">
        <f>+Actuals!Z191</f>
        <v>0</v>
      </c>
      <c r="AD64" s="126">
        <f>+Actuals!AA191</f>
        <v>0</v>
      </c>
      <c r="AE64" s="127">
        <f>+Actuals!AB191</f>
        <v>0</v>
      </c>
      <c r="AF64" s="126">
        <f>+Actuals!AC191</f>
        <v>0</v>
      </c>
      <c r="AG64" s="127">
        <f>+Actuals!AD191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'TIE-OUT'!J65+RECLASS!H65</f>
        <v>0</v>
      </c>
      <c r="G65" s="82">
        <f>'TIE-OUT'!K65+RECLASS!I65</f>
        <v>0</v>
      </c>
      <c r="H65" s="126">
        <f>+Actuals!E192</f>
        <v>0</v>
      </c>
      <c r="I65" s="127">
        <f>+Actuals!F192</f>
        <v>0</v>
      </c>
      <c r="J65" s="126">
        <f>+Actuals!G192</f>
        <v>0</v>
      </c>
      <c r="K65" s="145">
        <f>+Actuals!H192</f>
        <v>0</v>
      </c>
      <c r="L65" s="126">
        <f>+Actuals!I192</f>
        <v>0</v>
      </c>
      <c r="M65" s="127">
        <f>+Actuals!J192</f>
        <v>0</v>
      </c>
      <c r="N65" s="126">
        <f>+Actuals!K192</f>
        <v>0</v>
      </c>
      <c r="O65" s="127">
        <f>+Actuals!L192</f>
        <v>0</v>
      </c>
      <c r="P65" s="126">
        <f>+Actuals!M272</f>
        <v>0</v>
      </c>
      <c r="Q65" s="127">
        <f>+Actuals!N272</f>
        <v>0</v>
      </c>
      <c r="R65" s="126">
        <f>+Actuals!O272</f>
        <v>0</v>
      </c>
      <c r="S65" s="127">
        <f>+Actuals!P272</f>
        <v>0</v>
      </c>
      <c r="T65" s="126">
        <f>+Actuals!Q272</f>
        <v>0</v>
      </c>
      <c r="U65" s="127">
        <f>+Actuals!R272</f>
        <v>0</v>
      </c>
      <c r="V65" s="126">
        <f>+Actuals!S272</f>
        <v>0</v>
      </c>
      <c r="W65" s="127">
        <f>+Actuals!T272</f>
        <v>0</v>
      </c>
      <c r="X65" s="126">
        <f>+Actuals!U272</f>
        <v>0</v>
      </c>
      <c r="Y65" s="127">
        <f>+Actuals!V272</f>
        <v>0</v>
      </c>
      <c r="Z65" s="126">
        <f>+Actuals!W272</f>
        <v>0</v>
      </c>
      <c r="AA65" s="127">
        <f>+Actuals!X272</f>
        <v>0</v>
      </c>
      <c r="AB65" s="126">
        <f>+Actuals!Y192</f>
        <v>0</v>
      </c>
      <c r="AC65" s="127">
        <f>+Actuals!Z192</f>
        <v>0</v>
      </c>
      <c r="AD65" s="126">
        <f>+Actuals!AA192</f>
        <v>0</v>
      </c>
      <c r="AE65" s="127">
        <f>+Actuals!AB192</f>
        <v>0</v>
      </c>
      <c r="AF65" s="126">
        <f>+Actuals!AC192</f>
        <v>0</v>
      </c>
      <c r="AG65" s="127">
        <f>+Actuals!AD192</f>
        <v>0</v>
      </c>
    </row>
    <row r="66" spans="1:33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6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7144978.9500000002</v>
      </c>
      <c r="F70" s="64">
        <f>'TIE-OUT'!J70+RECLASS!H70</f>
        <v>0</v>
      </c>
      <c r="G70" s="68">
        <f>'TIE-OUT'!K70+RECLASS!I70</f>
        <v>7144978.9500000002</v>
      </c>
      <c r="H70" s="126">
        <f>+Actuals!E193</f>
        <v>0</v>
      </c>
      <c r="I70" s="127">
        <f>+Actuals!F193</f>
        <v>0</v>
      </c>
      <c r="J70" s="126">
        <f>+Actuals!G193</f>
        <v>0</v>
      </c>
      <c r="K70" s="153">
        <v>0</v>
      </c>
      <c r="L70" s="126">
        <f>+Actuals!I193</f>
        <v>0</v>
      </c>
      <c r="M70" s="127">
        <f>+Actuals!J193</f>
        <v>0</v>
      </c>
      <c r="N70" s="126">
        <f>+Actuals!K193</f>
        <v>0</v>
      </c>
      <c r="O70" s="127">
        <f>+Actuals!L193</f>
        <v>0</v>
      </c>
      <c r="P70" s="126">
        <f>+Actuals!M273</f>
        <v>0</v>
      </c>
      <c r="Q70" s="127">
        <f>+Actuals!N273</f>
        <v>0</v>
      </c>
      <c r="R70" s="126">
        <f>+Actuals!O273</f>
        <v>0</v>
      </c>
      <c r="S70" s="127">
        <f>+Actuals!P273</f>
        <v>0</v>
      </c>
      <c r="T70" s="126">
        <f>+Actuals!Q273</f>
        <v>0</v>
      </c>
      <c r="U70" s="127">
        <f>+Actuals!R273</f>
        <v>0</v>
      </c>
      <c r="V70" s="126">
        <f>+Actuals!S273</f>
        <v>0</v>
      </c>
      <c r="W70" s="127">
        <f>+Actuals!T273</f>
        <v>0</v>
      </c>
      <c r="X70" s="126">
        <f>+Actuals!U273</f>
        <v>0</v>
      </c>
      <c r="Y70" s="127">
        <f>+Actuals!V273</f>
        <v>0</v>
      </c>
      <c r="Z70" s="126">
        <f>+Actuals!W273</f>
        <v>0</v>
      </c>
      <c r="AA70" s="127">
        <f>+Actuals!X273</f>
        <v>0</v>
      </c>
      <c r="AB70" s="126">
        <f>+Actuals!Y193</f>
        <v>0</v>
      </c>
      <c r="AC70" s="127">
        <f>+Actuals!Z193</f>
        <v>0</v>
      </c>
      <c r="AD70" s="126">
        <f>+Actuals!AA193</f>
        <v>0</v>
      </c>
      <c r="AE70" s="127">
        <f>+Actuals!AB193</f>
        <v>0</v>
      </c>
      <c r="AF70" s="126">
        <f>+Actuals!AC193</f>
        <v>0</v>
      </c>
      <c r="AG70" s="127">
        <f>+Actuals!AD193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-2527106.12</v>
      </c>
      <c r="F71" s="81">
        <f>'TIE-OUT'!J71+RECLASS!H71</f>
        <v>0</v>
      </c>
      <c r="G71" s="82">
        <f>'TIE-OUT'!K71+RECLASS!I71</f>
        <v>-2527106.12</v>
      </c>
      <c r="H71" s="126">
        <f>+Actuals!E194</f>
        <v>0</v>
      </c>
      <c r="I71" s="127">
        <f>+Actuals!F194</f>
        <v>0</v>
      </c>
      <c r="J71" s="126">
        <f>+Actuals!G194</f>
        <v>0</v>
      </c>
      <c r="K71" s="145">
        <f>+Actuals!H194</f>
        <v>0</v>
      </c>
      <c r="L71" s="126">
        <f>+Actuals!I194</f>
        <v>0</v>
      </c>
      <c r="M71" s="127">
        <f>+Actuals!J194</f>
        <v>0</v>
      </c>
      <c r="N71" s="126">
        <f>+Actuals!K194</f>
        <v>0</v>
      </c>
      <c r="O71" s="127">
        <f>+Actuals!L194</f>
        <v>0</v>
      </c>
      <c r="P71" s="126">
        <f>+Actuals!M274</f>
        <v>0</v>
      </c>
      <c r="Q71" s="127">
        <f>+Actuals!N274</f>
        <v>0</v>
      </c>
      <c r="R71" s="126">
        <f>+Actuals!O274</f>
        <v>0</v>
      </c>
      <c r="S71" s="127">
        <f>+Actuals!P274</f>
        <v>0</v>
      </c>
      <c r="T71" s="126">
        <f>+Actuals!Q274</f>
        <v>0</v>
      </c>
      <c r="U71" s="127">
        <f>+Actuals!R274</f>
        <v>0</v>
      </c>
      <c r="V71" s="126">
        <f>+Actuals!S274</f>
        <v>0</v>
      </c>
      <c r="W71" s="127">
        <f>+Actuals!T274</f>
        <v>0</v>
      </c>
      <c r="X71" s="126">
        <f>+Actuals!U274</f>
        <v>0</v>
      </c>
      <c r="Y71" s="127">
        <f>+Actuals!V274</f>
        <v>0</v>
      </c>
      <c r="Z71" s="126">
        <f>+Actuals!W274</f>
        <v>0</v>
      </c>
      <c r="AA71" s="127">
        <f>+Actuals!X274</f>
        <v>0</v>
      </c>
      <c r="AB71" s="126">
        <f>+Actuals!Y194</f>
        <v>0</v>
      </c>
      <c r="AC71" s="127">
        <f>+Actuals!Z194</f>
        <v>0</v>
      </c>
      <c r="AD71" s="126">
        <f>+Actuals!AA194</f>
        <v>0</v>
      </c>
      <c r="AE71" s="127">
        <f>+Actuals!AB194</f>
        <v>0</v>
      </c>
      <c r="AF71" s="126">
        <f>+Actuals!AC194</f>
        <v>0</v>
      </c>
      <c r="AG71" s="127">
        <f>+Actuals!AD194</f>
        <v>0</v>
      </c>
    </row>
    <row r="72" spans="1:33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4617872.83</v>
      </c>
      <c r="F72" s="61">
        <f t="shared" si="22"/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'TIE-OUT'!J73+RECLASS!H73</f>
        <v>0</v>
      </c>
      <c r="G73" s="60">
        <f>'TIE-OUT'!K73+RECLASS!I73</f>
        <v>0</v>
      </c>
      <c r="H73" s="126">
        <f>+Actuals!E195</f>
        <v>0</v>
      </c>
      <c r="I73" s="127">
        <f>+Actuals!F195</f>
        <v>0</v>
      </c>
      <c r="J73" s="126">
        <f>+Actuals!G195</f>
        <v>0</v>
      </c>
      <c r="K73" s="145">
        <f>+Actuals!H195</f>
        <v>0</v>
      </c>
      <c r="L73" s="126">
        <f>+Actuals!I195</f>
        <v>0</v>
      </c>
      <c r="M73" s="127">
        <f>+Actuals!J195</f>
        <v>0</v>
      </c>
      <c r="N73" s="126">
        <f>+Actuals!K195</f>
        <v>0</v>
      </c>
      <c r="O73" s="127">
        <f>+Actuals!L195</f>
        <v>0</v>
      </c>
      <c r="P73" s="126">
        <f>+Actuals!M275</f>
        <v>0</v>
      </c>
      <c r="Q73" s="127">
        <f>+Actuals!N275</f>
        <v>0</v>
      </c>
      <c r="R73" s="126">
        <f>+Actuals!O275</f>
        <v>0</v>
      </c>
      <c r="S73" s="127">
        <f>+Actuals!P275</f>
        <v>0</v>
      </c>
      <c r="T73" s="126">
        <f>+Actuals!Q275</f>
        <v>0</v>
      </c>
      <c r="U73" s="127">
        <f>+Actuals!R275</f>
        <v>0</v>
      </c>
      <c r="V73" s="126">
        <f>+Actuals!S275</f>
        <v>0</v>
      </c>
      <c r="W73" s="127">
        <f>+Actuals!T275</f>
        <v>0</v>
      </c>
      <c r="X73" s="126">
        <f>+Actuals!U275</f>
        <v>0</v>
      </c>
      <c r="Y73" s="127">
        <f>+Actuals!V275</f>
        <v>0</v>
      </c>
      <c r="Z73" s="126">
        <f>+Actuals!W275</f>
        <v>0</v>
      </c>
      <c r="AA73" s="127">
        <f>+Actuals!X275</f>
        <v>0</v>
      </c>
      <c r="AB73" s="126">
        <f>+Actuals!Y195</f>
        <v>0</v>
      </c>
      <c r="AC73" s="127">
        <f>+Actuals!Z195</f>
        <v>0</v>
      </c>
      <c r="AD73" s="126">
        <f>+Actuals!AA195</f>
        <v>0</v>
      </c>
      <c r="AE73" s="127">
        <f>+Actuals!AB195</f>
        <v>0</v>
      </c>
      <c r="AF73" s="126">
        <f>+Actuals!AC195</f>
        <v>0</v>
      </c>
      <c r="AG73" s="127">
        <f>+Actuals!AD195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-2820142</v>
      </c>
      <c r="F74" s="60">
        <f>'TIE-OUT'!J74+RECLASS!H74</f>
        <v>0</v>
      </c>
      <c r="G74" s="60">
        <f>'TIE-OUT'!K74+RECLASS!I74</f>
        <v>-2820142</v>
      </c>
      <c r="H74" s="126">
        <f>+Actuals!E196</f>
        <v>0</v>
      </c>
      <c r="I74" s="127">
        <f>+Actuals!F196</f>
        <v>0</v>
      </c>
      <c r="J74" s="126">
        <f>+Actuals!G196</f>
        <v>0</v>
      </c>
      <c r="K74" s="153">
        <v>0</v>
      </c>
      <c r="L74" s="126">
        <f>+Actuals!I196</f>
        <v>0</v>
      </c>
      <c r="M74" s="127">
        <f>+Actuals!J196</f>
        <v>0</v>
      </c>
      <c r="N74" s="126">
        <f>+Actuals!K196</f>
        <v>0</v>
      </c>
      <c r="O74" s="127">
        <f>+Actuals!L196</f>
        <v>0</v>
      </c>
      <c r="P74" s="126">
        <f>+Actuals!M276</f>
        <v>0</v>
      </c>
      <c r="Q74" s="127">
        <f>+Actuals!N276</f>
        <v>0</v>
      </c>
      <c r="R74" s="126">
        <f>+Actuals!O276</f>
        <v>0</v>
      </c>
      <c r="S74" s="127">
        <f>+Actuals!P276</f>
        <v>0</v>
      </c>
      <c r="T74" s="126">
        <f>+Actuals!Q276</f>
        <v>0</v>
      </c>
      <c r="U74" s="127">
        <f>+Actuals!R276</f>
        <v>0</v>
      </c>
      <c r="V74" s="126">
        <f>+Actuals!S276</f>
        <v>0</v>
      </c>
      <c r="W74" s="127">
        <f>+Actuals!T276</f>
        <v>0</v>
      </c>
      <c r="X74" s="126">
        <f>+Actuals!U276</f>
        <v>0</v>
      </c>
      <c r="Y74" s="127">
        <f>+Actuals!V276</f>
        <v>0</v>
      </c>
      <c r="Z74" s="126">
        <f>+Actuals!W276</f>
        <v>0</v>
      </c>
      <c r="AA74" s="127">
        <f>+Actuals!X276</f>
        <v>0</v>
      </c>
      <c r="AB74" s="126">
        <f>+Actuals!Y196</f>
        <v>0</v>
      </c>
      <c r="AC74" s="127">
        <f>+Actuals!Z196</f>
        <v>0</v>
      </c>
      <c r="AD74" s="126">
        <f>+Actuals!AA196</f>
        <v>0</v>
      </c>
      <c r="AE74" s="127">
        <f>+Actuals!AB196</f>
        <v>0</v>
      </c>
      <c r="AF74" s="126">
        <f>+Actuals!AC196</f>
        <v>0</v>
      </c>
      <c r="AG74" s="127">
        <f>+Actuals!AD196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52300</v>
      </c>
      <c r="F75" s="60">
        <f>'TIE-OUT'!J75+RECLASS!H75</f>
        <v>0</v>
      </c>
      <c r="G75" s="60">
        <f>'TIE-OUT'!K75+RECLASS!I75</f>
        <v>52300</v>
      </c>
      <c r="H75" s="126">
        <f>+Actuals!E197</f>
        <v>0</v>
      </c>
      <c r="I75" s="127">
        <f>+Actuals!F197</f>
        <v>0</v>
      </c>
      <c r="J75" s="126">
        <f>+Actuals!G197</f>
        <v>0</v>
      </c>
      <c r="K75" s="145">
        <f>+Actuals!H197</f>
        <v>0</v>
      </c>
      <c r="L75" s="126">
        <f>+Actuals!I197</f>
        <v>0</v>
      </c>
      <c r="M75" s="127">
        <f>+Actuals!J197</f>
        <v>0</v>
      </c>
      <c r="N75" s="126">
        <f>+Actuals!K197</f>
        <v>0</v>
      </c>
      <c r="O75" s="127">
        <f>+Actuals!L197</f>
        <v>0</v>
      </c>
      <c r="P75" s="126">
        <f>+Actuals!M277</f>
        <v>0</v>
      </c>
      <c r="Q75" s="127">
        <f>+Actuals!N277</f>
        <v>0</v>
      </c>
      <c r="R75" s="126">
        <f>+Actuals!O277</f>
        <v>0</v>
      </c>
      <c r="S75" s="127">
        <f>+Actuals!P277</f>
        <v>0</v>
      </c>
      <c r="T75" s="126">
        <f>+Actuals!Q277</f>
        <v>0</v>
      </c>
      <c r="U75" s="127">
        <f>+Actuals!R277</f>
        <v>0</v>
      </c>
      <c r="V75" s="126">
        <f>+Actuals!S277</f>
        <v>0</v>
      </c>
      <c r="W75" s="127">
        <f>+Actuals!T277</f>
        <v>0</v>
      </c>
      <c r="X75" s="126">
        <f>+Actuals!U277</f>
        <v>0</v>
      </c>
      <c r="Y75" s="127">
        <f>+Actuals!V277</f>
        <v>0</v>
      </c>
      <c r="Z75" s="126">
        <f>+Actuals!W277</f>
        <v>0</v>
      </c>
      <c r="AA75" s="127">
        <f>+Actuals!X277</f>
        <v>0</v>
      </c>
      <c r="AB75" s="126">
        <f>+Actuals!Y197</f>
        <v>0</v>
      </c>
      <c r="AC75" s="127">
        <f>+Actuals!Z197</f>
        <v>0</v>
      </c>
      <c r="AD75" s="126">
        <f>+Actuals!AA197</f>
        <v>0</v>
      </c>
      <c r="AE75" s="127">
        <f>+Actuals!AB197</f>
        <v>0</v>
      </c>
      <c r="AF75" s="126">
        <f>+Actuals!AC197</f>
        <v>0</v>
      </c>
      <c r="AG75" s="127">
        <f>+Actuals!AD197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-8374.8999999999978</v>
      </c>
      <c r="F76" s="60">
        <f>'TIE-OUT'!J76+RECLASS!H76</f>
        <v>0</v>
      </c>
      <c r="G76" s="60">
        <f>'TIE-OUT'!K76+RECLASS!I76</f>
        <v>0</v>
      </c>
      <c r="H76" s="126">
        <f>+Actuals!E198</f>
        <v>0</v>
      </c>
      <c r="I76" s="127">
        <f>+Actuals!F198</f>
        <v>-15273.04</v>
      </c>
      <c r="J76" s="126">
        <f>+Actuals!G198</f>
        <v>0</v>
      </c>
      <c r="K76" s="145">
        <f>+Actuals!H198</f>
        <v>-15064.6</v>
      </c>
      <c r="L76" s="126">
        <f>+Actuals!I198</f>
        <v>0</v>
      </c>
      <c r="M76" s="127">
        <f>+Actuals!J198</f>
        <v>18318.310000000001</v>
      </c>
      <c r="N76" s="126">
        <f>+Actuals!K198</f>
        <v>0</v>
      </c>
      <c r="O76" s="127">
        <f>+Actuals!L198</f>
        <v>2085.9</v>
      </c>
      <c r="P76" s="126">
        <f>+Actuals!M278</f>
        <v>0</v>
      </c>
      <c r="Q76" s="127">
        <f>+Actuals!N278</f>
        <v>262.52999999999997</v>
      </c>
      <c r="R76" s="126">
        <f>+Actuals!O278</f>
        <v>0</v>
      </c>
      <c r="S76" s="127">
        <f>+Actuals!P278</f>
        <v>7.99</v>
      </c>
      <c r="T76" s="126">
        <f>+Actuals!Q278</f>
        <v>0</v>
      </c>
      <c r="U76" s="127">
        <f>+Actuals!R278</f>
        <v>927.34</v>
      </c>
      <c r="V76" s="126">
        <f>+Actuals!S278</f>
        <v>0</v>
      </c>
      <c r="W76" s="127">
        <f>+Actuals!T278</f>
        <v>0</v>
      </c>
      <c r="X76" s="126">
        <f>+Actuals!U278</f>
        <v>0</v>
      </c>
      <c r="Y76" s="127">
        <f>+Actuals!V278</f>
        <v>360.67</v>
      </c>
      <c r="Z76" s="126">
        <f>+Actuals!W278</f>
        <v>0</v>
      </c>
      <c r="AA76" s="127">
        <f>+Actuals!X278</f>
        <v>0</v>
      </c>
      <c r="AB76" s="126">
        <f>+Actuals!Y198</f>
        <v>0</v>
      </c>
      <c r="AC76" s="127">
        <f>+Actuals!Z198</f>
        <v>0</v>
      </c>
      <c r="AD76" s="126">
        <f>+Actuals!AA198</f>
        <v>0</v>
      </c>
      <c r="AE76" s="127">
        <f>+Actuals!AB198</f>
        <v>0</v>
      </c>
      <c r="AF76" s="126">
        <f>+Actuals!AC198</f>
        <v>0</v>
      </c>
      <c r="AG76" s="127">
        <f>+Actuals!AD198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-3933809</v>
      </c>
      <c r="F77" s="60">
        <f>'TIE-OUT'!J77+RECLASS!H77</f>
        <v>0</v>
      </c>
      <c r="G77" s="60">
        <f>'TIE-OUT'!K77+RECLASS!I77</f>
        <v>-3933809</v>
      </c>
      <c r="H77" s="126">
        <f>+Actuals!E199</f>
        <v>0</v>
      </c>
      <c r="I77" s="127">
        <f>+Actuals!F199</f>
        <v>0</v>
      </c>
      <c r="J77" s="126">
        <f>+Actuals!G199</f>
        <v>0</v>
      </c>
      <c r="K77" s="145">
        <f>+Actuals!H199</f>
        <v>0</v>
      </c>
      <c r="L77" s="126">
        <f>+Actuals!I199</f>
        <v>0</v>
      </c>
      <c r="M77" s="127">
        <f>+Actuals!J199</f>
        <v>0</v>
      </c>
      <c r="N77" s="126">
        <f>+Actuals!K199</f>
        <v>0</v>
      </c>
      <c r="O77" s="127">
        <f>+Actuals!L199</f>
        <v>0</v>
      </c>
      <c r="P77" s="126">
        <f>+Actuals!M279</f>
        <v>0</v>
      </c>
      <c r="Q77" s="127">
        <f>+Actuals!N279</f>
        <v>0</v>
      </c>
      <c r="R77" s="126">
        <f>+Actuals!O279</f>
        <v>0</v>
      </c>
      <c r="S77" s="127">
        <f>+Actuals!P279</f>
        <v>0</v>
      </c>
      <c r="T77" s="126">
        <f>+Actuals!Q279</f>
        <v>0</v>
      </c>
      <c r="U77" s="127">
        <f>+Actuals!R279</f>
        <v>0</v>
      </c>
      <c r="V77" s="126">
        <f>+Actuals!S279</f>
        <v>0</v>
      </c>
      <c r="W77" s="127">
        <f>+Actuals!T279</f>
        <v>0</v>
      </c>
      <c r="X77" s="126">
        <f>+Actuals!U279</f>
        <v>0</v>
      </c>
      <c r="Y77" s="127">
        <f>+Actuals!V279</f>
        <v>0</v>
      </c>
      <c r="Z77" s="126">
        <f>+Actuals!W279</f>
        <v>0</v>
      </c>
      <c r="AA77" s="127">
        <f>+Actuals!X279</f>
        <v>0</v>
      </c>
      <c r="AB77" s="126">
        <f>+Actuals!Y199</f>
        <v>0</v>
      </c>
      <c r="AC77" s="127">
        <f>+Actuals!Z199</f>
        <v>0</v>
      </c>
      <c r="AD77" s="126">
        <f>+Actuals!AA199</f>
        <v>0</v>
      </c>
      <c r="AE77" s="127">
        <f>+Actuals!AB199</f>
        <v>0</v>
      </c>
      <c r="AF77" s="126">
        <f>+Actuals!AC199</f>
        <v>0</v>
      </c>
      <c r="AG77" s="127">
        <f>+Actuals!AD199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'TIE-OUT'!J78+RECLASS!H78</f>
        <v>0</v>
      </c>
      <c r="G78" s="60">
        <f>'TIE-OUT'!K78+RECLASS!I78</f>
        <v>0</v>
      </c>
      <c r="H78" s="126">
        <f>+Actuals!E200</f>
        <v>0</v>
      </c>
      <c r="I78" s="127">
        <f>+Actuals!F200</f>
        <v>0</v>
      </c>
      <c r="J78" s="126">
        <f>+Actuals!G200</f>
        <v>0</v>
      </c>
      <c r="K78" s="145">
        <f>+Actuals!H200</f>
        <v>0</v>
      </c>
      <c r="L78" s="126">
        <f>+Actuals!I200</f>
        <v>0</v>
      </c>
      <c r="M78" s="127">
        <f>+Actuals!J200</f>
        <v>0</v>
      </c>
      <c r="N78" s="126">
        <f>+Actuals!K200</f>
        <v>0</v>
      </c>
      <c r="O78" s="127">
        <f>+Actuals!L200</f>
        <v>0</v>
      </c>
      <c r="P78" s="126">
        <f>+Actuals!M280</f>
        <v>0</v>
      </c>
      <c r="Q78" s="127">
        <f>+Actuals!N280</f>
        <v>0</v>
      </c>
      <c r="R78" s="126">
        <f>+Actuals!O280</f>
        <v>0</v>
      </c>
      <c r="S78" s="127">
        <f>+Actuals!P280</f>
        <v>0</v>
      </c>
      <c r="T78" s="126">
        <f>+Actuals!Q280</f>
        <v>0</v>
      </c>
      <c r="U78" s="127">
        <f>+Actuals!R280</f>
        <v>0</v>
      </c>
      <c r="V78" s="126">
        <f>+Actuals!S280</f>
        <v>0</v>
      </c>
      <c r="W78" s="127">
        <f>+Actuals!T280</f>
        <v>0</v>
      </c>
      <c r="X78" s="126">
        <f>+Actuals!U280</f>
        <v>0</v>
      </c>
      <c r="Y78" s="127">
        <f>+Actuals!V280</f>
        <v>0</v>
      </c>
      <c r="Z78" s="126">
        <f>+Actuals!W280</f>
        <v>0</v>
      </c>
      <c r="AA78" s="127">
        <f>+Actuals!X280</f>
        <v>0</v>
      </c>
      <c r="AB78" s="126">
        <f>+Actuals!Y200</f>
        <v>0</v>
      </c>
      <c r="AC78" s="127">
        <f>+Actuals!Z200</f>
        <v>0</v>
      </c>
      <c r="AD78" s="126">
        <f>+Actuals!AA200</f>
        <v>0</v>
      </c>
      <c r="AE78" s="127">
        <f>+Actuals!AB200</f>
        <v>0</v>
      </c>
      <c r="AF78" s="126">
        <f>+Actuals!AC200</f>
        <v>0</v>
      </c>
      <c r="AG78" s="127">
        <f>+Actuals!AD200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'TIE-OUT'!J79+RECLASS!H79</f>
        <v>0</v>
      </c>
      <c r="G79" s="60">
        <f>'TIE-OUT'!K79+RECLASS!I79</f>
        <v>0</v>
      </c>
      <c r="H79" s="126">
        <f>+Actuals!E201</f>
        <v>0</v>
      </c>
      <c r="I79" s="127">
        <f>+Actuals!F201</f>
        <v>0</v>
      </c>
      <c r="J79" s="126">
        <f>+Actuals!G201</f>
        <v>0</v>
      </c>
      <c r="K79" s="145">
        <f>+Actuals!H201</f>
        <v>0</v>
      </c>
      <c r="L79" s="126">
        <f>+Actuals!I201</f>
        <v>0</v>
      </c>
      <c r="M79" s="127">
        <f>+Actuals!J201</f>
        <v>0</v>
      </c>
      <c r="N79" s="126">
        <f>+Actuals!K201</f>
        <v>0</v>
      </c>
      <c r="O79" s="127">
        <f>+Actuals!L201</f>
        <v>0</v>
      </c>
      <c r="P79" s="126">
        <f>+Actuals!M281</f>
        <v>0</v>
      </c>
      <c r="Q79" s="127">
        <f>+Actuals!N281</f>
        <v>0</v>
      </c>
      <c r="R79" s="126">
        <f>+Actuals!O281</f>
        <v>0</v>
      </c>
      <c r="S79" s="127">
        <f>+Actuals!P281</f>
        <v>0</v>
      </c>
      <c r="T79" s="126">
        <f>+Actuals!Q281</f>
        <v>0</v>
      </c>
      <c r="U79" s="127">
        <f>+Actuals!R281</f>
        <v>0</v>
      </c>
      <c r="V79" s="126">
        <f>+Actuals!S281</f>
        <v>0</v>
      </c>
      <c r="W79" s="127">
        <f>+Actuals!T281</f>
        <v>0</v>
      </c>
      <c r="X79" s="126">
        <f>+Actuals!U281</f>
        <v>0</v>
      </c>
      <c r="Y79" s="127">
        <f>+Actuals!V281</f>
        <v>0</v>
      </c>
      <c r="Z79" s="126">
        <f>+Actuals!W281</f>
        <v>0</v>
      </c>
      <c r="AA79" s="127">
        <f>+Actuals!X281</f>
        <v>0</v>
      </c>
      <c r="AB79" s="126">
        <f>+Actuals!Y201</f>
        <v>0</v>
      </c>
      <c r="AC79" s="127">
        <f>+Actuals!Z201</f>
        <v>0</v>
      </c>
      <c r="AD79" s="126">
        <f>+Actuals!AA201</f>
        <v>0</v>
      </c>
      <c r="AE79" s="127">
        <f>+Actuals!AB201</f>
        <v>0</v>
      </c>
      <c r="AF79" s="126">
        <f>+Actuals!AC201</f>
        <v>0</v>
      </c>
      <c r="AG79" s="127">
        <f>+Actuals!AD201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'TIE-OUT'!J80+RECLASS!H80</f>
        <v>0</v>
      </c>
      <c r="G80" s="60">
        <f>'TIE-OUT'!K80+RECLASS!I80</f>
        <v>0</v>
      </c>
      <c r="H80" s="126">
        <f>+Actuals!E202</f>
        <v>0</v>
      </c>
      <c r="I80" s="127">
        <f>+Actuals!F202</f>
        <v>0</v>
      </c>
      <c r="J80" s="126">
        <f>+Actuals!G202</f>
        <v>0</v>
      </c>
      <c r="K80" s="145">
        <f>+Actuals!H202</f>
        <v>0</v>
      </c>
      <c r="L80" s="126">
        <f>+Actuals!I202</f>
        <v>0</v>
      </c>
      <c r="M80" s="127">
        <f>+Actuals!J202</f>
        <v>0</v>
      </c>
      <c r="N80" s="126">
        <f>+Actuals!K202</f>
        <v>0</v>
      </c>
      <c r="O80" s="127">
        <f>+Actuals!L202</f>
        <v>0</v>
      </c>
      <c r="P80" s="126">
        <f>+Actuals!M282</f>
        <v>0</v>
      </c>
      <c r="Q80" s="127">
        <f>+Actuals!N282</f>
        <v>0</v>
      </c>
      <c r="R80" s="126">
        <f>+Actuals!O282</f>
        <v>0</v>
      </c>
      <c r="S80" s="127">
        <f>+Actuals!P282</f>
        <v>0</v>
      </c>
      <c r="T80" s="126">
        <f>+Actuals!Q282</f>
        <v>0</v>
      </c>
      <c r="U80" s="127">
        <f>+Actuals!R282</f>
        <v>0</v>
      </c>
      <c r="V80" s="126">
        <f>+Actuals!S282</f>
        <v>0</v>
      </c>
      <c r="W80" s="127">
        <f>+Actuals!T282</f>
        <v>0</v>
      </c>
      <c r="X80" s="126">
        <f>+Actuals!U282</f>
        <v>0</v>
      </c>
      <c r="Y80" s="127">
        <f>+Actuals!V282</f>
        <v>0</v>
      </c>
      <c r="Z80" s="126">
        <f>+Actuals!W282</f>
        <v>0</v>
      </c>
      <c r="AA80" s="127">
        <f>+Actuals!X282</f>
        <v>0</v>
      </c>
      <c r="AB80" s="126">
        <f>+Actuals!Y202</f>
        <v>0</v>
      </c>
      <c r="AC80" s="127">
        <f>+Actuals!Z202</f>
        <v>0</v>
      </c>
      <c r="AD80" s="126">
        <f>+Actuals!AA202</f>
        <v>0</v>
      </c>
      <c r="AE80" s="127">
        <f>+Actuals!AB202</f>
        <v>0</v>
      </c>
      <c r="AF80" s="126">
        <f>+Actuals!AC202</f>
        <v>0</v>
      </c>
      <c r="AG80" s="127">
        <f>+Actuals!AD202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4.000000001542503E-2</v>
      </c>
      <c r="F81" s="60">
        <f>'TIE-OUT'!J81+RECLASS!H81</f>
        <v>0</v>
      </c>
      <c r="G81" s="60">
        <f>'TIE-OUT'!K81+RECLASS!I81</f>
        <v>-511294</v>
      </c>
      <c r="H81" s="126">
        <f>+Actuals!E203</f>
        <v>0</v>
      </c>
      <c r="I81" s="127">
        <f>+Actuals!F203</f>
        <v>486951.64</v>
      </c>
      <c r="J81" s="126">
        <f>+Actuals!G203</f>
        <v>0</v>
      </c>
      <c r="K81" s="145">
        <f>+Actuals!H203</f>
        <v>24342.400000000001</v>
      </c>
      <c r="L81" s="126">
        <f>+Actuals!I203</f>
        <v>0</v>
      </c>
      <c r="M81" s="127">
        <f>+Actuals!J203</f>
        <v>0</v>
      </c>
      <c r="N81" s="126">
        <f>+Actuals!K203</f>
        <v>0</v>
      </c>
      <c r="O81" s="127">
        <f>+Actuals!L203</f>
        <v>0</v>
      </c>
      <c r="P81" s="126">
        <f>+Actuals!M283</f>
        <v>0</v>
      </c>
      <c r="Q81" s="127">
        <f>+Actuals!N283</f>
        <v>0</v>
      </c>
      <c r="R81" s="126">
        <f>+Actuals!O283</f>
        <v>0</v>
      </c>
      <c r="S81" s="127">
        <f>+Actuals!P283</f>
        <v>0</v>
      </c>
      <c r="T81" s="126">
        <f>+Actuals!Q283</f>
        <v>0</v>
      </c>
      <c r="U81" s="127">
        <f>+Actuals!R283</f>
        <v>0</v>
      </c>
      <c r="V81" s="126">
        <f>+Actuals!S283</f>
        <v>0</v>
      </c>
      <c r="W81" s="127">
        <f>+Actuals!T283</f>
        <v>0</v>
      </c>
      <c r="X81" s="126">
        <f>+Actuals!U283</f>
        <v>0</v>
      </c>
      <c r="Y81" s="127">
        <f>+Actuals!V283</f>
        <v>0</v>
      </c>
      <c r="Z81" s="126">
        <f>+Actuals!W283</f>
        <v>0</v>
      </c>
      <c r="AA81" s="127">
        <f>+Actuals!X283</f>
        <v>0</v>
      </c>
      <c r="AB81" s="126">
        <f>+Actuals!Y203</f>
        <v>0</v>
      </c>
      <c r="AC81" s="127">
        <f>+Actuals!Z203</f>
        <v>0</v>
      </c>
      <c r="AD81" s="126">
        <f>+Actuals!AA203</f>
        <v>0</v>
      </c>
      <c r="AE81" s="127">
        <f>+Actuals!AB203</f>
        <v>0</v>
      </c>
      <c r="AF81" s="126">
        <f>+Actuals!AC203</f>
        <v>0</v>
      </c>
      <c r="AG81" s="127">
        <f>+Actuals!AD203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-4958226.8869999731</v>
      </c>
      <c r="F82" s="91">
        <f>F16+F24+F29+F36+F43+F45+F47+F49</f>
        <v>0</v>
      </c>
      <c r="G82" s="92">
        <f>SUM(G72:G81)+G16+G24+G29+G36+G43+G45+G47+G49+G51+G56+G61+G66</f>
        <v>-5979836.3200000003</v>
      </c>
      <c r="H82" s="91">
        <f>H16+H24+H29+H36+H43+H45+H47+H49</f>
        <v>0</v>
      </c>
      <c r="I82" s="92">
        <f>SUM(I72:I81)+I16+I24+I29+I36+I43+I45+I47+I49+I51+I56+I61+I66</f>
        <v>4121772.4980000467</v>
      </c>
      <c r="J82" s="91">
        <f>J16+J24+J29+J36+J43+J45+J47+J49</f>
        <v>0</v>
      </c>
      <c r="K82" s="154">
        <f>SUM(K72:K81)+K16+K24+K29+K36+K43+K45+K47+K49+K51+K56+K61+K66</f>
        <v>-4577984.1640000008</v>
      </c>
      <c r="L82" s="91">
        <f>L16+L24+L29+L36+L43+L45+L47+L49</f>
        <v>0</v>
      </c>
      <c r="M82" s="92">
        <f>SUM(M72:M81)+M16+M24+M29+M36+M43+M45+M47+M49+M51+M56+M61+M66</f>
        <v>725707.99099999783</v>
      </c>
      <c r="N82" s="91">
        <f>N16+N24+N29+N36+N43+N45+N47+N49</f>
        <v>0</v>
      </c>
      <c r="O82" s="92">
        <f>SUM(O72:O81)+O16+O24+O29+O36+O43+O45+O47+O49+O51+O56+O61+O66</f>
        <v>289016.1740000089</v>
      </c>
      <c r="P82" s="91">
        <f>P16+P24+P29+P36+P43+P45+P47+P49</f>
        <v>0</v>
      </c>
      <c r="Q82" s="92">
        <f>SUM(Q72:Q81)+Q16+Q24+Q29+Q36+Q43+Q45+Q47+Q49+Q51+Q56+Q61+Q66</f>
        <v>-969805.49400000833</v>
      </c>
      <c r="R82" s="91">
        <f>R16+R24+R29+R36+R43+R45+R47+R49</f>
        <v>0</v>
      </c>
      <c r="S82" s="92">
        <f>SUM(S72:S81)+S16+S24+S29+S36+S43+S45+S47+S49+S51+S56+S61+S66</f>
        <v>1060477.9339999999</v>
      </c>
      <c r="T82" s="91">
        <f>T16+T24+T29+T36+T43+T45+T47+T49</f>
        <v>0</v>
      </c>
      <c r="U82" s="92">
        <f>SUM(U72:U81)+U16+U24+U29+U36+U43+U45+U47+U49+U51+U56+U61+U66</f>
        <v>313299.29200000106</v>
      </c>
      <c r="V82" s="91">
        <f>V16+V24+V29+V36+V43+V45+V47+V49</f>
        <v>0</v>
      </c>
      <c r="W82" s="92">
        <f>SUM(W72:W81)+W16+W24+W29+W36+W43+W45+W47+W49+W51+W56+W61+W66</f>
        <v>16342.166000000001</v>
      </c>
      <c r="X82" s="91">
        <f>X16+X24+X29+X36+X43+X45+X47+X49</f>
        <v>0</v>
      </c>
      <c r="Y82" s="92">
        <f>SUM(Y72:Y81)+Y16+Y24+Y29+Y36+Y43+Y45+Y47+Y49+Y51+Y56+Y61+Y66</f>
        <v>166042.60400000005</v>
      </c>
      <c r="Z82" s="91">
        <f>Z16+Z24+Z29+Z36+Z43+Z45+Z47+Z49</f>
        <v>0</v>
      </c>
      <c r="AA82" s="92">
        <f>SUM(AA72:AA81)+AA16+AA24+AA29+AA36+AA43+AA45+AA47+AA49+AA51+AA56+AA61+AA66</f>
        <v>-109663.27799999915</v>
      </c>
      <c r="AB82" s="91">
        <f>AB16+AB24+AB29+AB36+AB43+AB45+AB47+AB49</f>
        <v>0</v>
      </c>
      <c r="AC82" s="92">
        <f>SUM(AC72:AC81)+AC16+AC24+AC29+AC36+AC43+AC45+AC47+AC49+AC51+AC56+AC61+AC66</f>
        <v>82.079999999998179</v>
      </c>
      <c r="AD82" s="91">
        <f>AD16+AD24+AD29+AD36+AD43+AD45+AD47+AD49</f>
        <v>0</v>
      </c>
      <c r="AE82" s="92">
        <f>SUM(AE72:AE81)+AE16+AE24+AE29+AE36+AE43+AE45+AE47+AE49+AE51+AE56+AE61+AE66</f>
        <v>-15301.420000000024</v>
      </c>
      <c r="AF82" s="91">
        <f>AF16+AF24+AF29+AF36+AF43+AF45+AF47+AF49</f>
        <v>0</v>
      </c>
      <c r="AG82" s="92">
        <f>SUM(AG72:AG81)+AG16+AG24+AG29+AG36+AG43+AG45+AG47+AG49+AG51+AG56+AG61+AG66</f>
        <v>1623.0499999999993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 t="s">
        <v>165</v>
      </c>
      <c r="B85" s="3"/>
      <c r="F85" s="31"/>
      <c r="G85" s="31"/>
      <c r="H85" s="31"/>
      <c r="I85" s="31"/>
      <c r="K85"/>
      <c r="L85" s="45"/>
    </row>
    <row r="86" spans="1:33" s="3" customFormat="1" x14ac:dyDescent="0.25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-1361327.16</v>
      </c>
      <c r="F86" s="167">
        <f>'TIE-OUT'!J86+RECLASS!H86</f>
        <v>0</v>
      </c>
      <c r="G86" s="167">
        <f>'TIE-OUT'!K86+RECLASS!I86</f>
        <v>-1361327.16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  <c r="N86" s="167">
        <v>0</v>
      </c>
      <c r="O86" s="167">
        <v>0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7">
        <v>0</v>
      </c>
      <c r="W86" s="167">
        <v>0</v>
      </c>
      <c r="X86" s="167">
        <v>0</v>
      </c>
      <c r="Y86" s="167">
        <v>0</v>
      </c>
      <c r="Z86" s="167">
        <v>0</v>
      </c>
      <c r="AA86" s="167">
        <v>0</v>
      </c>
      <c r="AB86" s="167">
        <v>0</v>
      </c>
      <c r="AC86" s="167">
        <v>0</v>
      </c>
      <c r="AD86" s="167">
        <v>0</v>
      </c>
      <c r="AE86" s="167">
        <v>0</v>
      </c>
      <c r="AF86" s="167">
        <v>0</v>
      </c>
      <c r="AG86" s="167">
        <v>0</v>
      </c>
    </row>
    <row r="87" spans="1:33" s="3" customFormat="1" x14ac:dyDescent="0.25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'TIE-OUT'!J87+RECLASS!H87</f>
        <v>0</v>
      </c>
      <c r="G87" s="168">
        <f>'TIE-OUT'!K87+RECLASS!I87</f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v>0</v>
      </c>
      <c r="V87" s="168">
        <v>0</v>
      </c>
      <c r="W87" s="168">
        <v>0</v>
      </c>
      <c r="X87" s="168">
        <v>0</v>
      </c>
      <c r="Y87" s="168">
        <v>0</v>
      </c>
      <c r="Z87" s="168">
        <v>0</v>
      </c>
      <c r="AA87" s="168">
        <v>0</v>
      </c>
      <c r="AB87" s="168">
        <v>0</v>
      </c>
      <c r="AC87" s="168">
        <v>0</v>
      </c>
      <c r="AD87" s="168">
        <v>0</v>
      </c>
      <c r="AE87" s="168">
        <v>0</v>
      </c>
      <c r="AF87" s="168">
        <v>0</v>
      </c>
      <c r="AG87" s="168">
        <v>0</v>
      </c>
    </row>
    <row r="88" spans="1:33" s="3" customFormat="1" x14ac:dyDescent="0.25">
      <c r="A88" s="166"/>
      <c r="C88" s="10" t="s">
        <v>72</v>
      </c>
      <c r="D88" s="169">
        <f t="shared" si="26"/>
        <v>0</v>
      </c>
      <c r="E88" s="169">
        <f t="shared" si="26"/>
        <v>1750100</v>
      </c>
      <c r="F88" s="169">
        <f>'TIE-OUT'!J88+RECLASS!H88</f>
        <v>0</v>
      </c>
      <c r="G88" s="169">
        <f>'TIE-OUT'!K88+RECLASS!I88</f>
        <v>1750100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</row>
    <row r="89" spans="1:33" s="141" customFormat="1" ht="20.25" customHeight="1" x14ac:dyDescent="0.25">
      <c r="A89" s="180"/>
      <c r="B89" s="181"/>
      <c r="C89" s="179" t="s">
        <v>170</v>
      </c>
      <c r="D89" s="182">
        <f>SUM(D86:D88)</f>
        <v>0</v>
      </c>
      <c r="E89" s="182">
        <f t="shared" ref="E89:M89" si="27">SUM(E86:E88)</f>
        <v>388772.84000000008</v>
      </c>
      <c r="F89" s="182">
        <f t="shared" si="27"/>
        <v>0</v>
      </c>
      <c r="G89" s="182">
        <f t="shared" si="27"/>
        <v>388772.84000000008</v>
      </c>
      <c r="H89" s="182">
        <f t="shared" si="27"/>
        <v>0</v>
      </c>
      <c r="I89" s="182">
        <f t="shared" si="27"/>
        <v>0</v>
      </c>
      <c r="J89" s="182">
        <f t="shared" si="27"/>
        <v>0</v>
      </c>
      <c r="K89" s="182">
        <f t="shared" si="27"/>
        <v>0</v>
      </c>
      <c r="L89" s="182">
        <f t="shared" si="27"/>
        <v>0</v>
      </c>
      <c r="M89" s="182">
        <f t="shared" si="27"/>
        <v>0</v>
      </c>
      <c r="N89" s="182">
        <f t="shared" ref="N89:AE89" si="28">SUM(N86:N88)</f>
        <v>0</v>
      </c>
      <c r="O89" s="182">
        <f t="shared" si="28"/>
        <v>0</v>
      </c>
      <c r="P89" s="182">
        <f t="shared" si="28"/>
        <v>0</v>
      </c>
      <c r="Q89" s="182">
        <f t="shared" si="28"/>
        <v>0</v>
      </c>
      <c r="R89" s="182">
        <f t="shared" si="28"/>
        <v>0</v>
      </c>
      <c r="S89" s="182">
        <f t="shared" si="28"/>
        <v>0</v>
      </c>
      <c r="T89" s="182">
        <f t="shared" si="28"/>
        <v>0</v>
      </c>
      <c r="U89" s="182">
        <f t="shared" si="28"/>
        <v>0</v>
      </c>
      <c r="V89" s="182">
        <f t="shared" si="28"/>
        <v>0</v>
      </c>
      <c r="W89" s="182">
        <f t="shared" si="28"/>
        <v>0</v>
      </c>
      <c r="X89" s="182">
        <f t="shared" si="28"/>
        <v>0</v>
      </c>
      <c r="Y89" s="182">
        <f t="shared" si="28"/>
        <v>0</v>
      </c>
      <c r="Z89" s="182">
        <f>SUM(Z86:Z88)</f>
        <v>0</v>
      </c>
      <c r="AA89" s="182">
        <f>SUM(AA86:AA88)</f>
        <v>0</v>
      </c>
      <c r="AB89" s="182">
        <f t="shared" si="28"/>
        <v>0</v>
      </c>
      <c r="AC89" s="182">
        <f t="shared" si="28"/>
        <v>0</v>
      </c>
      <c r="AD89" s="182">
        <f t="shared" si="28"/>
        <v>0</v>
      </c>
      <c r="AE89" s="182">
        <f t="shared" si="28"/>
        <v>0</v>
      </c>
      <c r="AF89" s="182">
        <f>SUM(AF86:AF88)</f>
        <v>0</v>
      </c>
      <c r="AG89" s="182">
        <f>SUM(AG86:AG88)</f>
        <v>0</v>
      </c>
    </row>
    <row r="90" spans="1:33" x14ac:dyDescent="0.25">
      <c r="A90" s="4"/>
      <c r="B90" s="3"/>
      <c r="F90" s="31"/>
      <c r="G90" s="31"/>
      <c r="H90" s="31"/>
      <c r="I90" s="31"/>
      <c r="K90"/>
    </row>
    <row r="91" spans="1:33" s="141" customFormat="1" ht="20.25" customHeight="1" x14ac:dyDescent="0.25">
      <c r="A91" s="180"/>
      <c r="B91" s="181"/>
      <c r="C91" s="179" t="s">
        <v>173</v>
      </c>
      <c r="D91" s="182">
        <f>+D82+D89</f>
        <v>0</v>
      </c>
      <c r="E91" s="182">
        <f t="shared" ref="E91:M91" si="29">+E82+E89</f>
        <v>-4569454.0469999732</v>
      </c>
      <c r="F91" s="182">
        <f t="shared" si="29"/>
        <v>0</v>
      </c>
      <c r="G91" s="182">
        <f t="shared" si="29"/>
        <v>-5591063.4800000004</v>
      </c>
      <c r="H91" s="182">
        <f t="shared" si="29"/>
        <v>0</v>
      </c>
      <c r="I91" s="182">
        <f t="shared" si="29"/>
        <v>4121772.4980000467</v>
      </c>
      <c r="J91" s="182">
        <f t="shared" si="29"/>
        <v>0</v>
      </c>
      <c r="K91" s="182">
        <f t="shared" si="29"/>
        <v>-4577984.1640000008</v>
      </c>
      <c r="L91" s="182">
        <f t="shared" si="29"/>
        <v>0</v>
      </c>
      <c r="M91" s="182">
        <f t="shared" si="29"/>
        <v>725707.99099999783</v>
      </c>
      <c r="N91" s="182">
        <f t="shared" ref="N91:AE91" si="30">+N82+N89</f>
        <v>0</v>
      </c>
      <c r="O91" s="182">
        <f t="shared" si="30"/>
        <v>289016.1740000089</v>
      </c>
      <c r="P91" s="182">
        <f t="shared" si="30"/>
        <v>0</v>
      </c>
      <c r="Q91" s="182">
        <f t="shared" si="30"/>
        <v>-969805.49400000833</v>
      </c>
      <c r="R91" s="182">
        <f t="shared" si="30"/>
        <v>0</v>
      </c>
      <c r="S91" s="182">
        <f t="shared" si="30"/>
        <v>1060477.9339999999</v>
      </c>
      <c r="T91" s="182">
        <f t="shared" si="30"/>
        <v>0</v>
      </c>
      <c r="U91" s="182">
        <f t="shared" si="30"/>
        <v>313299.29200000106</v>
      </c>
      <c r="V91" s="182">
        <f t="shared" si="30"/>
        <v>0</v>
      </c>
      <c r="W91" s="182">
        <f t="shared" si="30"/>
        <v>16342.166000000001</v>
      </c>
      <c r="X91" s="182">
        <f t="shared" si="30"/>
        <v>0</v>
      </c>
      <c r="Y91" s="182">
        <f t="shared" si="30"/>
        <v>166042.60400000005</v>
      </c>
      <c r="Z91" s="182">
        <f>+Z82+Z89</f>
        <v>0</v>
      </c>
      <c r="AA91" s="182">
        <f>+AA82+AA89</f>
        <v>-109663.27799999915</v>
      </c>
      <c r="AB91" s="182">
        <f t="shared" si="30"/>
        <v>0</v>
      </c>
      <c r="AC91" s="182">
        <f t="shared" si="30"/>
        <v>82.079999999998179</v>
      </c>
      <c r="AD91" s="182">
        <f t="shared" si="30"/>
        <v>0</v>
      </c>
      <c r="AE91" s="182">
        <f t="shared" si="30"/>
        <v>-15301.420000000024</v>
      </c>
      <c r="AF91" s="182">
        <f>+AF82+AF89</f>
        <v>0</v>
      </c>
      <c r="AG91" s="182">
        <f>+AG82+AG89</f>
        <v>1623.0499999999993</v>
      </c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G175"/>
  <sheetViews>
    <sheetView zoomScale="75" workbookViewId="0">
      <pane xSplit="3" ySplit="9" topLeftCell="Y56" activePane="bottomRight" state="frozen"/>
      <selection activeCell="AF9" sqref="AF9"/>
      <selection pane="topRight" activeCell="AF9" sqref="AF9"/>
      <selection pane="bottomLeft" activeCell="AF9" sqref="AF9"/>
      <selection pane="bottomRight" activeCell="AF89" sqref="AF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1" customWidth="1"/>
    <col min="12" max="33" width="15.44140625" customWidth="1"/>
    <col min="72" max="94" width="0" hidden="1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7172368</v>
      </c>
      <c r="E11" s="38">
        <f t="shared" si="0"/>
        <v>20262634.700000003</v>
      </c>
      <c r="F11" s="58">
        <f>'TIE-OUT'!L11+RECLASS!J11</f>
        <v>0</v>
      </c>
      <c r="G11" s="15">
        <f>'TIE-OUT'!M11+RECLASS!K11</f>
        <v>0</v>
      </c>
      <c r="H11" s="126">
        <f>+Actuals!E44</f>
        <v>7046833</v>
      </c>
      <c r="I11" s="127">
        <f>+Actuals!F44</f>
        <v>19883932.260000002</v>
      </c>
      <c r="J11" s="126">
        <f>+Actuals!G44</f>
        <v>108821</v>
      </c>
      <c r="K11" s="145">
        <f>+Actuals!H44</f>
        <v>337137.36</v>
      </c>
      <c r="L11" s="126">
        <f>+Actuals!I44</f>
        <v>0</v>
      </c>
      <c r="M11" s="127">
        <f>+Actuals!J44</f>
        <v>0</v>
      </c>
      <c r="N11" s="126">
        <f>+Actuals!K44</f>
        <v>0</v>
      </c>
      <c r="O11" s="127">
        <f>+Actuals!L44</f>
        <v>-1960.4</v>
      </c>
      <c r="P11" s="126">
        <f>+Actuals!M44</f>
        <v>0</v>
      </c>
      <c r="Q11" s="127">
        <f>+Actuals!N44</f>
        <v>0</v>
      </c>
      <c r="R11" s="126">
        <f>+Actuals!O44</f>
        <v>6000</v>
      </c>
      <c r="S11" s="127">
        <f>+Actuals!P44</f>
        <v>15454.8</v>
      </c>
      <c r="T11" s="126">
        <f>+Actuals!Q44</f>
        <v>10714</v>
      </c>
      <c r="U11" s="127">
        <f>+Actuals!R44</f>
        <v>28070.68</v>
      </c>
      <c r="V11" s="126">
        <f>+Actuals!S44</f>
        <v>0</v>
      </c>
      <c r="W11" s="127">
        <f>+Actuals!T44</f>
        <v>0</v>
      </c>
      <c r="X11" s="126">
        <f>+Actuals!U44</f>
        <v>0</v>
      </c>
      <c r="Y11" s="127">
        <f>+Actuals!V44</f>
        <v>0</v>
      </c>
      <c r="Z11" s="126">
        <f>+Actuals!W44</f>
        <v>0</v>
      </c>
      <c r="AA11" s="127">
        <f>+Actuals!X44</f>
        <v>0</v>
      </c>
      <c r="AB11" s="126">
        <f>+Actuals!Y44</f>
        <v>0</v>
      </c>
      <c r="AC11" s="127">
        <f>+Actuals!Z44</f>
        <v>0</v>
      </c>
      <c r="AD11" s="126">
        <f>+Actuals!AA44</f>
        <v>0</v>
      </c>
      <c r="AE11" s="127">
        <f>+Actuals!AB44</f>
        <v>0</v>
      </c>
      <c r="AF11" s="126">
        <f>+Actuals!AC44</f>
        <v>0</v>
      </c>
      <c r="AG11" s="127">
        <f>+Actuals!AD44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316339.43</v>
      </c>
      <c r="F12" s="58">
        <f>'TIE-OUT'!L12+RECLASS!J12</f>
        <v>0</v>
      </c>
      <c r="G12" s="15">
        <f>'TIE-OUT'!M12+RECLASS!K12</f>
        <v>316339.43</v>
      </c>
      <c r="H12" s="126">
        <f>+Actuals!E45</f>
        <v>0</v>
      </c>
      <c r="I12" s="127">
        <f>+Actuals!F45</f>
        <v>0</v>
      </c>
      <c r="J12" s="126">
        <f>+Actuals!G45</f>
        <v>0</v>
      </c>
      <c r="K12" s="156">
        <f>+Actuals!H45</f>
        <v>0</v>
      </c>
      <c r="L12" s="126">
        <f>+Actuals!I45</f>
        <v>0</v>
      </c>
      <c r="M12" s="127">
        <f>+Actuals!J45</f>
        <v>0</v>
      </c>
      <c r="N12" s="126">
        <f>+Actuals!K45</f>
        <v>0</v>
      </c>
      <c r="O12" s="127">
        <f>+Actuals!L45</f>
        <v>0</v>
      </c>
      <c r="P12" s="126">
        <f>+Actuals!M45</f>
        <v>0</v>
      </c>
      <c r="Q12" s="127">
        <f>+Actuals!N45</f>
        <v>0</v>
      </c>
      <c r="R12" s="126">
        <f>+Actuals!O45</f>
        <v>0</v>
      </c>
      <c r="S12" s="127">
        <f>+Actuals!P45</f>
        <v>0</v>
      </c>
      <c r="T12" s="126">
        <f>+Actuals!Q45</f>
        <v>0</v>
      </c>
      <c r="U12" s="127">
        <f>+Actuals!R45</f>
        <v>0</v>
      </c>
      <c r="V12" s="126">
        <f>+Actuals!S45</f>
        <v>0</v>
      </c>
      <c r="W12" s="127">
        <f>+Actuals!T45</f>
        <v>0</v>
      </c>
      <c r="X12" s="126">
        <f>+Actuals!U45</f>
        <v>0</v>
      </c>
      <c r="Y12" s="127">
        <f>+Actuals!V45</f>
        <v>0</v>
      </c>
      <c r="Z12" s="126">
        <f>+Actuals!W45</f>
        <v>0</v>
      </c>
      <c r="AA12" s="127">
        <f>+Actuals!X45</f>
        <v>0</v>
      </c>
      <c r="AB12" s="126">
        <f>+Actuals!Y45</f>
        <v>0</v>
      </c>
      <c r="AC12" s="127">
        <f>+Actuals!Z45</f>
        <v>0</v>
      </c>
      <c r="AD12" s="126">
        <f>+Actuals!AA45</f>
        <v>0</v>
      </c>
      <c r="AE12" s="127">
        <f>+Actuals!AB45</f>
        <v>0</v>
      </c>
      <c r="AF12" s="126">
        <f>+Actuals!AC45</f>
        <v>0</v>
      </c>
      <c r="AG12" s="127">
        <f>+Actuals!AD45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6">
        <f>+Actuals!E46</f>
        <v>0</v>
      </c>
      <c r="I13" s="127">
        <f>+Actuals!F46</f>
        <v>0</v>
      </c>
      <c r="J13" s="126">
        <f>+Actuals!G46</f>
        <v>0</v>
      </c>
      <c r="K13" s="145">
        <f>+Actuals!H46</f>
        <v>0</v>
      </c>
      <c r="L13" s="126">
        <f>+Actuals!I46</f>
        <v>0</v>
      </c>
      <c r="M13" s="127">
        <f>+Actuals!J46</f>
        <v>0</v>
      </c>
      <c r="N13" s="126">
        <f>+Actuals!K46</f>
        <v>0</v>
      </c>
      <c r="O13" s="127">
        <f>+Actuals!L46</f>
        <v>0</v>
      </c>
      <c r="P13" s="126">
        <f>+Actuals!M46</f>
        <v>0</v>
      </c>
      <c r="Q13" s="127">
        <f>+Actuals!N46</f>
        <v>0</v>
      </c>
      <c r="R13" s="126">
        <f>+Actuals!O46</f>
        <v>0</v>
      </c>
      <c r="S13" s="127">
        <f>+Actuals!P46</f>
        <v>0</v>
      </c>
      <c r="T13" s="126">
        <f>+Actuals!Q46</f>
        <v>0</v>
      </c>
      <c r="U13" s="127">
        <f>+Actuals!R46</f>
        <v>0</v>
      </c>
      <c r="V13" s="126">
        <f>+Actuals!S46</f>
        <v>0</v>
      </c>
      <c r="W13" s="127">
        <f>+Actuals!T46</f>
        <v>0</v>
      </c>
      <c r="X13" s="126">
        <f>+Actuals!U46</f>
        <v>0</v>
      </c>
      <c r="Y13" s="127">
        <f>+Actuals!V46</f>
        <v>0</v>
      </c>
      <c r="Z13" s="126">
        <f>+Actuals!W46</f>
        <v>0</v>
      </c>
      <c r="AA13" s="127">
        <f>+Actuals!X46</f>
        <v>0</v>
      </c>
      <c r="AB13" s="126">
        <f>+Actuals!Y46</f>
        <v>0</v>
      </c>
      <c r="AC13" s="127">
        <f>+Actuals!Z46</f>
        <v>0</v>
      </c>
      <c r="AD13" s="126">
        <f>+Actuals!AA46</f>
        <v>0</v>
      </c>
      <c r="AE13" s="127">
        <f>+Actuals!AB46</f>
        <v>0</v>
      </c>
      <c r="AF13" s="126">
        <f>+Actuals!AC46</f>
        <v>0</v>
      </c>
      <c r="AG13" s="127">
        <f>+Actuals!AD46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6">
        <f>+Actuals!E47</f>
        <v>0</v>
      </c>
      <c r="I14" s="127">
        <f>+Actuals!F47</f>
        <v>0</v>
      </c>
      <c r="J14" s="126">
        <f>+Actuals!G47</f>
        <v>0</v>
      </c>
      <c r="K14" s="145">
        <f>+Actuals!H47</f>
        <v>0</v>
      </c>
      <c r="L14" s="126">
        <f>+Actuals!I47</f>
        <v>0</v>
      </c>
      <c r="M14" s="127">
        <f>+Actuals!J47</f>
        <v>0</v>
      </c>
      <c r="N14" s="126">
        <f>+Actuals!K47</f>
        <v>0</v>
      </c>
      <c r="O14" s="127">
        <f>+Actuals!L47</f>
        <v>0</v>
      </c>
      <c r="P14" s="126">
        <f>+Actuals!M47</f>
        <v>0</v>
      </c>
      <c r="Q14" s="127">
        <f>+Actuals!N47</f>
        <v>0</v>
      </c>
      <c r="R14" s="126">
        <f>+Actuals!O47</f>
        <v>0</v>
      </c>
      <c r="S14" s="127">
        <f>+Actuals!P47</f>
        <v>0</v>
      </c>
      <c r="T14" s="126">
        <f>+Actuals!Q47</f>
        <v>0</v>
      </c>
      <c r="U14" s="127">
        <f>+Actuals!R47</f>
        <v>0</v>
      </c>
      <c r="V14" s="126">
        <f>+Actuals!S47</f>
        <v>0</v>
      </c>
      <c r="W14" s="127">
        <f>+Actuals!T47</f>
        <v>0</v>
      </c>
      <c r="X14" s="126">
        <f>+Actuals!U47</f>
        <v>0</v>
      </c>
      <c r="Y14" s="127">
        <f>+Actuals!V47</f>
        <v>0</v>
      </c>
      <c r="Z14" s="126">
        <f>+Actuals!W47</f>
        <v>0</v>
      </c>
      <c r="AA14" s="127">
        <f>+Actuals!X47</f>
        <v>0</v>
      </c>
      <c r="AB14" s="126">
        <f>+Actuals!Y47</f>
        <v>0</v>
      </c>
      <c r="AC14" s="127">
        <f>+Actuals!Z47</f>
        <v>0</v>
      </c>
      <c r="AD14" s="126">
        <f>+Actuals!AA47</f>
        <v>0</v>
      </c>
      <c r="AE14" s="127">
        <f>+Actuals!AB47</f>
        <v>0</v>
      </c>
      <c r="AF14" s="126">
        <f>+Actuals!AC47</f>
        <v>0</v>
      </c>
      <c r="AG14" s="127">
        <f>+Actuals!AD47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6">
        <f>+Actuals!E48</f>
        <v>0</v>
      </c>
      <c r="I15" s="127">
        <f>+Actuals!F48</f>
        <v>0</v>
      </c>
      <c r="J15" s="126">
        <f>+Actuals!G48</f>
        <v>0</v>
      </c>
      <c r="K15" s="145">
        <f>+Actuals!H48</f>
        <v>0</v>
      </c>
      <c r="L15" s="126">
        <f>+Actuals!I48</f>
        <v>0</v>
      </c>
      <c r="M15" s="127">
        <f>+Actuals!J48</f>
        <v>0</v>
      </c>
      <c r="N15" s="126">
        <f>+Actuals!K48</f>
        <v>0</v>
      </c>
      <c r="O15" s="127">
        <f>+Actuals!L48</f>
        <v>0</v>
      </c>
      <c r="P15" s="126">
        <f>+Actuals!M48</f>
        <v>0</v>
      </c>
      <c r="Q15" s="127">
        <f>+Actuals!N48</f>
        <v>0</v>
      </c>
      <c r="R15" s="126">
        <f>+Actuals!O48</f>
        <v>0</v>
      </c>
      <c r="S15" s="127">
        <f>+Actuals!P48</f>
        <v>0</v>
      </c>
      <c r="T15" s="126">
        <f>+Actuals!Q48</f>
        <v>0</v>
      </c>
      <c r="U15" s="127">
        <f>+Actuals!R48</f>
        <v>0</v>
      </c>
      <c r="V15" s="126">
        <f>+Actuals!S48</f>
        <v>0</v>
      </c>
      <c r="W15" s="127">
        <f>+Actuals!T48</f>
        <v>0</v>
      </c>
      <c r="X15" s="126">
        <f>+Actuals!U48</f>
        <v>0</v>
      </c>
      <c r="Y15" s="127">
        <f>+Actuals!V48</f>
        <v>0</v>
      </c>
      <c r="Z15" s="126">
        <f>+Actuals!W48</f>
        <v>0</v>
      </c>
      <c r="AA15" s="127">
        <f>+Actuals!X48</f>
        <v>0</v>
      </c>
      <c r="AB15" s="126">
        <f>+Actuals!Y48</f>
        <v>0</v>
      </c>
      <c r="AC15" s="127">
        <f>+Actuals!Z48</f>
        <v>0</v>
      </c>
      <c r="AD15" s="126">
        <f>+Actuals!AA48</f>
        <v>0</v>
      </c>
      <c r="AE15" s="127">
        <f>+Actuals!AB48</f>
        <v>0</v>
      </c>
      <c r="AF15" s="126">
        <f>+Actuals!AC48</f>
        <v>0</v>
      </c>
      <c r="AG15" s="127">
        <f>+Actuals!AD48</f>
        <v>0</v>
      </c>
    </row>
    <row r="16" spans="1:33" x14ac:dyDescent="0.25">
      <c r="A16" s="9"/>
      <c r="B16" s="7" t="s">
        <v>30</v>
      </c>
      <c r="C16" s="6"/>
      <c r="D16" s="61">
        <f>SUM(D11:D15)</f>
        <v>7172368</v>
      </c>
      <c r="E16" s="39">
        <f>SUM(E11:E15)</f>
        <v>20578974.130000003</v>
      </c>
      <c r="F16" s="59">
        <f t="shared" ref="F16:AE16" si="1">SUM(F11:F15)</f>
        <v>0</v>
      </c>
      <c r="G16" s="23">
        <f t="shared" si="1"/>
        <v>316339.43</v>
      </c>
      <c r="H16" s="61">
        <f t="shared" si="1"/>
        <v>7046833</v>
      </c>
      <c r="I16" s="39">
        <f t="shared" si="1"/>
        <v>19883932.260000002</v>
      </c>
      <c r="J16" s="61">
        <f t="shared" si="1"/>
        <v>108821</v>
      </c>
      <c r="K16" s="146">
        <f t="shared" si="1"/>
        <v>337137.36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-1960.4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6000</v>
      </c>
      <c r="S16" s="39">
        <f t="shared" si="2"/>
        <v>15454.8</v>
      </c>
      <c r="T16" s="61">
        <f t="shared" si="2"/>
        <v>10714</v>
      </c>
      <c r="U16" s="39">
        <f t="shared" si="2"/>
        <v>28070.68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-777501</v>
      </c>
      <c r="E19" s="38">
        <f t="shared" si="3"/>
        <v>-2208101.5100000002</v>
      </c>
      <c r="F19" s="84">
        <f>'TIE-OUT'!L19+RECLASS!J19</f>
        <v>0</v>
      </c>
      <c r="G19" s="85">
        <f>'TIE-OUT'!M19+RECLASS!K19</f>
        <v>0</v>
      </c>
      <c r="H19" s="126">
        <f>+Actuals!E49</f>
        <v>-810936</v>
      </c>
      <c r="I19" s="127">
        <f>+Actuals!F49</f>
        <v>-2301509.39</v>
      </c>
      <c r="J19" s="126">
        <f>+Actuals!G49+8192</f>
        <v>78618</v>
      </c>
      <c r="K19" s="145">
        <f>+Actuals!H49+21369</f>
        <v>223404.04</v>
      </c>
      <c r="L19" s="126">
        <f>+Actuals!I49</f>
        <v>-45183</v>
      </c>
      <c r="M19" s="127">
        <f>+Actuals!J49</f>
        <v>-132147.14000000001</v>
      </c>
      <c r="N19" s="126">
        <f>+Actuals!K49</f>
        <v>0</v>
      </c>
      <c r="O19" s="127">
        <f>+Actuals!L49</f>
        <v>2591.98</v>
      </c>
      <c r="P19" s="126">
        <f>+Actuals!M49</f>
        <v>0</v>
      </c>
      <c r="Q19" s="127">
        <f>+Actuals!N49</f>
        <v>-441.21</v>
      </c>
      <c r="R19" s="126">
        <f>+Actuals!O49</f>
        <v>0</v>
      </c>
      <c r="S19" s="127">
        <f>+Actuals!P49</f>
        <v>0</v>
      </c>
      <c r="T19" s="126">
        <f>+Actuals!Q49</f>
        <v>0</v>
      </c>
      <c r="U19" s="127">
        <f>+Actuals!R49</f>
        <v>0.21</v>
      </c>
      <c r="V19" s="126">
        <f>+Actuals!S49</f>
        <v>0</v>
      </c>
      <c r="W19" s="127">
        <f>+Actuals!T49</f>
        <v>0</v>
      </c>
      <c r="X19" s="126">
        <f>+Actuals!U49</f>
        <v>0</v>
      </c>
      <c r="Y19" s="127">
        <f>+Actuals!V49</f>
        <v>0</v>
      </c>
      <c r="Z19" s="126">
        <f>+Actuals!W49</f>
        <v>0</v>
      </c>
      <c r="AA19" s="127">
        <f>+Actuals!X49</f>
        <v>0</v>
      </c>
      <c r="AB19" s="126">
        <f>+Actuals!Y49</f>
        <v>0</v>
      </c>
      <c r="AC19" s="127">
        <f>+Actuals!Z49</f>
        <v>0</v>
      </c>
      <c r="AD19" s="126">
        <f>+Actuals!AA49</f>
        <v>0</v>
      </c>
      <c r="AE19" s="127">
        <f>+Actuals!AB49</f>
        <v>0</v>
      </c>
      <c r="AF19" s="126">
        <f>+Actuals!AC49</f>
        <v>0</v>
      </c>
      <c r="AG19" s="127">
        <f>+Actuals!AD49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6">
        <f>+Actuals!E50</f>
        <v>0</v>
      </c>
      <c r="I20" s="127">
        <f>+Actuals!F50</f>
        <v>0</v>
      </c>
      <c r="J20" s="126">
        <f>+Actuals!G50</f>
        <v>0</v>
      </c>
      <c r="K20" s="145">
        <f>+Actuals!H50</f>
        <v>0</v>
      </c>
      <c r="L20" s="126">
        <f>+Actuals!I50</f>
        <v>0</v>
      </c>
      <c r="M20" s="127">
        <f>+Actuals!J50</f>
        <v>0</v>
      </c>
      <c r="N20" s="126">
        <f>+Actuals!K50</f>
        <v>0</v>
      </c>
      <c r="O20" s="127">
        <f>+Actuals!L50</f>
        <v>0</v>
      </c>
      <c r="P20" s="126">
        <f>+Actuals!M50</f>
        <v>0</v>
      </c>
      <c r="Q20" s="127">
        <f>+Actuals!N50</f>
        <v>0</v>
      </c>
      <c r="R20" s="126">
        <f>+Actuals!O50</f>
        <v>0</v>
      </c>
      <c r="S20" s="127">
        <f>+Actuals!P50</f>
        <v>0</v>
      </c>
      <c r="T20" s="126">
        <f>+Actuals!Q50</f>
        <v>0</v>
      </c>
      <c r="U20" s="127">
        <f>+Actuals!R50</f>
        <v>0</v>
      </c>
      <c r="V20" s="126">
        <f>+Actuals!S50</f>
        <v>0</v>
      </c>
      <c r="W20" s="127">
        <f>+Actuals!T50</f>
        <v>0</v>
      </c>
      <c r="X20" s="126">
        <f>+Actuals!U50</f>
        <v>0</v>
      </c>
      <c r="Y20" s="127">
        <f>+Actuals!V50</f>
        <v>0</v>
      </c>
      <c r="Z20" s="126">
        <f>+Actuals!W50</f>
        <v>0</v>
      </c>
      <c r="AA20" s="127">
        <f>+Actuals!X50</f>
        <v>0</v>
      </c>
      <c r="AB20" s="126">
        <f>+Actuals!Y50</f>
        <v>0</v>
      </c>
      <c r="AC20" s="127">
        <f>+Actuals!Z50</f>
        <v>0</v>
      </c>
      <c r="AD20" s="126">
        <f>+Actuals!AA50</f>
        <v>0</v>
      </c>
      <c r="AE20" s="127">
        <f>+Actuals!AB50</f>
        <v>0</v>
      </c>
      <c r="AF20" s="126">
        <f>+Actuals!AC50</f>
        <v>0</v>
      </c>
      <c r="AG20" s="127">
        <f>+Actuals!AD50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6">
        <f>+Actuals!E51</f>
        <v>0</v>
      </c>
      <c r="I21" s="127">
        <f>+Actuals!F51</f>
        <v>0</v>
      </c>
      <c r="J21" s="126">
        <f>+Actuals!G51</f>
        <v>0</v>
      </c>
      <c r="K21" s="145">
        <f>+Actuals!H51</f>
        <v>0</v>
      </c>
      <c r="L21" s="126">
        <f>+Actuals!I51</f>
        <v>0</v>
      </c>
      <c r="M21" s="127">
        <f>+Actuals!J51</f>
        <v>0</v>
      </c>
      <c r="N21" s="126">
        <f>+Actuals!K51</f>
        <v>0</v>
      </c>
      <c r="O21" s="127">
        <f>+Actuals!L51</f>
        <v>0</v>
      </c>
      <c r="P21" s="126">
        <f>+Actuals!M51</f>
        <v>0</v>
      </c>
      <c r="Q21" s="127">
        <f>+Actuals!N51</f>
        <v>0</v>
      </c>
      <c r="R21" s="126">
        <f>+Actuals!O51</f>
        <v>0</v>
      </c>
      <c r="S21" s="127">
        <f>+Actuals!P51</f>
        <v>0</v>
      </c>
      <c r="T21" s="126">
        <f>+Actuals!Q51</f>
        <v>0</v>
      </c>
      <c r="U21" s="127">
        <f>+Actuals!R51</f>
        <v>0</v>
      </c>
      <c r="V21" s="126">
        <f>+Actuals!S51</f>
        <v>0</v>
      </c>
      <c r="W21" s="127">
        <f>+Actuals!T51</f>
        <v>0</v>
      </c>
      <c r="X21" s="126">
        <f>+Actuals!U51</f>
        <v>0</v>
      </c>
      <c r="Y21" s="127">
        <f>+Actuals!V51</f>
        <v>0</v>
      </c>
      <c r="Z21" s="126">
        <f>+Actuals!W51</f>
        <v>0</v>
      </c>
      <c r="AA21" s="127">
        <f>+Actuals!X51</f>
        <v>0</v>
      </c>
      <c r="AB21" s="126">
        <f>+Actuals!Y51</f>
        <v>0</v>
      </c>
      <c r="AC21" s="127">
        <f>+Actuals!Z51</f>
        <v>0</v>
      </c>
      <c r="AD21" s="126">
        <f>+Actuals!AA51</f>
        <v>0</v>
      </c>
      <c r="AE21" s="127">
        <f>+Actuals!AB51</f>
        <v>0</v>
      </c>
      <c r="AF21" s="126">
        <f>+Actuals!AC51</f>
        <v>0</v>
      </c>
      <c r="AG21" s="127">
        <f>+Actuals!AD51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6">
        <f>+Actuals!E52</f>
        <v>0</v>
      </c>
      <c r="I22" s="127">
        <f>+Actuals!F52</f>
        <v>0</v>
      </c>
      <c r="J22" s="126">
        <f>+Actuals!G52</f>
        <v>0</v>
      </c>
      <c r="K22" s="145">
        <f>+Actuals!H52</f>
        <v>0</v>
      </c>
      <c r="L22" s="126">
        <f>+Actuals!I52</f>
        <v>0</v>
      </c>
      <c r="M22" s="127">
        <f>+Actuals!J52</f>
        <v>0</v>
      </c>
      <c r="N22" s="126">
        <f>+Actuals!K52</f>
        <v>0</v>
      </c>
      <c r="O22" s="127">
        <f>+Actuals!L52</f>
        <v>0</v>
      </c>
      <c r="P22" s="126">
        <f>+Actuals!M52</f>
        <v>0</v>
      </c>
      <c r="Q22" s="127">
        <f>+Actuals!N52</f>
        <v>0</v>
      </c>
      <c r="R22" s="126">
        <f>+Actuals!O52</f>
        <v>0</v>
      </c>
      <c r="S22" s="127">
        <f>+Actuals!P52</f>
        <v>0</v>
      </c>
      <c r="T22" s="126">
        <f>+Actuals!Q52</f>
        <v>0</v>
      </c>
      <c r="U22" s="127">
        <f>+Actuals!R52</f>
        <v>0</v>
      </c>
      <c r="V22" s="126">
        <f>+Actuals!S52</f>
        <v>0</v>
      </c>
      <c r="W22" s="127">
        <f>+Actuals!T52</f>
        <v>0</v>
      </c>
      <c r="X22" s="126">
        <f>+Actuals!U52</f>
        <v>0</v>
      </c>
      <c r="Y22" s="127">
        <f>+Actuals!V52</f>
        <v>0</v>
      </c>
      <c r="Z22" s="126">
        <f>+Actuals!W52</f>
        <v>0</v>
      </c>
      <c r="AA22" s="127">
        <f>+Actuals!X52</f>
        <v>0</v>
      </c>
      <c r="AB22" s="126">
        <f>+Actuals!Y52</f>
        <v>0</v>
      </c>
      <c r="AC22" s="127">
        <f>+Actuals!Z52</f>
        <v>0</v>
      </c>
      <c r="AD22" s="126">
        <f>+Actuals!AA52</f>
        <v>0</v>
      </c>
      <c r="AE22" s="127">
        <f>+Actuals!AB52</f>
        <v>0</v>
      </c>
      <c r="AF22" s="126">
        <f>+Actuals!AC52</f>
        <v>0</v>
      </c>
      <c r="AG22" s="127">
        <f>+Actuals!AD52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744</v>
      </c>
      <c r="E23" s="38">
        <f t="shared" si="3"/>
        <v>1941.87</v>
      </c>
      <c r="F23" s="97">
        <f>'TIE-OUT'!L23+RECLASS!J23</f>
        <v>0</v>
      </c>
      <c r="G23" s="98">
        <f>'TIE-OUT'!M23+RECLASS!K23</f>
        <v>0</v>
      </c>
      <c r="H23" s="126">
        <f>+Actuals!E53</f>
        <v>0</v>
      </c>
      <c r="I23" s="127">
        <f>+Actuals!F53</f>
        <v>0</v>
      </c>
      <c r="J23" s="126">
        <f>+Actuals!G53</f>
        <v>744</v>
      </c>
      <c r="K23" s="145">
        <f>+Actuals!H53</f>
        <v>1941.87</v>
      </c>
      <c r="L23" s="126">
        <f>+Actuals!I53</f>
        <v>0</v>
      </c>
      <c r="M23" s="127">
        <f>+Actuals!J53</f>
        <v>0</v>
      </c>
      <c r="N23" s="126">
        <f>+Actuals!K53</f>
        <v>0</v>
      </c>
      <c r="O23" s="127">
        <f>+Actuals!L53</f>
        <v>0</v>
      </c>
      <c r="P23" s="126">
        <f>+Actuals!M53</f>
        <v>0</v>
      </c>
      <c r="Q23" s="127">
        <f>+Actuals!N53</f>
        <v>0</v>
      </c>
      <c r="R23" s="126">
        <f>+Actuals!O53</f>
        <v>0</v>
      </c>
      <c r="S23" s="127">
        <f>+Actuals!P53</f>
        <v>0</v>
      </c>
      <c r="T23" s="126">
        <f>+Actuals!Q53</f>
        <v>0</v>
      </c>
      <c r="U23" s="127">
        <f>+Actuals!R53</f>
        <v>0</v>
      </c>
      <c r="V23" s="126">
        <f>+Actuals!S53</f>
        <v>0</v>
      </c>
      <c r="W23" s="127">
        <f>+Actuals!T53</f>
        <v>0</v>
      </c>
      <c r="X23" s="126">
        <f>+Actuals!U53</f>
        <v>0</v>
      </c>
      <c r="Y23" s="127">
        <f>+Actuals!V53</f>
        <v>0</v>
      </c>
      <c r="Z23" s="126">
        <f>+Actuals!W53</f>
        <v>0</v>
      </c>
      <c r="AA23" s="127">
        <f>+Actuals!X53</f>
        <v>0</v>
      </c>
      <c r="AB23" s="126">
        <f>+Actuals!Y53</f>
        <v>0</v>
      </c>
      <c r="AC23" s="127">
        <f>+Actuals!Z53</f>
        <v>0</v>
      </c>
      <c r="AD23" s="126">
        <f>+Actuals!AA53</f>
        <v>0</v>
      </c>
      <c r="AE23" s="127">
        <f>+Actuals!AB53</f>
        <v>0</v>
      </c>
      <c r="AF23" s="126">
        <f>+Actuals!AC53</f>
        <v>0</v>
      </c>
      <c r="AG23" s="127">
        <f>+Actuals!AD53</f>
        <v>0</v>
      </c>
    </row>
    <row r="24" spans="1:33" x14ac:dyDescent="0.25">
      <c r="A24" s="9"/>
      <c r="B24" s="7" t="s">
        <v>33</v>
      </c>
      <c r="C24" s="6"/>
      <c r="D24" s="61">
        <f>SUM(D19:D23)</f>
        <v>-776757</v>
      </c>
      <c r="E24" s="39">
        <f>SUM(E19:E23)</f>
        <v>-2206159.64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-810936</v>
      </c>
      <c r="I24" s="39">
        <f t="shared" si="4"/>
        <v>-2301509.39</v>
      </c>
      <c r="J24" s="61">
        <f t="shared" si="4"/>
        <v>79362</v>
      </c>
      <c r="K24" s="146">
        <f t="shared" si="4"/>
        <v>225345.91</v>
      </c>
      <c r="L24" s="61">
        <f t="shared" si="4"/>
        <v>-45183</v>
      </c>
      <c r="M24" s="39">
        <f t="shared" si="4"/>
        <v>-132147.14000000001</v>
      </c>
      <c r="N24" s="61">
        <f t="shared" si="4"/>
        <v>0</v>
      </c>
      <c r="O24" s="39">
        <f t="shared" si="4"/>
        <v>2591.98</v>
      </c>
      <c r="P24" s="61">
        <f t="shared" si="4"/>
        <v>0</v>
      </c>
      <c r="Q24" s="39">
        <f t="shared" si="4"/>
        <v>-441.21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0.21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2070803</v>
      </c>
      <c r="E27" s="38">
        <f>SUM(G27,I27,K27,M27,O27,Q27,S27,U27,W27,Y27,AA27,AC27,AE27,AG27)</f>
        <v>5321924.7700000005</v>
      </c>
      <c r="F27" s="84">
        <f>'TIE-OUT'!L27+RECLASS!J27</f>
        <v>0</v>
      </c>
      <c r="G27" s="85">
        <f>'TIE-OUT'!M27+RECLASS!K27</f>
        <v>0</v>
      </c>
      <c r="H27" s="126">
        <f>+Actuals!E54+32403</f>
        <v>2626144</v>
      </c>
      <c r="I27" s="127">
        <f>+Actuals!F54+86667</f>
        <v>6885960.3400000008</v>
      </c>
      <c r="J27" s="126">
        <f>+Actuals!G54-31330</f>
        <v>-561114</v>
      </c>
      <c r="K27" s="145">
        <f>+Actuals!H54-83870</f>
        <v>-1579172.7</v>
      </c>
      <c r="L27" s="126">
        <f>+Actuals!I54</f>
        <v>0</v>
      </c>
      <c r="M27" s="127">
        <f>+Actuals!J54</f>
        <v>0</v>
      </c>
      <c r="N27" s="126">
        <f>+Actuals!K54</f>
        <v>201928</v>
      </c>
      <c r="O27" s="127">
        <f>+Actuals!L54</f>
        <v>583208.21</v>
      </c>
      <c r="P27" s="126">
        <f>+Actuals!M54</f>
        <v>-196160</v>
      </c>
      <c r="Q27" s="127">
        <f>+Actuals!N54</f>
        <v>-568079.35999999999</v>
      </c>
      <c r="R27" s="126">
        <f>+Actuals!O54</f>
        <v>0</v>
      </c>
      <c r="S27" s="127">
        <f>+Actuals!P54</f>
        <v>0.21</v>
      </c>
      <c r="T27" s="126">
        <f>+Actuals!Q54</f>
        <v>-18</v>
      </c>
      <c r="U27" s="127">
        <f>+Actuals!R54</f>
        <v>-51.75</v>
      </c>
      <c r="V27" s="126">
        <f>+Actuals!S54</f>
        <v>18</v>
      </c>
      <c r="W27" s="127">
        <f>+Actuals!T54</f>
        <v>47.19</v>
      </c>
      <c r="X27" s="126">
        <f>+Actuals!U54</f>
        <v>5</v>
      </c>
      <c r="Y27" s="127">
        <f>+Actuals!V54</f>
        <v>12.63</v>
      </c>
      <c r="Z27" s="126">
        <f>+Actuals!W54</f>
        <v>0</v>
      </c>
      <c r="AA27" s="127">
        <f>+Actuals!X54</f>
        <v>0</v>
      </c>
      <c r="AB27" s="126">
        <f>+Actuals!Y54</f>
        <v>0</v>
      </c>
      <c r="AC27" s="127">
        <f>+Actuals!Z54</f>
        <v>0</v>
      </c>
      <c r="AD27" s="126">
        <f>+Actuals!AA54</f>
        <v>0</v>
      </c>
      <c r="AE27" s="127">
        <f>+Actuals!AB54</f>
        <v>0</v>
      </c>
      <c r="AF27" s="126">
        <f>+Actuals!AC54</f>
        <v>0</v>
      </c>
      <c r="AG27" s="127">
        <f>+Actuals!AD54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-8530853</v>
      </c>
      <c r="E28" s="38">
        <f>SUM(G28,I28,K28,M28,O28,Q28,S28,U28,W28,Y28,AA28,AC28,AE28,AG28)</f>
        <v>-21820918.270000007</v>
      </c>
      <c r="F28" s="97">
        <f>'TIE-OUT'!L28+RECLASS!J28</f>
        <v>0</v>
      </c>
      <c r="G28" s="98">
        <f>'TIE-OUT'!M28+RECLASS!K28</f>
        <v>0</v>
      </c>
      <c r="H28" s="126">
        <f>+Actuals!E55-32403</f>
        <v>-9080131</v>
      </c>
      <c r="I28" s="127">
        <f>+Actuals!F55-86667</f>
        <v>-23363394.110000003</v>
      </c>
      <c r="J28" s="126">
        <f>+Actuals!G55+23138</f>
        <v>555064</v>
      </c>
      <c r="K28" s="145">
        <f>+Actuals!H55+62501</f>
        <v>1554854.09</v>
      </c>
      <c r="L28" s="126">
        <f>+Actuals!I55</f>
        <v>0</v>
      </c>
      <c r="M28" s="127">
        <f>+Actuals!J55</f>
        <v>0</v>
      </c>
      <c r="N28" s="126">
        <f>+Actuals!K55</f>
        <v>-205757</v>
      </c>
      <c r="O28" s="127">
        <f>+Actuals!L55</f>
        <v>-593048.66</v>
      </c>
      <c r="P28" s="126">
        <f>+Actuals!M55</f>
        <v>199989</v>
      </c>
      <c r="Q28" s="127">
        <f>+Actuals!N55</f>
        <v>577919.81000000006</v>
      </c>
      <c r="R28" s="126">
        <f>+Actuals!O55</f>
        <v>0</v>
      </c>
      <c r="S28" s="127">
        <f>+Actuals!P55</f>
        <v>-0.21</v>
      </c>
      <c r="T28" s="126">
        <f>+Actuals!Q55</f>
        <v>-2765</v>
      </c>
      <c r="U28" s="127">
        <f>+Actuals!R55</f>
        <v>-7048.98</v>
      </c>
      <c r="V28" s="126">
        <f>+Actuals!S55</f>
        <v>0</v>
      </c>
      <c r="W28" s="127">
        <f>+Actuals!T55</f>
        <v>0</v>
      </c>
      <c r="X28" s="126">
        <f>+Actuals!U55</f>
        <v>2747</v>
      </c>
      <c r="Y28" s="127">
        <f>+Actuals!V55+2798</f>
        <v>9799.7900000000009</v>
      </c>
      <c r="Z28" s="126">
        <f>+Actuals!W55</f>
        <v>0</v>
      </c>
      <c r="AA28" s="127">
        <f>+Actuals!X55</f>
        <v>0</v>
      </c>
      <c r="AB28" s="126">
        <f>+Actuals!Y55</f>
        <v>0</v>
      </c>
      <c r="AC28" s="127">
        <f>+Actuals!Z55</f>
        <v>0</v>
      </c>
      <c r="AD28" s="126">
        <f>+Actuals!AA55</f>
        <v>0</v>
      </c>
      <c r="AE28" s="127">
        <f>+Actuals!AB55</f>
        <v>0</v>
      </c>
      <c r="AF28" s="126">
        <f>+Actuals!AC55</f>
        <v>0</v>
      </c>
      <c r="AG28" s="127">
        <f>+Actuals!AD55</f>
        <v>0</v>
      </c>
    </row>
    <row r="29" spans="1:33" x14ac:dyDescent="0.25">
      <c r="A29" s="9"/>
      <c r="B29" s="7" t="s">
        <v>37</v>
      </c>
      <c r="C29" s="18"/>
      <c r="D29" s="61">
        <f>SUM(D27:D28)</f>
        <v>-6460050</v>
      </c>
      <c r="E29" s="39">
        <f>SUM(E27:E28)</f>
        <v>-16498993.500000007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-6453987</v>
      </c>
      <c r="I29" s="39">
        <f t="shared" si="6"/>
        <v>-16477433.770000003</v>
      </c>
      <c r="J29" s="61">
        <f t="shared" si="6"/>
        <v>-6050</v>
      </c>
      <c r="K29" s="146">
        <f t="shared" si="6"/>
        <v>-24318.60999999987</v>
      </c>
      <c r="L29" s="61">
        <f t="shared" si="6"/>
        <v>0</v>
      </c>
      <c r="M29" s="39">
        <f t="shared" si="6"/>
        <v>0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>SUM(X27:X28)</f>
        <v>2752</v>
      </c>
      <c r="Y29" s="39">
        <f>SUM(Y27:Y28)</f>
        <v>9812.42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-22894</v>
      </c>
      <c r="E32" s="38">
        <f t="shared" si="8"/>
        <v>-66346.814000000013</v>
      </c>
      <c r="F32" s="84">
        <f>'TIE-OUT'!L32+RECLASS!J32</f>
        <v>0</v>
      </c>
      <c r="G32" s="85">
        <f>'TIE-OUT'!M32+RECLASS!K32</f>
        <v>0</v>
      </c>
      <c r="H32" s="126">
        <f>+Actuals!E56</f>
        <v>0</v>
      </c>
      <c r="I32" s="127">
        <f>+Actuals!F56</f>
        <v>0</v>
      </c>
      <c r="J32" s="126">
        <f>+Actuals!G56</f>
        <v>5768</v>
      </c>
      <c r="K32" s="145">
        <f>+Actuals!H56</f>
        <v>16715.664000000001</v>
      </c>
      <c r="L32" s="126">
        <f>+Actuals!I56</f>
        <v>0</v>
      </c>
      <c r="M32" s="127">
        <f>+Actuals!J56</f>
        <v>0</v>
      </c>
      <c r="N32" s="126">
        <f>+Actuals!K56</f>
        <v>0</v>
      </c>
      <c r="O32" s="127">
        <f>+Actuals!L56</f>
        <v>0</v>
      </c>
      <c r="P32" s="126">
        <f>+Actuals!M56</f>
        <v>0</v>
      </c>
      <c r="Q32" s="127">
        <f>+Actuals!N56</f>
        <v>0</v>
      </c>
      <c r="R32" s="126">
        <f>+Actuals!O56</f>
        <v>0</v>
      </c>
      <c r="S32" s="127">
        <f>+Actuals!P56</f>
        <v>0</v>
      </c>
      <c r="T32" s="126">
        <f>+Actuals!Q56</f>
        <v>-16696</v>
      </c>
      <c r="U32" s="127">
        <f>+Actuals!R56</f>
        <v>-48385.008000000002</v>
      </c>
      <c r="V32" s="126">
        <f>+Actuals!S56</f>
        <v>0</v>
      </c>
      <c r="W32" s="127">
        <f>+Actuals!T56</f>
        <v>0</v>
      </c>
      <c r="X32" s="126">
        <f>+Actuals!U56</f>
        <v>0</v>
      </c>
      <c r="Y32" s="127">
        <f>+Actuals!V56</f>
        <v>0</v>
      </c>
      <c r="Z32" s="126">
        <f>+Actuals!W56</f>
        <v>-5</v>
      </c>
      <c r="AA32" s="127">
        <f>+Actuals!X56</f>
        <v>-14.49</v>
      </c>
      <c r="AB32" s="126">
        <f>+Actuals!Y56</f>
        <v>0</v>
      </c>
      <c r="AC32" s="127">
        <f>+Actuals!Z56</f>
        <v>0</v>
      </c>
      <c r="AD32" s="126">
        <f>+Actuals!AA56</f>
        <v>0</v>
      </c>
      <c r="AE32" s="127">
        <f>+Actuals!AB56</f>
        <v>0</v>
      </c>
      <c r="AF32" s="126">
        <v>-11961</v>
      </c>
      <c r="AG32" s="127">
        <v>-34662.980000000003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6">
        <f>+Actuals!E57</f>
        <v>0</v>
      </c>
      <c r="I33" s="127">
        <f>+Actuals!F57</f>
        <v>0</v>
      </c>
      <c r="J33" s="126">
        <f>+Actuals!G57</f>
        <v>0</v>
      </c>
      <c r="K33" s="145">
        <f>+Actuals!H57</f>
        <v>0</v>
      </c>
      <c r="L33" s="126">
        <f>+Actuals!I57</f>
        <v>0</v>
      </c>
      <c r="M33" s="127">
        <f>+Actuals!J57</f>
        <v>0</v>
      </c>
      <c r="N33" s="126">
        <f>+Actuals!K57</f>
        <v>0</v>
      </c>
      <c r="O33" s="127">
        <f>+Actuals!L57</f>
        <v>0</v>
      </c>
      <c r="P33" s="126">
        <f>+Actuals!M57</f>
        <v>0</v>
      </c>
      <c r="Q33" s="127">
        <f>+Actuals!N57</f>
        <v>0</v>
      </c>
      <c r="R33" s="126">
        <f>+Actuals!O57</f>
        <v>0</v>
      </c>
      <c r="S33" s="127">
        <f>+Actuals!P57</f>
        <v>0</v>
      </c>
      <c r="T33" s="126">
        <f>+Actuals!Q57</f>
        <v>0</v>
      </c>
      <c r="U33" s="127">
        <f>+Actuals!R57</f>
        <v>0</v>
      </c>
      <c r="V33" s="126">
        <f>+Actuals!S57</f>
        <v>0</v>
      </c>
      <c r="W33" s="127">
        <f>+Actuals!T57</f>
        <v>0</v>
      </c>
      <c r="X33" s="126">
        <f>+Actuals!U57</f>
        <v>0</v>
      </c>
      <c r="Y33" s="127">
        <f>+Actuals!V57</f>
        <v>0</v>
      </c>
      <c r="Z33" s="126">
        <f>+Actuals!W57</f>
        <v>0</v>
      </c>
      <c r="AA33" s="127">
        <f>+Actuals!X57</f>
        <v>0</v>
      </c>
      <c r="AB33" s="126">
        <f>+Actuals!Y57</f>
        <v>0</v>
      </c>
      <c r="AC33" s="127">
        <f>+Actuals!Z57</f>
        <v>0</v>
      </c>
      <c r="AD33" s="126">
        <f>+Actuals!AA57</f>
        <v>0</v>
      </c>
      <c r="AE33" s="127">
        <f>+Actuals!AB57</f>
        <v>0</v>
      </c>
      <c r="AF33" s="126">
        <f>+Actuals!AC57</f>
        <v>0</v>
      </c>
      <c r="AG33" s="127">
        <f>+Actuals!AD57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6">
        <f>+Actuals!E58</f>
        <v>0</v>
      </c>
      <c r="I34" s="127">
        <f>+Actuals!F58</f>
        <v>0</v>
      </c>
      <c r="J34" s="126">
        <f>+Actuals!G58</f>
        <v>0</v>
      </c>
      <c r="K34" s="145">
        <f>+Actuals!H58</f>
        <v>0</v>
      </c>
      <c r="L34" s="126">
        <f>+Actuals!I58</f>
        <v>0</v>
      </c>
      <c r="M34" s="127">
        <f>+Actuals!J58</f>
        <v>0</v>
      </c>
      <c r="N34" s="126">
        <f>+Actuals!K58</f>
        <v>0</v>
      </c>
      <c r="O34" s="127">
        <f>+Actuals!L58</f>
        <v>0</v>
      </c>
      <c r="P34" s="126">
        <f>+Actuals!M58</f>
        <v>0</v>
      </c>
      <c r="Q34" s="127">
        <f>+Actuals!N58</f>
        <v>0</v>
      </c>
      <c r="R34" s="126">
        <f>+Actuals!O58</f>
        <v>0</v>
      </c>
      <c r="S34" s="127">
        <f>+Actuals!P58</f>
        <v>0</v>
      </c>
      <c r="T34" s="126">
        <f>+Actuals!Q58</f>
        <v>0</v>
      </c>
      <c r="U34" s="127">
        <f>+Actuals!R58</f>
        <v>0</v>
      </c>
      <c r="V34" s="126">
        <f>+Actuals!S58</f>
        <v>0</v>
      </c>
      <c r="W34" s="127">
        <f>+Actuals!T58</f>
        <v>0</v>
      </c>
      <c r="X34" s="126">
        <f>+Actuals!U58</f>
        <v>0</v>
      </c>
      <c r="Y34" s="127">
        <f>+Actuals!V58</f>
        <v>0</v>
      </c>
      <c r="Z34" s="126">
        <f>+Actuals!W58</f>
        <v>0</v>
      </c>
      <c r="AA34" s="127">
        <f>+Actuals!X58</f>
        <v>0</v>
      </c>
      <c r="AB34" s="126">
        <f>+Actuals!Y58</f>
        <v>0</v>
      </c>
      <c r="AC34" s="127">
        <f>+Actuals!Z58</f>
        <v>0</v>
      </c>
      <c r="AD34" s="126">
        <f>+Actuals!AA58</f>
        <v>0</v>
      </c>
      <c r="AE34" s="127">
        <f>+Actuals!AB58</f>
        <v>0</v>
      </c>
      <c r="AF34" s="126">
        <f>+Actuals!AC58</f>
        <v>0</v>
      </c>
      <c r="AG34" s="127">
        <f>+Actuals!AD58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6">
        <f>+Actuals!E59</f>
        <v>0</v>
      </c>
      <c r="I35" s="127">
        <f>+Actuals!F59</f>
        <v>0</v>
      </c>
      <c r="J35" s="126">
        <f>+Actuals!G59</f>
        <v>0</v>
      </c>
      <c r="K35" s="145">
        <f>+Actuals!H59</f>
        <v>0</v>
      </c>
      <c r="L35" s="126">
        <f>+Actuals!I59</f>
        <v>0</v>
      </c>
      <c r="M35" s="127">
        <f>+Actuals!J59</f>
        <v>0</v>
      </c>
      <c r="N35" s="126">
        <f>+Actuals!K59</f>
        <v>0</v>
      </c>
      <c r="O35" s="127">
        <f>+Actuals!L59</f>
        <v>0</v>
      </c>
      <c r="P35" s="126">
        <f>+Actuals!M59</f>
        <v>0</v>
      </c>
      <c r="Q35" s="127">
        <f>+Actuals!N59</f>
        <v>0</v>
      </c>
      <c r="R35" s="126">
        <f>+Actuals!O59</f>
        <v>0</v>
      </c>
      <c r="S35" s="127">
        <f>+Actuals!P59</f>
        <v>0</v>
      </c>
      <c r="T35" s="126">
        <f>+Actuals!Q59</f>
        <v>0</v>
      </c>
      <c r="U35" s="127">
        <f>+Actuals!R59</f>
        <v>0</v>
      </c>
      <c r="V35" s="126">
        <f>+Actuals!S59</f>
        <v>0</v>
      </c>
      <c r="W35" s="127">
        <f>+Actuals!T59</f>
        <v>0</v>
      </c>
      <c r="X35" s="126">
        <f>+Actuals!U59</f>
        <v>0</v>
      </c>
      <c r="Y35" s="127">
        <f>+Actuals!V59</f>
        <v>0</v>
      </c>
      <c r="Z35" s="126">
        <f>+Actuals!W59</f>
        <v>0</v>
      </c>
      <c r="AA35" s="127">
        <f>+Actuals!X59</f>
        <v>0</v>
      </c>
      <c r="AB35" s="126">
        <f>+Actuals!Y59</f>
        <v>0</v>
      </c>
      <c r="AC35" s="127">
        <f>+Actuals!Z59</f>
        <v>0</v>
      </c>
      <c r="AD35" s="126">
        <f>+Actuals!AA59</f>
        <v>0</v>
      </c>
      <c r="AE35" s="127">
        <f>+Actuals!AB59</f>
        <v>0</v>
      </c>
      <c r="AF35" s="126">
        <f>+Actuals!AC59</f>
        <v>0</v>
      </c>
      <c r="AG35" s="127">
        <f>+Actuals!AD59</f>
        <v>0</v>
      </c>
    </row>
    <row r="36" spans="1:33" x14ac:dyDescent="0.25">
      <c r="A36" s="9"/>
      <c r="B36" s="7" t="s">
        <v>43</v>
      </c>
      <c r="C36" s="6"/>
      <c r="D36" s="61">
        <f>SUM(D32:D35)</f>
        <v>-22894</v>
      </c>
      <c r="E36" s="39">
        <f>SUM(E32:E35)</f>
        <v>-66346.814000000013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5768</v>
      </c>
      <c r="K36" s="146">
        <f t="shared" si="9"/>
        <v>16715.664000000001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-16696</v>
      </c>
      <c r="U36" s="39">
        <f t="shared" si="10"/>
        <v>-48385.008000000002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-5</v>
      </c>
      <c r="AA36" s="39">
        <f>SUM(AA32:AA35)</f>
        <v>-14.49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-11961</v>
      </c>
      <c r="AG36" s="39">
        <f>SUM(AG32:AG35)</f>
        <v>-34662.980000000003</v>
      </c>
    </row>
    <row r="37" spans="1:33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843921</v>
      </c>
      <c r="E39" s="38">
        <f t="shared" si="11"/>
        <v>2447370.9</v>
      </c>
      <c r="F39" s="84">
        <f>'TIE-OUT'!L39+RECLASS!J39</f>
        <v>0</v>
      </c>
      <c r="G39" s="85">
        <f>'TIE-OUT'!M39+RECLASS!K39</f>
        <v>0</v>
      </c>
      <c r="H39" s="126">
        <f>+Actuals!E60</f>
        <v>0</v>
      </c>
      <c r="I39" s="127">
        <f>+Actuals!F60</f>
        <v>0</v>
      </c>
      <c r="J39" s="126">
        <f>+Actuals!G60</f>
        <v>985871</v>
      </c>
      <c r="K39" s="145">
        <f>+Actuals!H60</f>
        <v>2859025.9</v>
      </c>
      <c r="L39" s="126">
        <f>+Actuals!I60</f>
        <v>-107288</v>
      </c>
      <c r="M39" s="127">
        <f>+Actuals!J60</f>
        <v>-311135.2</v>
      </c>
      <c r="N39" s="126">
        <f>+Actuals!K60</f>
        <v>-34662</v>
      </c>
      <c r="O39" s="127">
        <f>+Actuals!L60</f>
        <v>-100519.8</v>
      </c>
      <c r="P39" s="126">
        <f>+Actuals!M60</f>
        <v>0</v>
      </c>
      <c r="Q39" s="127">
        <f>+Actuals!N60</f>
        <v>0</v>
      </c>
      <c r="R39" s="126">
        <f>+Actuals!O60</f>
        <v>0</v>
      </c>
      <c r="S39" s="127">
        <f>+Actuals!P60</f>
        <v>0</v>
      </c>
      <c r="T39" s="126">
        <f>+Actuals!Q60</f>
        <v>0</v>
      </c>
      <c r="U39" s="127">
        <f>+Actuals!R60</f>
        <v>0</v>
      </c>
      <c r="V39" s="126">
        <f>+Actuals!S60</f>
        <v>0</v>
      </c>
      <c r="W39" s="127">
        <f>+Actuals!T60</f>
        <v>0</v>
      </c>
      <c r="X39" s="126">
        <f>+Actuals!U60</f>
        <v>0</v>
      </c>
      <c r="Y39" s="127">
        <f>+Actuals!V60</f>
        <v>0</v>
      </c>
      <c r="Z39" s="126">
        <f>+Actuals!W60</f>
        <v>0</v>
      </c>
      <c r="AA39" s="127">
        <f>+Actuals!X60</f>
        <v>0</v>
      </c>
      <c r="AB39" s="126">
        <f>+Actuals!Y60</f>
        <v>0</v>
      </c>
      <c r="AC39" s="127">
        <f>+Actuals!Z60</f>
        <v>0</v>
      </c>
      <c r="AD39" s="126">
        <f>+Actuals!AA60</f>
        <v>0</v>
      </c>
      <c r="AE39" s="127">
        <f>+Actuals!AB60</f>
        <v>0</v>
      </c>
      <c r="AF39" s="126">
        <f>+Actuals!AC60</f>
        <v>0</v>
      </c>
      <c r="AG39" s="127">
        <f>+Actuals!AD60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58">
        <f>'TIE-OUT'!L40+RECLASS!J40</f>
        <v>0</v>
      </c>
      <c r="G40" s="15">
        <f>'TIE-OUT'!M40+RECLASS!K40</f>
        <v>0</v>
      </c>
      <c r="H40" s="126">
        <f>+Actuals!E61</f>
        <v>0</v>
      </c>
      <c r="I40" s="127">
        <f>+Actuals!F61</f>
        <v>0</v>
      </c>
      <c r="J40" s="126">
        <f>+Actuals!G61</f>
        <v>-938704</v>
      </c>
      <c r="K40" s="145">
        <f>+Actuals!H61</f>
        <v>-2722241.6</v>
      </c>
      <c r="L40" s="126">
        <f>+Actuals!I61</f>
        <v>80720</v>
      </c>
      <c r="M40" s="127">
        <f>+Actuals!J61</f>
        <v>234088</v>
      </c>
      <c r="N40" s="126">
        <f>+Actuals!K61</f>
        <v>34662</v>
      </c>
      <c r="O40" s="127">
        <f>+Actuals!L61</f>
        <v>100519.8</v>
      </c>
      <c r="P40" s="126">
        <f>+Actuals!M61</f>
        <v>0</v>
      </c>
      <c r="Q40" s="127">
        <f>+Actuals!N61</f>
        <v>0</v>
      </c>
      <c r="R40" s="126">
        <f>+Actuals!O61</f>
        <v>0</v>
      </c>
      <c r="S40" s="127">
        <f>+Actuals!P61</f>
        <v>0</v>
      </c>
      <c r="T40" s="126">
        <f>+Actuals!Q61</f>
        <v>0</v>
      </c>
      <c r="U40" s="127">
        <f>+Actuals!R61</f>
        <v>0</v>
      </c>
      <c r="V40" s="126">
        <f>+Actuals!S61</f>
        <v>0</v>
      </c>
      <c r="W40" s="127">
        <f>+Actuals!T61</f>
        <v>0</v>
      </c>
      <c r="X40" s="126">
        <f>+Actuals!U61</f>
        <v>0</v>
      </c>
      <c r="Y40" s="127">
        <f>+Actuals!V61</f>
        <v>0</v>
      </c>
      <c r="Z40" s="126">
        <f>+Actuals!W61</f>
        <v>0</v>
      </c>
      <c r="AA40" s="127">
        <f>+Actuals!X61</f>
        <v>0</v>
      </c>
      <c r="AB40" s="126">
        <f>+Actuals!Y61</f>
        <v>0</v>
      </c>
      <c r="AC40" s="127">
        <f>+Actuals!Z61</f>
        <v>0</v>
      </c>
      <c r="AD40" s="126">
        <f>+Actuals!AA61</f>
        <v>0</v>
      </c>
      <c r="AE40" s="127">
        <f>+Actuals!AB61</f>
        <v>0</v>
      </c>
      <c r="AF40" s="126">
        <f>+Actuals!AC61</f>
        <v>0</v>
      </c>
      <c r="AG40" s="127">
        <f>+Actuals!AD61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6">
        <f>+Actuals!E62</f>
        <v>0</v>
      </c>
      <c r="I41" s="127">
        <f>+Actuals!F62</f>
        <v>0</v>
      </c>
      <c r="J41" s="126">
        <f>+Actuals!G62</f>
        <v>0</v>
      </c>
      <c r="K41" s="145">
        <f>+Actuals!H62</f>
        <v>0</v>
      </c>
      <c r="L41" s="126">
        <f>+Actuals!I62</f>
        <v>0</v>
      </c>
      <c r="M41" s="127">
        <f>+Actuals!J62</f>
        <v>0</v>
      </c>
      <c r="N41" s="126">
        <f>+Actuals!K62</f>
        <v>0</v>
      </c>
      <c r="O41" s="127">
        <f>+Actuals!L62</f>
        <v>0</v>
      </c>
      <c r="P41" s="126">
        <f>+Actuals!M62</f>
        <v>0</v>
      </c>
      <c r="Q41" s="127">
        <f>+Actuals!N62</f>
        <v>0</v>
      </c>
      <c r="R41" s="126">
        <f>+Actuals!O62</f>
        <v>0</v>
      </c>
      <c r="S41" s="127">
        <f>+Actuals!P62</f>
        <v>0</v>
      </c>
      <c r="T41" s="126">
        <f>+Actuals!Q62</f>
        <v>0</v>
      </c>
      <c r="U41" s="127">
        <f>+Actuals!R62</f>
        <v>0</v>
      </c>
      <c r="V41" s="126">
        <f>+Actuals!S62</f>
        <v>0</v>
      </c>
      <c r="W41" s="127">
        <f>+Actuals!T62</f>
        <v>0</v>
      </c>
      <c r="X41" s="126">
        <f>+Actuals!U62</f>
        <v>0</v>
      </c>
      <c r="Y41" s="127">
        <f>+Actuals!V62</f>
        <v>0</v>
      </c>
      <c r="Z41" s="126">
        <f>+Actuals!W62</f>
        <v>0</v>
      </c>
      <c r="AA41" s="127">
        <f>+Actuals!X62</f>
        <v>0</v>
      </c>
      <c r="AB41" s="126">
        <f>+Actuals!Y62</f>
        <v>0</v>
      </c>
      <c r="AC41" s="127">
        <f>+Actuals!Z62</f>
        <v>0</v>
      </c>
      <c r="AD41" s="126">
        <f>+Actuals!AA62</f>
        <v>0</v>
      </c>
      <c r="AE41" s="127">
        <f>+Actuals!AB62</f>
        <v>0</v>
      </c>
      <c r="AF41" s="126">
        <f>+Actuals!AC62</f>
        <v>0</v>
      </c>
      <c r="AG41" s="127">
        <f>+Actuals!AD62</f>
        <v>0</v>
      </c>
    </row>
    <row r="42" spans="1:33" x14ac:dyDescent="0.25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146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20599</v>
      </c>
      <c r="E43" s="39">
        <f>E42+E39</f>
        <v>59737.099999999627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146">
        <f t="shared" si="14"/>
        <v>136784.29999999981</v>
      </c>
      <c r="L43" s="61">
        <f t="shared" si="14"/>
        <v>-26568</v>
      </c>
      <c r="M43" s="39">
        <f t="shared" si="14"/>
        <v>-77047.200000000012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3612</v>
      </c>
      <c r="E45" s="38">
        <f>SUM(G45,I45,K45,M45,O45,Q45,S45,U45,W45,Y45,AA45,AC45,AE45,AG45)</f>
        <v>4216.88</v>
      </c>
      <c r="F45" s="84">
        <f>'TIE-OUT'!L45+RECLASS!J45</f>
        <v>0</v>
      </c>
      <c r="G45" s="85">
        <f>'TIE-OUT'!M45+RECLASS!K45</f>
        <v>0</v>
      </c>
      <c r="H45" s="126">
        <f>+Actuals!E63</f>
        <v>0</v>
      </c>
      <c r="I45" s="127">
        <f>+Actuals!F63</f>
        <v>0</v>
      </c>
      <c r="J45" s="126">
        <f>+Actuals!G63</f>
        <v>3612</v>
      </c>
      <c r="K45" s="145">
        <f>+Actuals!H63</f>
        <v>4216.46</v>
      </c>
      <c r="L45" s="126">
        <f>+Actuals!I63</f>
        <v>0</v>
      </c>
      <c r="M45" s="127">
        <f>+Actuals!J63</f>
        <v>0</v>
      </c>
      <c r="N45" s="126">
        <f>+Actuals!K63</f>
        <v>0</v>
      </c>
      <c r="O45" s="127">
        <f>+Actuals!L63</f>
        <v>0</v>
      </c>
      <c r="P45" s="126">
        <f>+Actuals!M63</f>
        <v>0</v>
      </c>
      <c r="Q45" s="127">
        <f>+Actuals!N63</f>
        <v>0</v>
      </c>
      <c r="R45" s="126">
        <f>+Actuals!O63</f>
        <v>0</v>
      </c>
      <c r="S45" s="127">
        <f>+Actuals!P63</f>
        <v>0.21</v>
      </c>
      <c r="T45" s="126">
        <f>+Actuals!Q63</f>
        <v>0</v>
      </c>
      <c r="U45" s="127">
        <f>+Actuals!R63</f>
        <v>0.21</v>
      </c>
      <c r="V45" s="126">
        <f>+Actuals!S63</f>
        <v>0</v>
      </c>
      <c r="W45" s="127">
        <f>+Actuals!T63</f>
        <v>0</v>
      </c>
      <c r="X45" s="126">
        <f>+Actuals!U63</f>
        <v>0</v>
      </c>
      <c r="Y45" s="127">
        <f>+Actuals!V63</f>
        <v>0</v>
      </c>
      <c r="Z45" s="126">
        <f>+Actuals!W63</f>
        <v>0</v>
      </c>
      <c r="AA45" s="127">
        <f>+Actuals!X63</f>
        <v>0</v>
      </c>
      <c r="AB45" s="126">
        <f>+Actuals!Y63</f>
        <v>0</v>
      </c>
      <c r="AC45" s="127">
        <f>+Actuals!Z63</f>
        <v>0</v>
      </c>
      <c r="AD45" s="126">
        <f>+Actuals!AA63</f>
        <v>0</v>
      </c>
      <c r="AE45" s="127">
        <f>+Actuals!AB63</f>
        <v>0</v>
      </c>
      <c r="AF45" s="126">
        <f>+Actuals!AC63</f>
        <v>0</v>
      </c>
      <c r="AG45" s="127">
        <f>+Actuals!AD63</f>
        <v>0</v>
      </c>
    </row>
    <row r="46" spans="1:33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58">
        <f>'TIE-OUT'!L47+RECLASS!J47</f>
        <v>0</v>
      </c>
      <c r="G47" s="15">
        <f>'TIE-OUT'!M47+RECLASS!K47</f>
        <v>0</v>
      </c>
      <c r="H47" s="126">
        <f>+Actuals!E64</f>
        <v>0</v>
      </c>
      <c r="I47" s="127">
        <f>+Actuals!F64</f>
        <v>0</v>
      </c>
      <c r="J47" s="126">
        <f>+Actuals!G64</f>
        <v>0</v>
      </c>
      <c r="K47" s="145">
        <f>+Actuals!H64</f>
        <v>0</v>
      </c>
      <c r="L47" s="126">
        <f>+Actuals!I64</f>
        <v>0</v>
      </c>
      <c r="M47" s="127">
        <f>+Actuals!J64</f>
        <v>0</v>
      </c>
      <c r="N47" s="126">
        <f>+Actuals!K64</f>
        <v>0</v>
      </c>
      <c r="O47" s="127">
        <f>+Actuals!L64</f>
        <v>0</v>
      </c>
      <c r="P47" s="126">
        <f>+Actuals!M64</f>
        <v>0</v>
      </c>
      <c r="Q47" s="127">
        <f>+Actuals!N64</f>
        <v>0</v>
      </c>
      <c r="R47" s="126">
        <f>+Actuals!O64</f>
        <v>0</v>
      </c>
      <c r="S47" s="127">
        <f>+Actuals!P64</f>
        <v>0</v>
      </c>
      <c r="T47" s="126">
        <f>+Actuals!Q64</f>
        <v>0</v>
      </c>
      <c r="U47" s="127">
        <f>+Actuals!R64</f>
        <v>0</v>
      </c>
      <c r="V47" s="126">
        <f>+Actuals!S64</f>
        <v>0</v>
      </c>
      <c r="W47" s="127">
        <f>+Actuals!T64</f>
        <v>0</v>
      </c>
      <c r="X47" s="126">
        <f>+Actuals!U64</f>
        <v>0</v>
      </c>
      <c r="Y47" s="127">
        <f>+Actuals!V64</f>
        <v>0</v>
      </c>
      <c r="Z47" s="126">
        <f>+Actuals!W64</f>
        <v>0</v>
      </c>
      <c r="AA47" s="127">
        <f>+Actuals!X64</f>
        <v>0</v>
      </c>
      <c r="AB47" s="126">
        <f>+Actuals!Y64</f>
        <v>0</v>
      </c>
      <c r="AC47" s="127">
        <f>+Actuals!Z64</f>
        <v>0</v>
      </c>
      <c r="AD47" s="126">
        <f>+Actuals!AA64</f>
        <v>0</v>
      </c>
      <c r="AE47" s="127">
        <f>+Actuals!AB64</f>
        <v>0</v>
      </c>
      <c r="AF47" s="126">
        <f>+Actuals!AC64</f>
        <v>0</v>
      </c>
      <c r="AG47" s="127">
        <f>+Actuals!AD64</f>
        <v>0</v>
      </c>
    </row>
    <row r="48" spans="1:33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63122</v>
      </c>
      <c r="E49" s="38">
        <f>SUM(G49,I49,K49,M49,O49,Q49,S49,U49,W49,Y49,AA49,AC49,AE49,AG49)</f>
        <v>182927.55799999993</v>
      </c>
      <c r="F49" s="58">
        <f>'TIE-OUT'!L49+RECLASS!J49</f>
        <v>0</v>
      </c>
      <c r="G49" s="15">
        <f>'TIE-OUT'!M49+RECLASS!K49</f>
        <v>0</v>
      </c>
      <c r="H49" s="126">
        <f>+Actuals!E65</f>
        <v>218090</v>
      </c>
      <c r="I49" s="127">
        <f>+Actuals!F65</f>
        <v>632024.81999999995</v>
      </c>
      <c r="J49" s="126">
        <f>+Actuals!G65</f>
        <v>-238680</v>
      </c>
      <c r="K49" s="145">
        <f>+Actuals!H65</f>
        <v>-691694.64</v>
      </c>
      <c r="L49" s="126">
        <f>+Actuals!I65</f>
        <v>71751</v>
      </c>
      <c r="M49" s="127">
        <f>+Actuals!J65</f>
        <v>207934.39799999999</v>
      </c>
      <c r="N49" s="126">
        <f>+Actuals!K65</f>
        <v>3829</v>
      </c>
      <c r="O49" s="127">
        <f>+Actuals!L65</f>
        <v>11096.441999999999</v>
      </c>
      <c r="P49" s="126">
        <f>+Actuals!M65</f>
        <v>-3829</v>
      </c>
      <c r="Q49" s="127">
        <f>+Actuals!N65</f>
        <v>-11096.441999999999</v>
      </c>
      <c r="R49" s="126">
        <f>+Actuals!O65</f>
        <v>-6000</v>
      </c>
      <c r="S49" s="127">
        <f>+Actuals!P65</f>
        <v>-17388</v>
      </c>
      <c r="T49" s="126">
        <f>+Actuals!Q65</f>
        <v>8765</v>
      </c>
      <c r="U49" s="127">
        <f>+Actuals!R65</f>
        <v>25400.97</v>
      </c>
      <c r="V49" s="126">
        <f>+Actuals!S65</f>
        <v>-18</v>
      </c>
      <c r="W49" s="127">
        <f>+Actuals!T65</f>
        <v>-52.164000000000001</v>
      </c>
      <c r="X49" s="126">
        <f>+Actuals!U65</f>
        <v>-2752</v>
      </c>
      <c r="Y49" s="127">
        <f>+Actuals!V65</f>
        <v>-7975.2960000000003</v>
      </c>
      <c r="Z49" s="126">
        <f>+Actuals!W65</f>
        <v>5</v>
      </c>
      <c r="AA49" s="127">
        <f>+Actuals!X65</f>
        <v>14.49</v>
      </c>
      <c r="AB49" s="126">
        <f>+Actuals!Y65</f>
        <v>0</v>
      </c>
      <c r="AC49" s="127">
        <f>+Actuals!Z65</f>
        <v>0</v>
      </c>
      <c r="AD49" s="126">
        <f>+Actuals!AA65</f>
        <v>0</v>
      </c>
      <c r="AE49" s="127">
        <f>+Actuals!AB65</f>
        <v>0</v>
      </c>
      <c r="AF49" s="126">
        <v>11961</v>
      </c>
      <c r="AG49" s="127">
        <v>34662.980000000003</v>
      </c>
    </row>
    <row r="50" spans="1:33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-8936</v>
      </c>
      <c r="E51" s="38">
        <f>SUM(G51,I51,K51,M51,O51,Q51,S51,U51,W51,Y51,AA51,AC51,AE51,AG51)</f>
        <v>-23310.87</v>
      </c>
      <c r="F51" s="58">
        <f>'TIE-OUT'!L51+RECLASS!J51</f>
        <v>0</v>
      </c>
      <c r="G51" s="15">
        <f>'TIE-OUT'!M51+RECLASS!K51</f>
        <v>0</v>
      </c>
      <c r="H51" s="126">
        <f>+Actuals!E66</f>
        <v>0</v>
      </c>
      <c r="I51" s="127">
        <f>+Actuals!F66</f>
        <v>0</v>
      </c>
      <c r="J51" s="126">
        <f>+Actuals!G66-8192</f>
        <v>-8936</v>
      </c>
      <c r="K51" s="145">
        <f>+Actuals!H66-21369</f>
        <v>-23310.87</v>
      </c>
      <c r="L51" s="126">
        <f>+Actuals!I66</f>
        <v>0</v>
      </c>
      <c r="M51" s="127">
        <f>+Actuals!J66</f>
        <v>0</v>
      </c>
      <c r="N51" s="126">
        <f>+Actuals!K66</f>
        <v>0</v>
      </c>
      <c r="O51" s="127">
        <f>+Actuals!L66</f>
        <v>0</v>
      </c>
      <c r="P51" s="126">
        <f>+Actuals!M66</f>
        <v>0</v>
      </c>
      <c r="Q51" s="127">
        <f>+Actuals!N66</f>
        <v>0</v>
      </c>
      <c r="R51" s="126">
        <f>+Actuals!O66</f>
        <v>0</v>
      </c>
      <c r="S51" s="127">
        <f>+Actuals!P66</f>
        <v>0</v>
      </c>
      <c r="T51" s="126">
        <f>+Actuals!Q66</f>
        <v>0</v>
      </c>
      <c r="U51" s="127">
        <f>+Actuals!R66</f>
        <v>0</v>
      </c>
      <c r="V51" s="126">
        <f>+Actuals!S66</f>
        <v>0</v>
      </c>
      <c r="W51" s="127">
        <f>+Actuals!T66</f>
        <v>0</v>
      </c>
      <c r="X51" s="126">
        <f>+Actuals!U66</f>
        <v>0</v>
      </c>
      <c r="Y51" s="127">
        <f>+Actuals!V66</f>
        <v>0</v>
      </c>
      <c r="Z51" s="126">
        <f>+Actuals!W66</f>
        <v>0</v>
      </c>
      <c r="AA51" s="127">
        <f>+Actuals!X66</f>
        <v>0</v>
      </c>
      <c r="AB51" s="126">
        <f>+Actuals!Y66</f>
        <v>0</v>
      </c>
      <c r="AC51" s="127">
        <f>+Actuals!Z66</f>
        <v>0</v>
      </c>
      <c r="AD51" s="126">
        <f>+Actuals!AA66</f>
        <v>0</v>
      </c>
      <c r="AE51" s="127">
        <f>+Actuals!AB66</f>
        <v>0</v>
      </c>
      <c r="AF51" s="126">
        <f>+Actuals!AC66</f>
        <v>0</v>
      </c>
      <c r="AG51" s="127">
        <f>+Actuals!AD66</f>
        <v>0</v>
      </c>
    </row>
    <row r="52" spans="1:33" x14ac:dyDescent="0.25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-230358</v>
      </c>
      <c r="E54" s="38">
        <f>SUM(G54,I54,K54,M54,O54,Q54,S54,U54,W54,Y54,AA54,AC54,AE54,AG54)</f>
        <v>-2269.7200000000003</v>
      </c>
      <c r="F54" s="84">
        <f>'TIE-OUT'!L54+RECLASS!J54</f>
        <v>0</v>
      </c>
      <c r="G54" s="85">
        <f>'TIE-OUT'!M54+RECLASS!K54</f>
        <v>0</v>
      </c>
      <c r="H54" s="126">
        <f>+Actuals!E67</f>
        <v>0</v>
      </c>
      <c r="I54" s="127">
        <f>+Actuals!F67</f>
        <v>5000</v>
      </c>
      <c r="J54" s="126">
        <f>+Actuals!G67</f>
        <v>0</v>
      </c>
      <c r="K54" s="145">
        <f>+Actuals!H67</f>
        <v>0</v>
      </c>
      <c r="L54" s="126">
        <f>+Actuals!I67</f>
        <v>0</v>
      </c>
      <c r="M54" s="127">
        <f>+Actuals!J67</f>
        <v>0</v>
      </c>
      <c r="N54" s="126">
        <f>+Actuals!K67</f>
        <v>0</v>
      </c>
      <c r="O54" s="127">
        <f>+Actuals!L67</f>
        <v>0</v>
      </c>
      <c r="P54" s="126">
        <f>+Actuals!M67</f>
        <v>0</v>
      </c>
      <c r="Q54" s="127">
        <f>+Actuals!N67</f>
        <v>0</v>
      </c>
      <c r="R54" s="126">
        <f>+Actuals!O67</f>
        <v>0</v>
      </c>
      <c r="S54" s="127">
        <f>+Actuals!P67</f>
        <v>0</v>
      </c>
      <c r="T54" s="126">
        <f>+Actuals!Q67</f>
        <v>0</v>
      </c>
      <c r="U54" s="127">
        <f>+Actuals!R67</f>
        <v>0</v>
      </c>
      <c r="V54" s="126">
        <f>+Actuals!S67</f>
        <v>-242324</v>
      </c>
      <c r="W54" s="127">
        <f>+Actuals!T67</f>
        <v>-7269.72</v>
      </c>
      <c r="X54" s="126">
        <f>+Actuals!U67</f>
        <v>0</v>
      </c>
      <c r="Y54" s="127">
        <f>+Actuals!V67</f>
        <v>0</v>
      </c>
      <c r="Z54" s="126">
        <f>+Actuals!W67</f>
        <v>0</v>
      </c>
      <c r="AA54" s="127">
        <f>+Actuals!X67</f>
        <v>0</v>
      </c>
      <c r="AB54" s="126">
        <f>+Actuals!Y67</f>
        <v>0</v>
      </c>
      <c r="AC54" s="127">
        <f>+Actuals!Z67</f>
        <v>0</v>
      </c>
      <c r="AD54" s="126">
        <f>+Actuals!AA67</f>
        <v>0</v>
      </c>
      <c r="AE54" s="127">
        <f>+Actuals!AB67</f>
        <v>0</v>
      </c>
      <c r="AF54" s="126">
        <v>11966</v>
      </c>
      <c r="AG54" s="127">
        <f>+Actuals!AD67</f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97">
        <f>'TIE-OUT'!L55+RECLASS!J55</f>
        <v>0</v>
      </c>
      <c r="G55" s="98">
        <f>'TIE-OUT'!M55+RECLASS!K55</f>
        <v>0</v>
      </c>
      <c r="H55" s="126">
        <f>+Actuals!E68</f>
        <v>0</v>
      </c>
      <c r="I55" s="127">
        <f>+Actuals!F68</f>
        <v>0</v>
      </c>
      <c r="J55" s="126">
        <f>+Actuals!G68</f>
        <v>0</v>
      </c>
      <c r="K55" s="145">
        <f>+Actuals!H68</f>
        <v>0</v>
      </c>
      <c r="L55" s="126">
        <f>+Actuals!I68</f>
        <v>0</v>
      </c>
      <c r="M55" s="127">
        <f>+Actuals!J68</f>
        <v>0</v>
      </c>
      <c r="N55" s="126">
        <f>+Actuals!K68</f>
        <v>0</v>
      </c>
      <c r="O55" s="127">
        <f>+Actuals!L68</f>
        <v>0</v>
      </c>
      <c r="P55" s="126">
        <f>+Actuals!M68</f>
        <v>0</v>
      </c>
      <c r="Q55" s="127">
        <f>+Actuals!N68</f>
        <v>0</v>
      </c>
      <c r="R55" s="126">
        <f>+Actuals!O68</f>
        <v>0</v>
      </c>
      <c r="S55" s="127">
        <f>+Actuals!P68</f>
        <v>0</v>
      </c>
      <c r="T55" s="126">
        <f>+Actuals!Q68</f>
        <v>0</v>
      </c>
      <c r="U55" s="127">
        <f>+Actuals!R68</f>
        <v>0</v>
      </c>
      <c r="V55" s="126">
        <f>+Actuals!S68</f>
        <v>0</v>
      </c>
      <c r="W55" s="127">
        <f>+Actuals!T68</f>
        <v>0</v>
      </c>
      <c r="X55" s="126">
        <f>+Actuals!U68</f>
        <v>0</v>
      </c>
      <c r="Y55" s="127">
        <f>+Actuals!V68</f>
        <v>0</v>
      </c>
      <c r="Z55" s="126">
        <f>+Actuals!W68</f>
        <v>0</v>
      </c>
      <c r="AA55" s="127">
        <f>+Actuals!X68</f>
        <v>0</v>
      </c>
      <c r="AB55" s="126">
        <f>+Actuals!Y68</f>
        <v>0</v>
      </c>
      <c r="AC55" s="127">
        <f>+Actuals!Z68</f>
        <v>0</v>
      </c>
      <c r="AD55" s="126">
        <f>+Actuals!AA68</f>
        <v>0</v>
      </c>
      <c r="AE55" s="127">
        <f>+Actuals!AB68</f>
        <v>0</v>
      </c>
      <c r="AF55" s="126">
        <f>+Actuals!AC68</f>
        <v>0</v>
      </c>
      <c r="AG55" s="127">
        <f>+Actuals!AD68</f>
        <v>0</v>
      </c>
    </row>
    <row r="56" spans="1:33" x14ac:dyDescent="0.25">
      <c r="A56" s="9"/>
      <c r="B56" s="7" t="s">
        <v>57</v>
      </c>
      <c r="C56" s="6"/>
      <c r="D56" s="61">
        <f>SUM(D54:D55)</f>
        <v>-230358</v>
      </c>
      <c r="E56" s="39">
        <f>SUM(E54:E55)</f>
        <v>-2269.7200000000003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6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-242324</v>
      </c>
      <c r="W56" s="39">
        <f t="shared" si="17"/>
        <v>-7269.72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11966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2620106</v>
      </c>
      <c r="E59" s="38">
        <f>SUM(G59,I59,K59,M59,O59,Q59,S59,U59,W59,Y59,AA59,AC59,AE59,AG59)</f>
        <v>50736.480000000003</v>
      </c>
      <c r="F59" s="84">
        <f>'TIE-OUT'!L59+RECLASS!J59</f>
        <v>0</v>
      </c>
      <c r="G59" s="85">
        <f>'TIE-OUT'!M59+RECLASS!K59</f>
        <v>0</v>
      </c>
      <c r="H59" s="126">
        <f>+Actuals!E69</f>
        <v>2614991</v>
      </c>
      <c r="I59" s="127">
        <f>+Actuals!F69</f>
        <v>62878.33</v>
      </c>
      <c r="J59" s="126">
        <f>+Actuals!G69</f>
        <v>-11586</v>
      </c>
      <c r="K59" s="145">
        <f>+Actuals!H69</f>
        <v>-12141.85</v>
      </c>
      <c r="L59" s="126">
        <f>+Actuals!I69</f>
        <v>0</v>
      </c>
      <c r="M59" s="127">
        <f>+Actuals!J69</f>
        <v>0</v>
      </c>
      <c r="N59" s="126">
        <f>+Actuals!K69</f>
        <v>0</v>
      </c>
      <c r="O59" s="127">
        <f>+Actuals!L69</f>
        <v>0</v>
      </c>
      <c r="P59" s="126">
        <f>+Actuals!M69</f>
        <v>0</v>
      </c>
      <c r="Q59" s="127">
        <f>+Actuals!N69</f>
        <v>0</v>
      </c>
      <c r="R59" s="126">
        <f>+Actuals!O69</f>
        <v>6000</v>
      </c>
      <c r="S59" s="127">
        <f>+Actuals!P69</f>
        <v>0</v>
      </c>
      <c r="T59" s="126">
        <f>+Actuals!Q69</f>
        <v>10696</v>
      </c>
      <c r="U59" s="127">
        <f>+Actuals!R69</f>
        <v>0</v>
      </c>
      <c r="V59" s="126">
        <f>+Actuals!S69</f>
        <v>0</v>
      </c>
      <c r="W59" s="127">
        <f>+Actuals!T69</f>
        <v>0</v>
      </c>
      <c r="X59" s="126">
        <f>+Actuals!U69</f>
        <v>5</v>
      </c>
      <c r="Y59" s="127">
        <f>+Actuals!V69</f>
        <v>0</v>
      </c>
      <c r="Z59" s="126">
        <f>+Actuals!W69</f>
        <v>0</v>
      </c>
      <c r="AA59" s="127">
        <f>+Actuals!X69</f>
        <v>0</v>
      </c>
      <c r="AB59" s="126">
        <f>+Actuals!Y69</f>
        <v>0</v>
      </c>
      <c r="AC59" s="127">
        <f>+Actuals!Z69</f>
        <v>0</v>
      </c>
      <c r="AD59" s="126">
        <f>+Actuals!AA69</f>
        <v>0</v>
      </c>
      <c r="AE59" s="127">
        <f>+Actuals!AB69</f>
        <v>0</v>
      </c>
      <c r="AF59" s="126">
        <f>+Actuals!AC69</f>
        <v>0</v>
      </c>
      <c r="AG59" s="127">
        <f>+Actuals!AD69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157288</v>
      </c>
      <c r="E60" s="38">
        <f>SUM(G60,I60,K60,M60,O60,Q60,S60,U60,W60,Y60,AA60,AC60,AE60,AG60)</f>
        <v>170000</v>
      </c>
      <c r="F60" s="97">
        <f>'TIE-OUT'!L60+RECLASS!J60</f>
        <v>0</v>
      </c>
      <c r="G60" s="98">
        <f>'TIE-OUT'!M60+RECLASS!K60</f>
        <v>0</v>
      </c>
      <c r="H60" s="126">
        <f>+Actuals!E70+157288</f>
        <v>157288</v>
      </c>
      <c r="I60" s="127">
        <f>+Actuals!F70+170000</f>
        <v>170000</v>
      </c>
      <c r="J60" s="126">
        <f>+Actuals!G70</f>
        <v>0</v>
      </c>
      <c r="K60" s="145">
        <f>+Actuals!H70</f>
        <v>0</v>
      </c>
      <c r="L60" s="126">
        <f>+Actuals!I70</f>
        <v>0</v>
      </c>
      <c r="M60" s="127">
        <f>+Actuals!J70</f>
        <v>0</v>
      </c>
      <c r="N60" s="126">
        <f>+Actuals!K70</f>
        <v>0</v>
      </c>
      <c r="O60" s="127">
        <f>+Actuals!L70</f>
        <v>0</v>
      </c>
      <c r="P60" s="126">
        <f>+Actuals!M70</f>
        <v>0</v>
      </c>
      <c r="Q60" s="127">
        <f>+Actuals!N70</f>
        <v>0</v>
      </c>
      <c r="R60" s="126">
        <f>+Actuals!O70</f>
        <v>0</v>
      </c>
      <c r="S60" s="127">
        <f>+Actuals!P70</f>
        <v>0</v>
      </c>
      <c r="T60" s="126">
        <f>+Actuals!Q70</f>
        <v>0</v>
      </c>
      <c r="U60" s="127">
        <f>+Actuals!R70</f>
        <v>0</v>
      </c>
      <c r="V60" s="126">
        <f>+Actuals!S70</f>
        <v>0</v>
      </c>
      <c r="W60" s="127">
        <f>+Actuals!T70</f>
        <v>0</v>
      </c>
      <c r="X60" s="126">
        <f>+Actuals!U70</f>
        <v>0</v>
      </c>
      <c r="Y60" s="127">
        <f>+Actuals!V70</f>
        <v>0</v>
      </c>
      <c r="Z60" s="126">
        <f>+Actuals!W70</f>
        <v>0</v>
      </c>
      <c r="AA60" s="127">
        <f>+Actuals!X70</f>
        <v>0</v>
      </c>
      <c r="AB60" s="126">
        <f>+Actuals!Y70</f>
        <v>0</v>
      </c>
      <c r="AC60" s="127">
        <f>+Actuals!Z70</f>
        <v>0</v>
      </c>
      <c r="AD60" s="126">
        <f>+Actuals!AA70</f>
        <v>0</v>
      </c>
      <c r="AE60" s="127">
        <f>+Actuals!AB70</f>
        <v>0</v>
      </c>
      <c r="AF60" s="126">
        <f>+Actuals!AC70</f>
        <v>0</v>
      </c>
      <c r="AG60" s="127">
        <f>+Actuals!AD70</f>
        <v>0</v>
      </c>
    </row>
    <row r="61" spans="1:33" x14ac:dyDescent="0.25">
      <c r="A61" s="9"/>
      <c r="B61" s="62" t="s">
        <v>61</v>
      </c>
      <c r="C61" s="6"/>
      <c r="D61" s="61">
        <f>SUM(D59:D60)</f>
        <v>2777394</v>
      </c>
      <c r="E61" s="39">
        <f>SUM(E59:E60)</f>
        <v>220736.48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2772279</v>
      </c>
      <c r="I61" s="39">
        <f t="shared" si="18"/>
        <v>232878.33000000002</v>
      </c>
      <c r="J61" s="61">
        <f t="shared" si="18"/>
        <v>-11586</v>
      </c>
      <c r="K61" s="146">
        <f t="shared" si="18"/>
        <v>-12141.85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5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-17921879</v>
      </c>
      <c r="E64" s="38">
        <f>SUM(G64,I64,K64,M64,O64,Q64,S64,U64,W64,Y64,AA64,AC64,AE64,AG64)</f>
        <v>-2357051.0499999998</v>
      </c>
      <c r="F64" s="84">
        <f>'TIE-OUT'!L64+RECLASS!J64</f>
        <v>0</v>
      </c>
      <c r="G64" s="85">
        <f>'TIE-OUT'!M64+RECLASS!K64</f>
        <v>0</v>
      </c>
      <c r="H64" s="126">
        <f>+Actuals!E71</f>
        <v>-11164499</v>
      </c>
      <c r="I64" s="127">
        <f>+Actuals!F71</f>
        <v>-2143389.29</v>
      </c>
      <c r="J64" s="126">
        <f>+Actuals!G71</f>
        <v>-6728624</v>
      </c>
      <c r="K64" s="145">
        <f>+Actuals!H71</f>
        <v>919550.74</v>
      </c>
      <c r="L64" s="126">
        <f>+Actuals!I71</f>
        <v>69324</v>
      </c>
      <c r="M64" s="127">
        <f>+Actuals!J71</f>
        <v>-1123404.49</v>
      </c>
      <c r="N64" s="126">
        <f>+Actuals!K71</f>
        <v>-98080</v>
      </c>
      <c r="O64" s="127">
        <f>+Actuals!L71</f>
        <v>-9808.01</v>
      </c>
      <c r="P64" s="126">
        <f>+Actuals!M71</f>
        <v>0</v>
      </c>
      <c r="Q64" s="127">
        <f>+Actuals!N71</f>
        <v>0</v>
      </c>
      <c r="R64" s="126">
        <f>+Actuals!O71</f>
        <v>0</v>
      </c>
      <c r="S64" s="127">
        <f>+Actuals!P71</f>
        <v>0</v>
      </c>
      <c r="T64" s="126">
        <f>+Actuals!Q71</f>
        <v>0</v>
      </c>
      <c r="U64" s="127">
        <f>+Actuals!R71</f>
        <v>0</v>
      </c>
      <c r="V64" s="126">
        <f>+Actuals!S71</f>
        <v>0</v>
      </c>
      <c r="W64" s="127">
        <f>+Actuals!T71</f>
        <v>0</v>
      </c>
      <c r="X64" s="126">
        <f>+Actuals!U71</f>
        <v>0</v>
      </c>
      <c r="Y64" s="127">
        <f>+Actuals!V71</f>
        <v>0</v>
      </c>
      <c r="Z64" s="126">
        <f>+Actuals!W71</f>
        <v>0</v>
      </c>
      <c r="AA64" s="127">
        <f>+Actuals!X71</f>
        <v>0</v>
      </c>
      <c r="AB64" s="126">
        <f>+Actuals!Y71</f>
        <v>0</v>
      </c>
      <c r="AC64" s="127">
        <f>+Actuals!Z71</f>
        <v>0</v>
      </c>
      <c r="AD64" s="126">
        <f>+Actuals!AA71</f>
        <v>0</v>
      </c>
      <c r="AE64" s="127">
        <f>+Actuals!AB71</f>
        <v>0</v>
      </c>
      <c r="AF64" s="126">
        <f>+Actuals!AC71</f>
        <v>0</v>
      </c>
      <c r="AG64" s="127">
        <f>+Actuals!AD71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17956541</v>
      </c>
      <c r="E65" s="38">
        <f>SUM(G65,I65,K65,M65,O65,Q65,S65,U65,W65,Y65,AA65,AC65,AE65,AG65)</f>
        <v>2357051.0500000003</v>
      </c>
      <c r="F65" s="97">
        <f>'TIE-OUT'!L65+RECLASS!J65</f>
        <v>0</v>
      </c>
      <c r="G65" s="98">
        <f>'TIE-OUT'!M65+RECLASS!K65</f>
        <v>0</v>
      </c>
      <c r="H65" s="126">
        <f>+Actuals!E72+871806</f>
        <v>11164499</v>
      </c>
      <c r="I65" s="127">
        <f>+Actuals!F72+640000</f>
        <v>2143389.31</v>
      </c>
      <c r="J65" s="126">
        <f>+Actuals!G72+6777</f>
        <v>6728624</v>
      </c>
      <c r="K65" s="145">
        <f>+Actuals!H72</f>
        <v>-919550.76</v>
      </c>
      <c r="L65" s="126">
        <f>+Actuals!I72</f>
        <v>-34662</v>
      </c>
      <c r="M65" s="127">
        <f>+Actuals!J72</f>
        <v>1123404.49</v>
      </c>
      <c r="N65" s="126">
        <f>+Actuals!K72</f>
        <v>98080</v>
      </c>
      <c r="O65" s="127">
        <f>+Actuals!L72</f>
        <v>9808.02</v>
      </c>
      <c r="P65" s="126">
        <f>+Actuals!M72</f>
        <v>0</v>
      </c>
      <c r="Q65" s="127">
        <f>+Actuals!N72</f>
        <v>-0.01</v>
      </c>
      <c r="R65" s="126">
        <f>+Actuals!O72</f>
        <v>0</v>
      </c>
      <c r="S65" s="127">
        <f>+Actuals!P72</f>
        <v>0</v>
      </c>
      <c r="T65" s="126">
        <f>+Actuals!Q72</f>
        <v>0</v>
      </c>
      <c r="U65" s="127">
        <f>+Actuals!R72</f>
        <v>0</v>
      </c>
      <c r="V65" s="126">
        <f>+Actuals!S72</f>
        <v>0</v>
      </c>
      <c r="W65" s="127">
        <f>+Actuals!T72</f>
        <v>0</v>
      </c>
      <c r="X65" s="126">
        <f>+Actuals!U72</f>
        <v>0</v>
      </c>
      <c r="Y65" s="127">
        <f>+Actuals!V72</f>
        <v>0</v>
      </c>
      <c r="Z65" s="126">
        <f>+Actuals!W72</f>
        <v>0</v>
      </c>
      <c r="AA65" s="127">
        <f>+Actuals!X72</f>
        <v>0</v>
      </c>
      <c r="AB65" s="126">
        <f>+Actuals!Y72</f>
        <v>0</v>
      </c>
      <c r="AC65" s="127">
        <f>+Actuals!Z72</f>
        <v>0</v>
      </c>
      <c r="AD65" s="126">
        <f>+Actuals!AA72</f>
        <v>0</v>
      </c>
      <c r="AE65" s="127">
        <f>+Actuals!AB72</f>
        <v>0</v>
      </c>
      <c r="AF65" s="126">
        <f>+Actuals!AC72</f>
        <v>0</v>
      </c>
      <c r="AG65" s="127">
        <f>+Actuals!AD72</f>
        <v>0</v>
      </c>
    </row>
    <row r="66" spans="1:33" x14ac:dyDescent="0.25">
      <c r="A66" s="9"/>
      <c r="B66" s="7" t="s">
        <v>64</v>
      </c>
      <c r="C66" s="6"/>
      <c r="D66" s="61">
        <f>SUM(D64:D65)</f>
        <v>34662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146">
        <f t="shared" si="20"/>
        <v>-2.0000000018626451E-2</v>
      </c>
      <c r="L66" s="61">
        <f t="shared" si="20"/>
        <v>34662</v>
      </c>
      <c r="M66" s="39">
        <f t="shared" si="20"/>
        <v>0</v>
      </c>
      <c r="N66" s="61">
        <f t="shared" si="20"/>
        <v>0</v>
      </c>
      <c r="O66" s="39">
        <f t="shared" si="20"/>
        <v>1.0000000000218279E-2</v>
      </c>
      <c r="P66" s="61">
        <f t="shared" si="20"/>
        <v>0</v>
      </c>
      <c r="Q66" s="39">
        <f t="shared" si="20"/>
        <v>-0.01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84">
        <f>'TIE-OUT'!L70+RECLASS!J70</f>
        <v>0</v>
      </c>
      <c r="G70" s="85">
        <f>'TIE-OUT'!M70+RECLASS!K70</f>
        <v>0</v>
      </c>
      <c r="H70" s="126">
        <f>+Actuals!E73</f>
        <v>0</v>
      </c>
      <c r="I70" s="127">
        <f>+Actuals!F73</f>
        <v>0</v>
      </c>
      <c r="J70" s="126">
        <f>+Actuals!G73</f>
        <v>0</v>
      </c>
      <c r="K70" s="145">
        <f>+Actuals!H73</f>
        <v>0</v>
      </c>
      <c r="L70" s="126">
        <f>+Actuals!I73</f>
        <v>0</v>
      </c>
      <c r="M70" s="127">
        <f>+Actuals!J73</f>
        <v>0</v>
      </c>
      <c r="N70" s="126">
        <f>+Actuals!K73</f>
        <v>0</v>
      </c>
      <c r="O70" s="127">
        <f>+Actuals!L73</f>
        <v>0</v>
      </c>
      <c r="P70" s="126">
        <f>+Actuals!M73</f>
        <v>0</v>
      </c>
      <c r="Q70" s="127">
        <f>+Actuals!N73</f>
        <v>0</v>
      </c>
      <c r="R70" s="126">
        <f>+Actuals!O73</f>
        <v>0</v>
      </c>
      <c r="S70" s="127">
        <f>+Actuals!P73</f>
        <v>0</v>
      </c>
      <c r="T70" s="126">
        <f>+Actuals!Q73</f>
        <v>0</v>
      </c>
      <c r="U70" s="127">
        <f>+Actuals!R73</f>
        <v>0</v>
      </c>
      <c r="V70" s="126">
        <f>+Actuals!S73</f>
        <v>0</v>
      </c>
      <c r="W70" s="127">
        <f>+Actuals!T73</f>
        <v>0</v>
      </c>
      <c r="X70" s="126">
        <f>+Actuals!U73</f>
        <v>0</v>
      </c>
      <c r="Y70" s="127">
        <f>+Actuals!V73</f>
        <v>0</v>
      </c>
      <c r="Z70" s="126">
        <f>+Actuals!W73</f>
        <v>0</v>
      </c>
      <c r="AA70" s="127">
        <f>+Actuals!X73</f>
        <v>0</v>
      </c>
      <c r="AB70" s="126">
        <f>+Actuals!Y73</f>
        <v>0</v>
      </c>
      <c r="AC70" s="127">
        <f>+Actuals!Z73</f>
        <v>0</v>
      </c>
      <c r="AD70" s="126">
        <f>+Actuals!AA73</f>
        <v>0</v>
      </c>
      <c r="AE70" s="127">
        <f>+Actuals!AB73</f>
        <v>0</v>
      </c>
      <c r="AF70" s="126">
        <f>+Actuals!AC73</f>
        <v>0</v>
      </c>
      <c r="AG70" s="127">
        <f>+Actuals!AD73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97">
        <f>'TIE-OUT'!L71+RECLASS!J71</f>
        <v>0</v>
      </c>
      <c r="G71" s="98">
        <f>'TIE-OUT'!M71+RECLASS!K71</f>
        <v>0</v>
      </c>
      <c r="H71" s="126">
        <f>+Actuals!E74</f>
        <v>0</v>
      </c>
      <c r="I71" s="127">
        <f>+Actuals!F74</f>
        <v>0</v>
      </c>
      <c r="J71" s="126">
        <f>+Actuals!G74</f>
        <v>0</v>
      </c>
      <c r="K71" s="145">
        <f>+Actuals!H74</f>
        <v>0</v>
      </c>
      <c r="L71" s="126">
        <f>+Actuals!I74</f>
        <v>0</v>
      </c>
      <c r="M71" s="127">
        <f>+Actuals!J74</f>
        <v>0</v>
      </c>
      <c r="N71" s="126">
        <f>+Actuals!K74</f>
        <v>0</v>
      </c>
      <c r="O71" s="127">
        <f>+Actuals!L74</f>
        <v>0</v>
      </c>
      <c r="P71" s="126">
        <f>+Actuals!M74</f>
        <v>0</v>
      </c>
      <c r="Q71" s="127">
        <f>+Actuals!N74</f>
        <v>0</v>
      </c>
      <c r="R71" s="126">
        <f>+Actuals!O74</f>
        <v>0</v>
      </c>
      <c r="S71" s="127">
        <f>+Actuals!P74</f>
        <v>0</v>
      </c>
      <c r="T71" s="126">
        <f>+Actuals!Q74</f>
        <v>0</v>
      </c>
      <c r="U71" s="127">
        <f>+Actuals!R74</f>
        <v>0</v>
      </c>
      <c r="V71" s="126">
        <f>+Actuals!S74</f>
        <v>0</v>
      </c>
      <c r="W71" s="127">
        <f>+Actuals!T74</f>
        <v>0</v>
      </c>
      <c r="X71" s="126">
        <f>+Actuals!U74</f>
        <v>0</v>
      </c>
      <c r="Y71" s="127">
        <f>+Actuals!V74</f>
        <v>0</v>
      </c>
      <c r="Z71" s="126">
        <f>+Actuals!W74</f>
        <v>0</v>
      </c>
      <c r="AA71" s="127">
        <f>+Actuals!X74</f>
        <v>0</v>
      </c>
      <c r="AB71" s="126">
        <f>+Actuals!Y74</f>
        <v>0</v>
      </c>
      <c r="AC71" s="127">
        <f>+Actuals!Z74</f>
        <v>0</v>
      </c>
      <c r="AD71" s="126">
        <f>+Actuals!AA74</f>
        <v>0</v>
      </c>
      <c r="AE71" s="127">
        <f>+Actuals!AB74</f>
        <v>0</v>
      </c>
      <c r="AF71" s="126">
        <f>+Actuals!AC74</f>
        <v>0</v>
      </c>
      <c r="AG71" s="127">
        <f>+Actuals!AD74</f>
        <v>0</v>
      </c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58">
        <f>'TIE-OUT'!L73+RECLASS!J73</f>
        <v>0</v>
      </c>
      <c r="G73" s="58">
        <f>'TIE-OUT'!M73+RECLASS!K73</f>
        <v>0</v>
      </c>
      <c r="H73" s="126">
        <f>+Actuals!E75</f>
        <v>0</v>
      </c>
      <c r="I73" s="127">
        <f>+Actuals!F75</f>
        <v>0</v>
      </c>
      <c r="J73" s="126">
        <f>+Actuals!G75</f>
        <v>0</v>
      </c>
      <c r="K73" s="145">
        <f>+Actuals!H75</f>
        <v>0</v>
      </c>
      <c r="L73" s="126">
        <f>+Actuals!I75</f>
        <v>0</v>
      </c>
      <c r="M73" s="127">
        <f>+Actuals!J75</f>
        <v>0</v>
      </c>
      <c r="N73" s="126">
        <f>+Actuals!K75</f>
        <v>0</v>
      </c>
      <c r="O73" s="127">
        <f>+Actuals!L75</f>
        <v>0</v>
      </c>
      <c r="P73" s="126">
        <f>+Actuals!M75</f>
        <v>0</v>
      </c>
      <c r="Q73" s="127">
        <f>+Actuals!N75</f>
        <v>0</v>
      </c>
      <c r="R73" s="126">
        <f>+Actuals!O75</f>
        <v>0</v>
      </c>
      <c r="S73" s="127">
        <f>+Actuals!P75</f>
        <v>0</v>
      </c>
      <c r="T73" s="126">
        <f>+Actuals!Q75</f>
        <v>0</v>
      </c>
      <c r="U73" s="127">
        <f>+Actuals!R75</f>
        <v>0</v>
      </c>
      <c r="V73" s="126">
        <f>+Actuals!S75</f>
        <v>0</v>
      </c>
      <c r="W73" s="127">
        <f>+Actuals!T75</f>
        <v>0</v>
      </c>
      <c r="X73" s="126">
        <f>+Actuals!U75</f>
        <v>0</v>
      </c>
      <c r="Y73" s="127">
        <f>+Actuals!V75</f>
        <v>0</v>
      </c>
      <c r="Z73" s="126">
        <f>+Actuals!W75</f>
        <v>0</v>
      </c>
      <c r="AA73" s="127">
        <f>+Actuals!X75</f>
        <v>0</v>
      </c>
      <c r="AB73" s="126">
        <f>+Actuals!Y75</f>
        <v>0</v>
      </c>
      <c r="AC73" s="127">
        <f>+Actuals!Z75</f>
        <v>0</v>
      </c>
      <c r="AD73" s="126">
        <f>+Actuals!AA75</f>
        <v>0</v>
      </c>
      <c r="AE73" s="127">
        <f>+Actuals!AB75</f>
        <v>0</v>
      </c>
      <c r="AF73" s="126">
        <f>+Actuals!AC75</f>
        <v>0</v>
      </c>
      <c r="AG73" s="127">
        <f>+Actuals!AD75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58">
        <f>'TIE-OUT'!L74+RECLASS!J74</f>
        <v>0</v>
      </c>
      <c r="G74" s="58">
        <f>'TIE-OUT'!M74+RECLASS!K74</f>
        <v>0</v>
      </c>
      <c r="H74" s="126">
        <f>+Actuals!E76</f>
        <v>0</v>
      </c>
      <c r="I74" s="127">
        <f>+Actuals!F76</f>
        <v>0</v>
      </c>
      <c r="J74" s="126">
        <f>+Actuals!G76</f>
        <v>0</v>
      </c>
      <c r="K74" s="145">
        <f>+Actuals!H76</f>
        <v>0</v>
      </c>
      <c r="L74" s="126">
        <f>+Actuals!I76</f>
        <v>0</v>
      </c>
      <c r="M74" s="127">
        <f>+Actuals!J76</f>
        <v>0</v>
      </c>
      <c r="N74" s="126">
        <f>+Actuals!K76</f>
        <v>0</v>
      </c>
      <c r="O74" s="127">
        <f>+Actuals!L76</f>
        <v>0</v>
      </c>
      <c r="P74" s="126">
        <f>+Actuals!M76</f>
        <v>0</v>
      </c>
      <c r="Q74" s="127">
        <f>+Actuals!N76</f>
        <v>0</v>
      </c>
      <c r="R74" s="126">
        <f>+Actuals!O76</f>
        <v>0</v>
      </c>
      <c r="S74" s="127">
        <f>+Actuals!P76</f>
        <v>0</v>
      </c>
      <c r="T74" s="126">
        <f>+Actuals!Q76</f>
        <v>0</v>
      </c>
      <c r="U74" s="127">
        <f>+Actuals!R76</f>
        <v>0</v>
      </c>
      <c r="V74" s="126">
        <f>+Actuals!S76</f>
        <v>0</v>
      </c>
      <c r="W74" s="127">
        <f>+Actuals!T76</f>
        <v>0</v>
      </c>
      <c r="X74" s="126">
        <f>+Actuals!U76</f>
        <v>0</v>
      </c>
      <c r="Y74" s="127">
        <f>+Actuals!V76</f>
        <v>0</v>
      </c>
      <c r="Z74" s="126">
        <f>+Actuals!W76</f>
        <v>0</v>
      </c>
      <c r="AA74" s="127">
        <f>+Actuals!X76</f>
        <v>0</v>
      </c>
      <c r="AB74" s="126">
        <f>+Actuals!Y76</f>
        <v>0</v>
      </c>
      <c r="AC74" s="127">
        <f>+Actuals!Z76</f>
        <v>0</v>
      </c>
      <c r="AD74" s="126">
        <f>+Actuals!AA76</f>
        <v>0</v>
      </c>
      <c r="AE74" s="127">
        <f>+Actuals!AB76</f>
        <v>0</v>
      </c>
      <c r="AF74" s="126">
        <f>+Actuals!AC76</f>
        <v>0</v>
      </c>
      <c r="AG74" s="127">
        <f>+Actuals!AD76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58">
        <f>'TIE-OUT'!L75+RECLASS!J75</f>
        <v>0</v>
      </c>
      <c r="G75" s="58">
        <f>'TIE-OUT'!M75+RECLASS!K75</f>
        <v>0</v>
      </c>
      <c r="H75" s="126">
        <f>+Actuals!E77</f>
        <v>0</v>
      </c>
      <c r="I75" s="127">
        <f>+Actuals!F77</f>
        <v>0</v>
      </c>
      <c r="J75" s="126">
        <f>+Actuals!G77</f>
        <v>0</v>
      </c>
      <c r="K75" s="145">
        <f>+Actuals!H77</f>
        <v>0</v>
      </c>
      <c r="L75" s="126">
        <f>+Actuals!I77</f>
        <v>0</v>
      </c>
      <c r="M75" s="127">
        <f>+Actuals!J77</f>
        <v>0</v>
      </c>
      <c r="N75" s="126">
        <f>+Actuals!K77</f>
        <v>0</v>
      </c>
      <c r="O75" s="127">
        <f>+Actuals!L77</f>
        <v>0</v>
      </c>
      <c r="P75" s="126">
        <f>+Actuals!M77</f>
        <v>0</v>
      </c>
      <c r="Q75" s="127">
        <f>+Actuals!N77</f>
        <v>0</v>
      </c>
      <c r="R75" s="126">
        <f>+Actuals!O77</f>
        <v>0</v>
      </c>
      <c r="S75" s="127">
        <f>+Actuals!P77</f>
        <v>0</v>
      </c>
      <c r="T75" s="126">
        <f>+Actuals!Q77</f>
        <v>0</v>
      </c>
      <c r="U75" s="127">
        <f>+Actuals!R77</f>
        <v>0</v>
      </c>
      <c r="V75" s="126">
        <f>+Actuals!S77</f>
        <v>0</v>
      </c>
      <c r="W75" s="127">
        <f>+Actuals!T77</f>
        <v>0</v>
      </c>
      <c r="X75" s="126">
        <f>+Actuals!U77</f>
        <v>0</v>
      </c>
      <c r="Y75" s="127">
        <f>+Actuals!V77</f>
        <v>0</v>
      </c>
      <c r="Z75" s="126">
        <f>+Actuals!W77</f>
        <v>0</v>
      </c>
      <c r="AA75" s="127">
        <f>+Actuals!X77</f>
        <v>0</v>
      </c>
      <c r="AB75" s="126">
        <f>+Actuals!Y77</f>
        <v>0</v>
      </c>
      <c r="AC75" s="127">
        <f>+Actuals!Z77</f>
        <v>0</v>
      </c>
      <c r="AD75" s="126">
        <f>+Actuals!AA77</f>
        <v>0</v>
      </c>
      <c r="AE75" s="127">
        <f>+Actuals!AB77</f>
        <v>0</v>
      </c>
      <c r="AF75" s="126">
        <f>+Actuals!AC77</f>
        <v>0</v>
      </c>
      <c r="AG75" s="127">
        <f>+Actuals!AD77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58">
        <f>'TIE-OUT'!L76+RECLASS!J76</f>
        <v>0</v>
      </c>
      <c r="G76" s="58">
        <f>'TIE-OUT'!M76+RECLASS!K76</f>
        <v>0</v>
      </c>
      <c r="H76" s="126">
        <f>+Actuals!E78</f>
        <v>0</v>
      </c>
      <c r="I76" s="127">
        <f>+Actuals!F78</f>
        <v>0</v>
      </c>
      <c r="J76" s="126">
        <f>+Actuals!G78</f>
        <v>0</v>
      </c>
      <c r="K76" s="145">
        <f>+Actuals!H78</f>
        <v>0</v>
      </c>
      <c r="L76" s="126">
        <f>+Actuals!I78</f>
        <v>0</v>
      </c>
      <c r="M76" s="127">
        <f>+Actuals!J78</f>
        <v>0</v>
      </c>
      <c r="N76" s="126">
        <f>+Actuals!K78</f>
        <v>0</v>
      </c>
      <c r="O76" s="127">
        <f>+Actuals!L78</f>
        <v>0</v>
      </c>
      <c r="P76" s="126">
        <f>+Actuals!M78</f>
        <v>0</v>
      </c>
      <c r="Q76" s="127">
        <f>+Actuals!N78</f>
        <v>0</v>
      </c>
      <c r="R76" s="126">
        <f>+Actuals!O78</f>
        <v>0</v>
      </c>
      <c r="S76" s="127">
        <f>+Actuals!P78</f>
        <v>0</v>
      </c>
      <c r="T76" s="126">
        <f>+Actuals!Q78</f>
        <v>0</v>
      </c>
      <c r="U76" s="127">
        <f>+Actuals!R78</f>
        <v>0</v>
      </c>
      <c r="V76" s="126">
        <f>+Actuals!S78</f>
        <v>0</v>
      </c>
      <c r="W76" s="127">
        <f>+Actuals!T78</f>
        <v>0</v>
      </c>
      <c r="X76" s="126">
        <f>+Actuals!U78</f>
        <v>0</v>
      </c>
      <c r="Y76" s="127">
        <f>+Actuals!V78</f>
        <v>0</v>
      </c>
      <c r="Z76" s="126">
        <f>+Actuals!W78</f>
        <v>0</v>
      </c>
      <c r="AA76" s="127">
        <f>+Actuals!X78</f>
        <v>0</v>
      </c>
      <c r="AB76" s="126">
        <f>+Actuals!Y78</f>
        <v>0</v>
      </c>
      <c r="AC76" s="127">
        <f>+Actuals!Z78</f>
        <v>0</v>
      </c>
      <c r="AD76" s="126">
        <f>+Actuals!AA78</f>
        <v>0</v>
      </c>
      <c r="AE76" s="127">
        <f>+Actuals!AB78</f>
        <v>0</v>
      </c>
      <c r="AF76" s="126">
        <f>+Actuals!AC78</f>
        <v>0</v>
      </c>
      <c r="AG76" s="127">
        <f>+Actuals!AD78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58">
        <f>'TIE-OUT'!L77+RECLASS!J77</f>
        <v>0</v>
      </c>
      <c r="G77" s="58">
        <f>'TIE-OUT'!M77+RECLASS!K77</f>
        <v>0</v>
      </c>
      <c r="H77" s="126">
        <f>+Actuals!E79</f>
        <v>0</v>
      </c>
      <c r="I77" s="127">
        <f>+Actuals!F79</f>
        <v>0</v>
      </c>
      <c r="J77" s="126">
        <f>+Actuals!G79</f>
        <v>0</v>
      </c>
      <c r="K77" s="145">
        <f>+Actuals!H79</f>
        <v>0</v>
      </c>
      <c r="L77" s="126">
        <f>+Actuals!I79</f>
        <v>0</v>
      </c>
      <c r="M77" s="127">
        <f>+Actuals!J79</f>
        <v>0</v>
      </c>
      <c r="N77" s="126">
        <f>+Actuals!K79</f>
        <v>0</v>
      </c>
      <c r="O77" s="127">
        <f>+Actuals!L79</f>
        <v>0</v>
      </c>
      <c r="P77" s="126">
        <f>+Actuals!M79</f>
        <v>0</v>
      </c>
      <c r="Q77" s="127">
        <f>+Actuals!N79</f>
        <v>0</v>
      </c>
      <c r="R77" s="126">
        <f>+Actuals!O79</f>
        <v>0</v>
      </c>
      <c r="S77" s="127">
        <f>+Actuals!P79</f>
        <v>0</v>
      </c>
      <c r="T77" s="126">
        <f>+Actuals!Q79</f>
        <v>0</v>
      </c>
      <c r="U77" s="127">
        <f>+Actuals!R79</f>
        <v>0</v>
      </c>
      <c r="V77" s="126">
        <f>+Actuals!S79</f>
        <v>0</v>
      </c>
      <c r="W77" s="127">
        <f>+Actuals!T79</f>
        <v>0</v>
      </c>
      <c r="X77" s="126">
        <f>+Actuals!U79</f>
        <v>0</v>
      </c>
      <c r="Y77" s="127">
        <f>+Actuals!V79</f>
        <v>0</v>
      </c>
      <c r="Z77" s="126">
        <f>+Actuals!W79</f>
        <v>0</v>
      </c>
      <c r="AA77" s="127">
        <f>+Actuals!X79</f>
        <v>0</v>
      </c>
      <c r="AB77" s="126">
        <f>+Actuals!Y79</f>
        <v>0</v>
      </c>
      <c r="AC77" s="127">
        <f>+Actuals!Z79</f>
        <v>0</v>
      </c>
      <c r="AD77" s="126">
        <f>+Actuals!AA79</f>
        <v>0</v>
      </c>
      <c r="AE77" s="127">
        <f>+Actuals!AB79</f>
        <v>0</v>
      </c>
      <c r="AF77" s="126">
        <f>+Actuals!AC79</f>
        <v>0</v>
      </c>
      <c r="AG77" s="127">
        <f>+Actuals!AD79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58">
        <f>'TIE-OUT'!L78+RECLASS!J78</f>
        <v>0</v>
      </c>
      <c r="G78" s="58">
        <f>'TIE-OUT'!M78+RECLASS!K78</f>
        <v>0</v>
      </c>
      <c r="H78" s="126">
        <f>+Actuals!E80</f>
        <v>0</v>
      </c>
      <c r="I78" s="127">
        <f>+Actuals!F80</f>
        <v>0</v>
      </c>
      <c r="J78" s="126">
        <f>+Actuals!G80</f>
        <v>0</v>
      </c>
      <c r="K78" s="145">
        <f>+Actuals!H80</f>
        <v>0</v>
      </c>
      <c r="L78" s="126">
        <f>+Actuals!I80</f>
        <v>0</v>
      </c>
      <c r="M78" s="127">
        <f>+Actuals!J80</f>
        <v>0</v>
      </c>
      <c r="N78" s="126">
        <f>+Actuals!K80</f>
        <v>0</v>
      </c>
      <c r="O78" s="127">
        <f>+Actuals!L80</f>
        <v>0</v>
      </c>
      <c r="P78" s="126">
        <f>+Actuals!M80</f>
        <v>0</v>
      </c>
      <c r="Q78" s="127">
        <f>+Actuals!N80</f>
        <v>0</v>
      </c>
      <c r="R78" s="126">
        <f>+Actuals!O80</f>
        <v>0</v>
      </c>
      <c r="S78" s="127">
        <f>+Actuals!P80</f>
        <v>0</v>
      </c>
      <c r="T78" s="126">
        <f>+Actuals!Q80</f>
        <v>0</v>
      </c>
      <c r="U78" s="127">
        <f>+Actuals!R80</f>
        <v>0</v>
      </c>
      <c r="V78" s="126">
        <f>+Actuals!S80</f>
        <v>0</v>
      </c>
      <c r="W78" s="127">
        <f>+Actuals!T80</f>
        <v>0</v>
      </c>
      <c r="X78" s="126">
        <f>+Actuals!U80</f>
        <v>0</v>
      </c>
      <c r="Y78" s="127">
        <f>+Actuals!V80</f>
        <v>0</v>
      </c>
      <c r="Z78" s="126">
        <f>+Actuals!W80</f>
        <v>0</v>
      </c>
      <c r="AA78" s="127">
        <f>+Actuals!X80</f>
        <v>0</v>
      </c>
      <c r="AB78" s="126">
        <f>+Actuals!Y80</f>
        <v>0</v>
      </c>
      <c r="AC78" s="127">
        <f>+Actuals!Z80</f>
        <v>0</v>
      </c>
      <c r="AD78" s="126">
        <f>+Actuals!AA80</f>
        <v>0</v>
      </c>
      <c r="AE78" s="127">
        <f>+Actuals!AB80</f>
        <v>0</v>
      </c>
      <c r="AF78" s="126">
        <f>+Actuals!AC80</f>
        <v>0</v>
      </c>
      <c r="AG78" s="127">
        <f>+Actuals!AD80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58">
        <f>'TIE-OUT'!L79+RECLASS!J79</f>
        <v>0</v>
      </c>
      <c r="G79" s="58">
        <f>'TIE-OUT'!M79+RECLASS!K79</f>
        <v>0</v>
      </c>
      <c r="H79" s="126">
        <f>+Actuals!E81</f>
        <v>0</v>
      </c>
      <c r="I79" s="127">
        <f>+Actuals!F81</f>
        <v>0</v>
      </c>
      <c r="J79" s="126">
        <f>+Actuals!G81</f>
        <v>0</v>
      </c>
      <c r="K79" s="145">
        <f>+Actuals!H81</f>
        <v>0</v>
      </c>
      <c r="L79" s="126">
        <f>+Actuals!I81</f>
        <v>0</v>
      </c>
      <c r="M79" s="127">
        <f>+Actuals!J81</f>
        <v>0</v>
      </c>
      <c r="N79" s="126">
        <f>+Actuals!K81</f>
        <v>0</v>
      </c>
      <c r="O79" s="127">
        <f>+Actuals!L81</f>
        <v>0</v>
      </c>
      <c r="P79" s="126">
        <f>+Actuals!M81</f>
        <v>0</v>
      </c>
      <c r="Q79" s="127">
        <f>+Actuals!N81</f>
        <v>0</v>
      </c>
      <c r="R79" s="126">
        <f>+Actuals!O81</f>
        <v>0</v>
      </c>
      <c r="S79" s="127">
        <f>+Actuals!P81</f>
        <v>0</v>
      </c>
      <c r="T79" s="126">
        <f>+Actuals!Q81</f>
        <v>0</v>
      </c>
      <c r="U79" s="127">
        <f>+Actuals!R81</f>
        <v>0</v>
      </c>
      <c r="V79" s="126">
        <f>+Actuals!S81</f>
        <v>0</v>
      </c>
      <c r="W79" s="127">
        <f>+Actuals!T81</f>
        <v>0</v>
      </c>
      <c r="X79" s="126">
        <f>+Actuals!U81</f>
        <v>0</v>
      </c>
      <c r="Y79" s="127">
        <f>+Actuals!V81</f>
        <v>0</v>
      </c>
      <c r="Z79" s="126">
        <f>+Actuals!W81</f>
        <v>0</v>
      </c>
      <c r="AA79" s="127">
        <f>+Actuals!X81</f>
        <v>0</v>
      </c>
      <c r="AB79" s="126">
        <f>+Actuals!Y81</f>
        <v>0</v>
      </c>
      <c r="AC79" s="127">
        <f>+Actuals!Z81</f>
        <v>0</v>
      </c>
      <c r="AD79" s="126">
        <f>+Actuals!AA81</f>
        <v>0</v>
      </c>
      <c r="AE79" s="127">
        <f>+Actuals!AB81</f>
        <v>0</v>
      </c>
      <c r="AF79" s="126">
        <f>+Actuals!AC81</f>
        <v>0</v>
      </c>
      <c r="AG79" s="127">
        <f>+Actuals!AD81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58">
        <f>'TIE-OUT'!L80+RECLASS!J80</f>
        <v>0</v>
      </c>
      <c r="G80" s="58">
        <f>'TIE-OUT'!M80+RECLASS!K80</f>
        <v>0</v>
      </c>
      <c r="H80" s="126">
        <f>+Actuals!E82</f>
        <v>0</v>
      </c>
      <c r="I80" s="127">
        <f>+Actuals!F82</f>
        <v>0</v>
      </c>
      <c r="J80" s="126">
        <f>+Actuals!G82</f>
        <v>0</v>
      </c>
      <c r="K80" s="145">
        <f>+Actuals!H82</f>
        <v>0</v>
      </c>
      <c r="L80" s="126">
        <f>+Actuals!I82</f>
        <v>0</v>
      </c>
      <c r="M80" s="127">
        <f>+Actuals!J82</f>
        <v>0</v>
      </c>
      <c r="N80" s="126">
        <f>+Actuals!K82</f>
        <v>0</v>
      </c>
      <c r="O80" s="127">
        <f>+Actuals!L82</f>
        <v>0</v>
      </c>
      <c r="P80" s="126">
        <f>+Actuals!M82</f>
        <v>0</v>
      </c>
      <c r="Q80" s="127">
        <f>+Actuals!N82</f>
        <v>0</v>
      </c>
      <c r="R80" s="126">
        <f>+Actuals!O82</f>
        <v>0</v>
      </c>
      <c r="S80" s="127">
        <f>+Actuals!P82</f>
        <v>0</v>
      </c>
      <c r="T80" s="126">
        <f>+Actuals!Q82</f>
        <v>0</v>
      </c>
      <c r="U80" s="127">
        <f>+Actuals!R82</f>
        <v>0</v>
      </c>
      <c r="V80" s="126">
        <f>+Actuals!S82</f>
        <v>0</v>
      </c>
      <c r="W80" s="127">
        <f>+Actuals!T82</f>
        <v>0</v>
      </c>
      <c r="X80" s="126">
        <f>+Actuals!U82</f>
        <v>0</v>
      </c>
      <c r="Y80" s="127">
        <f>+Actuals!V82</f>
        <v>0</v>
      </c>
      <c r="Z80" s="126">
        <f>+Actuals!W82</f>
        <v>0</v>
      </c>
      <c r="AA80" s="127">
        <f>+Actuals!X82</f>
        <v>0</v>
      </c>
      <c r="AB80" s="126">
        <f>+Actuals!Y82</f>
        <v>0</v>
      </c>
      <c r="AC80" s="127">
        <f>+Actuals!Z82</f>
        <v>0</v>
      </c>
      <c r="AD80" s="126">
        <f>+Actuals!AA82</f>
        <v>0</v>
      </c>
      <c r="AE80" s="127">
        <f>+Actuals!AB82</f>
        <v>0</v>
      </c>
      <c r="AF80" s="126">
        <f>+Actuals!AC82</f>
        <v>0</v>
      </c>
      <c r="AG80" s="127">
        <f>+Actuals!AD82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5"/>
        <v>0</v>
      </c>
      <c r="F81" s="58">
        <f>'TIE-OUT'!L81+RECLASS!J81</f>
        <v>0</v>
      </c>
      <c r="G81" s="58">
        <f>'TIE-OUT'!M81+RECLASS!K81</f>
        <v>0</v>
      </c>
      <c r="H81" s="126">
        <f>+Actuals!E83</f>
        <v>0</v>
      </c>
      <c r="I81" s="127">
        <f>+Actuals!F83</f>
        <v>0</v>
      </c>
      <c r="J81" s="126">
        <f>+Actuals!G83-50000</f>
        <v>-50000</v>
      </c>
      <c r="K81" s="145">
        <v>0</v>
      </c>
      <c r="L81" s="126">
        <f>+Actuals!I83</f>
        <v>0</v>
      </c>
      <c r="M81" s="127">
        <f>+Actuals!J83</f>
        <v>0</v>
      </c>
      <c r="N81" s="126">
        <f>+Actuals!K83</f>
        <v>0</v>
      </c>
      <c r="O81" s="127">
        <f>+Actuals!L83</f>
        <v>0</v>
      </c>
      <c r="P81" s="126">
        <f>+Actuals!M83</f>
        <v>0</v>
      </c>
      <c r="Q81" s="127">
        <f>+Actuals!N83</f>
        <v>0</v>
      </c>
      <c r="R81" s="126">
        <f>+Actuals!O83</f>
        <v>0</v>
      </c>
      <c r="S81" s="127">
        <f>+Actuals!P83</f>
        <v>0</v>
      </c>
      <c r="T81" s="126">
        <f>+Actuals!Q83</f>
        <v>0</v>
      </c>
      <c r="U81" s="127">
        <f>+Actuals!R83</f>
        <v>0</v>
      </c>
      <c r="V81" s="126">
        <f>+Actuals!S83</f>
        <v>0</v>
      </c>
      <c r="W81" s="127">
        <f>+Actuals!T83</f>
        <v>0</v>
      </c>
      <c r="X81" s="126">
        <f>+Actuals!U83</f>
        <v>0</v>
      </c>
      <c r="Y81" s="127">
        <f>+Actuals!V83</f>
        <v>0</v>
      </c>
      <c r="Z81" s="126">
        <f>+Actuals!W83</f>
        <v>0</v>
      </c>
      <c r="AA81" s="127">
        <f>+Actuals!X83</f>
        <v>0</v>
      </c>
      <c r="AB81" s="126">
        <f>+Actuals!Y83</f>
        <v>0</v>
      </c>
      <c r="AC81" s="127">
        <f>+Actuals!Z83</f>
        <v>0</v>
      </c>
      <c r="AD81" s="126">
        <f>+Actuals!AA83</f>
        <v>0</v>
      </c>
      <c r="AE81" s="127">
        <f>+Actuals!AB83</f>
        <v>0</v>
      </c>
      <c r="AF81" s="126">
        <f>+Actuals!AC83</f>
        <v>0</v>
      </c>
      <c r="AG81" s="127">
        <f>+Actuals!AD83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2249511.6039999942</v>
      </c>
      <c r="F82" s="91">
        <f>F16+F24+F29+F36+F43+F45+F47+F49</f>
        <v>0</v>
      </c>
      <c r="G82" s="92">
        <f>SUM(G72:G81)+G16+G24+G29+G36+G43+G45+G47+G49+G51+G56+G61+G66</f>
        <v>316339.43</v>
      </c>
      <c r="H82" s="91">
        <f>H16+H24+H29+H36+H43+H45+H47+H49</f>
        <v>0</v>
      </c>
      <c r="I82" s="92">
        <f>SUM(I72:I81)+I16+I24+I29+I36+I43+I45+I47+I49+I51+I56+I61+I66</f>
        <v>1974892.2699999977</v>
      </c>
      <c r="J82" s="91">
        <f>J16+J24+J29+J36+J43+J45+J47+J49</f>
        <v>0</v>
      </c>
      <c r="K82" s="110">
        <f>SUM(K72:K81)+K16+K24+K29+K36+K43+K45+K47+K49+K51+K56+K61+K66</f>
        <v>-31266.296000000119</v>
      </c>
      <c r="L82" s="91">
        <f>L16+L24+L29+L36+L43+L45+L47+L49</f>
        <v>0</v>
      </c>
      <c r="M82" s="92">
        <f>SUM(M72:M81)+M16+M24+M29+M36+M43+M45+M47+M49+M51+M56+M61+M66</f>
        <v>-1259.9420000000391</v>
      </c>
      <c r="N82" s="91">
        <f>N16+N24+N29+N36+N43+N45+N47+N49</f>
        <v>0</v>
      </c>
      <c r="O82" s="92">
        <f>SUM(O72:O81)+O16+O24+O29+O36+O43+O45+O47+O49+O51+O56+O61+O66</f>
        <v>1887.5819999999294</v>
      </c>
      <c r="P82" s="91">
        <f>P16+P24+P29+P36+P43+P45+P47+P49</f>
        <v>0</v>
      </c>
      <c r="Q82" s="92">
        <f>SUM(Q72:Q81)+Q16+Q24+Q29+Q36+Q43+Q45+Q47+Q49+Q51+Q56+Q61+Q66</f>
        <v>-1697.2119999999284</v>
      </c>
      <c r="R82" s="91">
        <f>R16+R24+R29+R36+R43+R45+R47+R49</f>
        <v>0</v>
      </c>
      <c r="S82" s="92">
        <f>SUM(S72:S81)+S16+S24+S29+S36+S43+S45+S47+S49+S51+S56+S61+S66</f>
        <v>-1932.9900000000016</v>
      </c>
      <c r="T82" s="91">
        <f>T16+T24+T29+T36+T43+T45+T47+T49</f>
        <v>0</v>
      </c>
      <c r="U82" s="92">
        <f>SUM(U72:U81)+U16+U24+U29+U36+U43+U45+U47+U49+U51+U56+U61+U66</f>
        <v>-2013.6680000000015</v>
      </c>
      <c r="V82" s="91">
        <f>V16+V24+V29+V36+V43+V45+V47+V49</f>
        <v>0</v>
      </c>
      <c r="W82" s="92">
        <f>SUM(W72:W81)+W16+W24+W29+W36+W43+W45+W47+W49+W51+W56+W61+W66</f>
        <v>-7274.6940000000004</v>
      </c>
      <c r="X82" s="91">
        <f>X16+X24+X29+X36+X43+X45+X47+X49</f>
        <v>0</v>
      </c>
      <c r="Y82" s="92">
        <f>SUM(Y72:Y81)+Y16+Y24+Y29+Y36+Y43+Y45+Y47+Y49+Y51+Y56+Y61+Y66</f>
        <v>1837.1239999999998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8" thickTop="1" x14ac:dyDescent="0.25">
      <c r="A83" s="4"/>
      <c r="B83" s="3"/>
    </row>
    <row r="84" spans="1:33" x14ac:dyDescent="0.25">
      <c r="A84" s="4"/>
      <c r="B84" s="3"/>
      <c r="I84" s="45"/>
      <c r="K84" s="147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Q187"/>
  <sheetViews>
    <sheetView zoomScale="75" workbookViewId="0">
      <pane xSplit="3" ySplit="9" topLeftCell="L7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96762204</v>
      </c>
      <c r="E11" s="38">
        <f t="shared" si="0"/>
        <v>280582438.10000002</v>
      </c>
      <c r="F11" s="60">
        <f>('TIE-OUT'!L11+'TIE-OUT'!J11)+(RECLASS!J11+RECLASS!H11)</f>
        <v>0</v>
      </c>
      <c r="G11" s="38">
        <f>('TIE-OUT'!M11+'TIE-OUT'!K11)+(RECLASS!K11+RECLASS!I11)</f>
        <v>1375251</v>
      </c>
      <c r="H11" s="60">
        <f>'EAST-EGM-GL'!H11+'EAST-LRC-GL'!H11</f>
        <v>92097223</v>
      </c>
      <c r="I11" s="38">
        <f>'EAST-EGM-GL'!I11+'EAST-LRC-GL'!I11</f>
        <v>278861477.86000001</v>
      </c>
      <c r="J11" s="60">
        <f>'EAST-EGM-GL'!J11+'EAST-LRC-GL'!J11</f>
        <v>2457019</v>
      </c>
      <c r="K11" s="38">
        <f>'EAST-EGM-GL'!K11+'EAST-LRC-GL'!K11</f>
        <v>-5952569.209999999</v>
      </c>
      <c r="L11" s="60">
        <f>'EAST-EGM-GL'!L11+'EAST-LRC-GL'!L11</f>
        <v>1310090</v>
      </c>
      <c r="M11" s="38">
        <f>'EAST-EGM-GL'!M11+'EAST-LRC-GL'!M11</f>
        <v>3726865.66</v>
      </c>
      <c r="N11" s="60">
        <f>'EAST-EGM-GL'!N11+'EAST-LRC-GL'!N11</f>
        <v>-196259</v>
      </c>
      <c r="O11" s="38">
        <f>'EAST-EGM-GL'!O11+'EAST-LRC-GL'!O11</f>
        <v>-920265.68</v>
      </c>
      <c r="P11" s="60">
        <f>'EAST-EGM-GL'!P11+'EAST-LRC-GL'!P11</f>
        <v>-1526195</v>
      </c>
      <c r="Q11" s="38">
        <f>'EAST-EGM-GL'!Q11+'EAST-LRC-GL'!Q11</f>
        <v>-4401717.43</v>
      </c>
      <c r="R11" s="60">
        <f>'EAST-EGM-GL'!R11+'EAST-LRC-GL'!R11</f>
        <v>5716</v>
      </c>
      <c r="S11" s="38">
        <f>'EAST-EGM-GL'!S11+'EAST-LRC-GL'!S11</f>
        <v>11176.329999999998</v>
      </c>
      <c r="T11" s="60">
        <f>'EAST-EGM-GL'!T11+'EAST-LRC-GL'!T11</f>
        <v>4103492</v>
      </c>
      <c r="U11" s="38">
        <f>'EAST-EGM-GL'!U11+'EAST-LRC-GL'!U11</f>
        <v>12012624.129999999</v>
      </c>
      <c r="V11" s="60">
        <f>'EAST-EGM-GL'!V11+'EAST-LRC-GL'!V11</f>
        <v>2664</v>
      </c>
      <c r="W11" s="38">
        <f>'EAST-EGM-GL'!W11+'EAST-LRC-GL'!W11</f>
        <v>7202.43</v>
      </c>
      <c r="X11" s="60">
        <f>'EAST-EGM-GL'!X11+'EAST-LRC-GL'!X11</f>
        <v>-409599</v>
      </c>
      <c r="Y11" s="38">
        <f>'EAST-EGM-GL'!Y11+'EAST-LRC-GL'!Y11</f>
        <v>-1188471.8700000001</v>
      </c>
      <c r="Z11" s="60">
        <f>'EAST-EGM-GL'!Z11+'EAST-LRC-GL'!Z11</f>
        <v>-1016299</v>
      </c>
      <c r="AA11" s="38">
        <f>'EAST-EGM-GL'!AA11+'EAST-LRC-GL'!AA11</f>
        <v>-2736700.2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-65648</v>
      </c>
      <c r="AE11" s="38">
        <f>'EAST-EGM-GL'!AE11+'EAST-LRC-GL'!AE11</f>
        <v>-212434.92</v>
      </c>
      <c r="AF11" s="60">
        <f>'EAST-EGM-GL'!AH11+'EAST-LRC-GL'!AH11</f>
        <v>0</v>
      </c>
      <c r="AG11" s="38">
        <f>'EAST-EGM-GL'!AI11+'EAST-LRC-GL'!AI11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118729.22</v>
      </c>
      <c r="F12" s="60">
        <f>('TIE-OUT'!L12+'TIE-OUT'!J12)+(RECLASS!J12+RECLASS!H12)</f>
        <v>0</v>
      </c>
      <c r="G12" s="38">
        <f>('TIE-OUT'!M12+'TIE-OUT'!K12)+(RECLASS!K12+RECLASS!I12)</f>
        <v>118729.22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32470494</v>
      </c>
      <c r="E13" s="38">
        <f t="shared" si="0"/>
        <v>85375026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32441679</v>
      </c>
      <c r="I13" s="38">
        <f>'EAST-EGM-GL'!I13+'EAST-LRC-GL'!I13</f>
        <v>85301401</v>
      </c>
      <c r="J13" s="60">
        <f>'EAST-EGM-GL'!J13+'EAST-LRC-GL'!J13</f>
        <v>6016737</v>
      </c>
      <c r="K13" s="38">
        <f>'EAST-EGM-GL'!K13+'EAST-LRC-GL'!K13</f>
        <v>16975670</v>
      </c>
      <c r="L13" s="60">
        <f>'EAST-EGM-GL'!L13+'EAST-LRC-GL'!L13</f>
        <v>6016737</v>
      </c>
      <c r="M13" s="38">
        <f>'EAST-EGM-GL'!M13+'EAST-LRC-GL'!M13</f>
        <v>16975670</v>
      </c>
      <c r="N13" s="60">
        <f>'EAST-EGM-GL'!N13+'EAST-LRC-GL'!N13</f>
        <v>-38458416</v>
      </c>
      <c r="O13" s="38">
        <f>'EAST-EGM-GL'!O13+'EAST-LRC-GL'!O13</f>
        <v>-102277071</v>
      </c>
      <c r="P13" s="60">
        <f>'EAST-EGM-GL'!P13+'EAST-LRC-GL'!P13</f>
        <v>44475153</v>
      </c>
      <c r="Q13" s="38">
        <f>'EAST-EGM-GL'!Q13+'EAST-LRC-GL'!Q13</f>
        <v>119252741</v>
      </c>
      <c r="R13" s="60">
        <f>'EAST-EGM-GL'!R13+'EAST-LRC-GL'!R13</f>
        <v>4</v>
      </c>
      <c r="S13" s="38">
        <f>'EAST-EGM-GL'!S13+'EAST-LRC-GL'!S13</f>
        <v>11</v>
      </c>
      <c r="T13" s="60">
        <f>'EAST-EGM-GL'!T13+'EAST-LRC-GL'!T13</f>
        <v>-44475153</v>
      </c>
      <c r="U13" s="38">
        <f>'EAST-EGM-GL'!U13+'EAST-LRC-GL'!U13</f>
        <v>-119252741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26453753</v>
      </c>
      <c r="AA13" s="38">
        <f>'EAST-EGM-GL'!AA13+'EAST-LRC-GL'!AA13</f>
        <v>68399345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1123363.0199999998</v>
      </c>
      <c r="F15" s="81">
        <f>('TIE-OUT'!L15+'TIE-OUT'!J15)+(RECLASS!J15+RECLASS!H15)</f>
        <v>0</v>
      </c>
      <c r="G15" s="82">
        <f>('TIE-OUT'!M15+'TIE-OUT'!K15)+(RECLASS!K15+RECLASS!I15)</f>
        <v>-588662</v>
      </c>
      <c r="H15" s="60">
        <f>'EAST-EGM-GL'!H15+'EAST-LRC-GL'!H15</f>
        <v>0</v>
      </c>
      <c r="I15" s="38">
        <f>'EAST-EGM-GL'!I15+'EAST-LRC-GL'!I15</f>
        <v>6628959.8700000001</v>
      </c>
      <c r="J15" s="60">
        <f>'EAST-EGM-GL'!J15+'EAST-LRC-GL'!J15</f>
        <v>0</v>
      </c>
      <c r="K15" s="38">
        <f>'EAST-EGM-GL'!K15+'EAST-LRC-GL'!K15</f>
        <v>-4931038.53</v>
      </c>
      <c r="L15" s="60">
        <f>'EAST-EGM-GL'!L15+'EAST-LRC-GL'!L15</f>
        <v>0</v>
      </c>
      <c r="M15" s="38">
        <f>'EAST-EGM-GL'!M15+'EAST-LRC-GL'!M15</f>
        <v>6000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6995.76</v>
      </c>
      <c r="T15" s="60">
        <f>'EAST-EGM-GL'!T15+'EAST-LRC-GL'!T15</f>
        <v>0</v>
      </c>
      <c r="U15" s="38">
        <f>'EAST-EGM-GL'!U15+'EAST-LRC-GL'!U15</f>
        <v>1875.46</v>
      </c>
      <c r="V15" s="60">
        <f>'EAST-EGM-GL'!V15+'EAST-LRC-GL'!V15</f>
        <v>0</v>
      </c>
      <c r="W15" s="38">
        <f>'EAST-EGM-GL'!W15+'EAST-LRC-GL'!W15</f>
        <v>-767.54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</row>
    <row r="16" spans="1:33" x14ac:dyDescent="0.25">
      <c r="A16" s="9"/>
      <c r="B16" s="7" t="s">
        <v>30</v>
      </c>
      <c r="C16" s="6"/>
      <c r="D16" s="61">
        <f>SUM(D11:D15)</f>
        <v>129232698</v>
      </c>
      <c r="E16" s="39">
        <f>SUM(E11:E15)</f>
        <v>367199556.34000003</v>
      </c>
      <c r="F16" s="61">
        <f t="shared" ref="F16:AD16" si="1">SUM(F11:F15)</f>
        <v>0</v>
      </c>
      <c r="G16" s="39">
        <f t="shared" si="1"/>
        <v>905318.22</v>
      </c>
      <c r="H16" s="61">
        <f t="shared" si="1"/>
        <v>124538902</v>
      </c>
      <c r="I16" s="39">
        <f t="shared" si="1"/>
        <v>370791838.73000002</v>
      </c>
      <c r="J16" s="61">
        <f t="shared" si="1"/>
        <v>8473756</v>
      </c>
      <c r="K16" s="39">
        <f t="shared" si="1"/>
        <v>6092062.2600000007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-103197336.68000001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5720</v>
      </c>
      <c r="S16" s="39">
        <f t="shared" si="2"/>
        <v>18183.089999999997</v>
      </c>
      <c r="T16" s="61">
        <f t="shared" si="2"/>
        <v>-40371661</v>
      </c>
      <c r="U16" s="39">
        <f t="shared" si="2"/>
        <v>-107238241.41000001</v>
      </c>
      <c r="V16" s="61">
        <f t="shared" si="2"/>
        <v>2664</v>
      </c>
      <c r="W16" s="39">
        <f t="shared" si="2"/>
        <v>6434.89</v>
      </c>
      <c r="X16" s="61">
        <f>SUM(X11:X15)</f>
        <v>-409599</v>
      </c>
      <c r="Y16" s="39">
        <f>SUM(Y11:Y15)</f>
        <v>-1188471.8700000001</v>
      </c>
      <c r="Z16" s="61">
        <f>SUM(Z11:Z15)</f>
        <v>25437454</v>
      </c>
      <c r="AA16" s="39">
        <f>SUM(AA11:AA15)</f>
        <v>65662644.799999997</v>
      </c>
      <c r="AB16" s="61">
        <f t="shared" si="1"/>
        <v>0</v>
      </c>
      <c r="AC16" s="39">
        <f t="shared" si="1"/>
        <v>0</v>
      </c>
      <c r="AD16" s="61">
        <f t="shared" si="1"/>
        <v>-65648</v>
      </c>
      <c r="AE16" s="39">
        <f>SUM(AE11:AE15)</f>
        <v>-212434.92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-98151383</v>
      </c>
      <c r="E19" s="38">
        <f t="shared" si="3"/>
        <v>-280712630.18000001</v>
      </c>
      <c r="F19" s="64">
        <f>('TIE-OUT'!L19+'TIE-OUT'!J19)+(RECLASS!J19+RECLASS!H19)</f>
        <v>0</v>
      </c>
      <c r="G19" s="68">
        <f>('TIE-OUT'!M19+'TIE-OUT'!K19)+(RECLASS!K19+RECLASS!I19)</f>
        <v>-848110</v>
      </c>
      <c r="H19" s="60">
        <f>'EAST-EGM-GL'!H19+'EAST-LRC-GL'!H19</f>
        <v>-93524410</v>
      </c>
      <c r="I19" s="38">
        <f>'EAST-EGM-GL'!I19+'EAST-LRC-GL'!I19</f>
        <v>-280093283.74000001</v>
      </c>
      <c r="J19" s="60">
        <f>'EAST-EGM-GL'!J19+'EAST-LRC-GL'!J19</f>
        <v>-2504960</v>
      </c>
      <c r="K19" s="38">
        <f>'EAST-EGM-GL'!K19+'EAST-LRC-GL'!K19</f>
        <v>6189285.2199999997</v>
      </c>
      <c r="L19" s="60">
        <f>'EAST-EGM-GL'!L19+'EAST-LRC-GL'!L19</f>
        <v>-3017535</v>
      </c>
      <c r="M19" s="38">
        <f>'EAST-EGM-GL'!M19+'EAST-LRC-GL'!M19</f>
        <v>-8596302.7699999996</v>
      </c>
      <c r="N19" s="60">
        <f>'EAST-EGM-GL'!N19+'EAST-LRC-GL'!N19</f>
        <v>877247</v>
      </c>
      <c r="O19" s="38">
        <f>'EAST-EGM-GL'!O19+'EAST-LRC-GL'!O19</f>
        <v>2573627.15</v>
      </c>
      <c r="P19" s="60">
        <f>'EAST-EGM-GL'!P19+'EAST-LRC-GL'!P19</f>
        <v>1661835</v>
      </c>
      <c r="Q19" s="38">
        <f>'EAST-EGM-GL'!Q19+'EAST-LRC-GL'!Q19</f>
        <v>4840330.3600000003</v>
      </c>
      <c r="R19" s="60">
        <f>'EAST-EGM-GL'!R19+'EAST-LRC-GL'!R19</f>
        <v>1320</v>
      </c>
      <c r="S19" s="38">
        <f>'EAST-EGM-GL'!S19+'EAST-LRC-GL'!S19</f>
        <v>-2306.13</v>
      </c>
      <c r="T19" s="60">
        <f>'EAST-EGM-GL'!T19+'EAST-LRC-GL'!T19</f>
        <v>-1746781</v>
      </c>
      <c r="U19" s="38">
        <f>'EAST-EGM-GL'!U19+'EAST-LRC-GL'!U19</f>
        <v>-5088261.6900000004</v>
      </c>
      <c r="V19" s="60">
        <f>'EAST-EGM-GL'!V19+'EAST-LRC-GL'!V19</f>
        <v>-3112</v>
      </c>
      <c r="W19" s="38">
        <f>'EAST-EGM-GL'!W19+'EAST-LRC-GL'!W19</f>
        <v>257.31</v>
      </c>
      <c r="X19" s="60">
        <f>'EAST-EGM-GL'!X19+'EAST-LRC-GL'!X19</f>
        <v>1960</v>
      </c>
      <c r="Y19" s="38">
        <f>'EAST-EGM-GL'!Y19+'EAST-LRC-GL'!Y19</f>
        <v>135558.64000000001</v>
      </c>
      <c r="Z19" s="60">
        <f>'EAST-EGM-GL'!Z19+'EAST-LRC-GL'!Z19</f>
        <v>57384</v>
      </c>
      <c r="AA19" s="38">
        <f>'EAST-EGM-GL'!AA19+'EAST-LRC-GL'!AA19</f>
        <v>30087.34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45669</v>
      </c>
      <c r="AE19" s="38">
        <f>'EAST-EGM-GL'!AE19+'EAST-LRC-GL'!AE19</f>
        <v>146488.13</v>
      </c>
      <c r="AF19" s="60">
        <f>'EAST-EGM-GL'!AH19+'EAST-LRC-GL'!AH19</f>
        <v>0</v>
      </c>
      <c r="AG19" s="38">
        <f>'EAST-EGM-GL'!AI19+'EAST-LRC-GL'!AI19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('TIE-OUT'!L20+'TIE-OUT'!J20)+(RECLASS!J20+RECLASS!H20)</f>
        <v>0</v>
      </c>
      <c r="G20" s="38">
        <f>('TIE-OUT'!M20+'TIE-OUT'!K20)+(RECLASS!K20+RECLASS!I20)</f>
        <v>-2813856.94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-105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-241869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-31868882</v>
      </c>
      <c r="E21" s="38">
        <f t="shared" si="3"/>
        <v>-83966339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-31868882</v>
      </c>
      <c r="I21" s="38">
        <f>'EAST-EGM-GL'!I21+'EAST-LRC-GL'!I21</f>
        <v>-83966339</v>
      </c>
      <c r="J21" s="60">
        <f>'EAST-EGM-GL'!J21+'EAST-LRC-GL'!J21</f>
        <v>-6016737</v>
      </c>
      <c r="K21" s="38">
        <f>'EAST-EGM-GL'!K21+'EAST-LRC-GL'!K21</f>
        <v>-16975670</v>
      </c>
      <c r="L21" s="60">
        <f>'EAST-EGM-GL'!L21+'EAST-LRC-GL'!L21</f>
        <v>-4468010</v>
      </c>
      <c r="M21" s="38">
        <f>'EAST-EGM-GL'!M21+'EAST-LRC-GL'!M21</f>
        <v>-12590031</v>
      </c>
      <c r="N21" s="60">
        <f>'EAST-EGM-GL'!N21+'EAST-LRC-GL'!N21</f>
        <v>37885812</v>
      </c>
      <c r="O21" s="38">
        <f>'EAST-EGM-GL'!O21+'EAST-LRC-GL'!O21</f>
        <v>100942542</v>
      </c>
      <c r="P21" s="60">
        <f>'EAST-EGM-GL'!P21+'EAST-LRC-GL'!P21</f>
        <v>-42353629</v>
      </c>
      <c r="Q21" s="38">
        <f>'EAST-EGM-GL'!Q21+'EAST-LRC-GL'!Q21</f>
        <v>-113532040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42353629</v>
      </c>
      <c r="U21" s="38">
        <f>'EAST-EGM-GL'!U21+'EAST-LRC-GL'!U21</f>
        <v>113532040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-27401065</v>
      </c>
      <c r="AA21" s="38">
        <f>'EAST-EGM-GL'!AA21+'EAST-LRC-GL'!AA21</f>
        <v>-71376841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184626</v>
      </c>
      <c r="E23" s="38">
        <f t="shared" si="3"/>
        <v>1557115.8979999998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820603</v>
      </c>
      <c r="I23" s="38">
        <f>'EAST-EGM-GL'!I23+'EAST-LRC-GL'!I23</f>
        <v>2378107.4939999999</v>
      </c>
      <c r="J23" s="60">
        <f>'EAST-EGM-GL'!J23+'EAST-LRC-GL'!J23</f>
        <v>-312083</v>
      </c>
      <c r="K23" s="38">
        <f>'EAST-EGM-GL'!K23+'EAST-LRC-GL'!K23</f>
        <v>-904630.77599999995</v>
      </c>
      <c r="L23" s="60">
        <f>'EAST-EGM-GL'!L23+'EAST-LRC-GL'!L23</f>
        <v>3560</v>
      </c>
      <c r="M23" s="38">
        <f>'EAST-EGM-GL'!M23+'EAST-LRC-GL'!M23</f>
        <v>10316.879999999999</v>
      </c>
      <c r="N23" s="60">
        <f>'EAST-EGM-GL'!N23+'EAST-LRC-GL'!N23</f>
        <v>11548</v>
      </c>
      <c r="O23" s="38">
        <f>'EAST-EGM-GL'!O23+'EAST-LRC-GL'!O23</f>
        <v>33466.103999999999</v>
      </c>
      <c r="P23" s="60">
        <f>'EAST-EGM-GL'!P23+'EAST-LRC-GL'!P23</f>
        <v>-771</v>
      </c>
      <c r="Q23" s="38">
        <f>'EAST-EGM-GL'!Q23+'EAST-LRC-GL'!Q23</f>
        <v>-2234.3580000000002</v>
      </c>
      <c r="R23" s="60">
        <f>'EAST-EGM-GL'!R23+'EAST-LRC-GL'!R23</f>
        <v>-352759</v>
      </c>
      <c r="S23" s="38">
        <f>'EAST-EGM-GL'!S23+'EAST-LRC-GL'!S23</f>
        <v>-11.592000000000001</v>
      </c>
      <c r="T23" s="60">
        <f>'EAST-EGM-GL'!T23+'EAST-LRC-GL'!T23</f>
        <v>2574</v>
      </c>
      <c r="U23" s="38">
        <f>'EAST-EGM-GL'!U23+'EAST-LRC-GL'!U23</f>
        <v>7459.4520000000002</v>
      </c>
      <c r="V23" s="60">
        <f>'EAST-EGM-GL'!V23+'EAST-LRC-GL'!V23</f>
        <v>-11</v>
      </c>
      <c r="W23" s="38">
        <f>'EAST-EGM-GL'!W23+'EAST-LRC-GL'!W23</f>
        <v>-31.878</v>
      </c>
      <c r="X23" s="60">
        <f>'EAST-EGM-GL'!X23+'EAST-LRC-GL'!X23</f>
        <v>9649</v>
      </c>
      <c r="Y23" s="38">
        <f>'EAST-EGM-GL'!Y23+'EAST-LRC-GL'!Y23</f>
        <v>27962.802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2316</v>
      </c>
      <c r="AE23" s="38">
        <f>'EAST-EGM-GL'!AE23+'EAST-LRC-GL'!AE23</f>
        <v>6711.77</v>
      </c>
      <c r="AF23" s="60">
        <f>'EAST-EGM-GL'!AH23+'EAST-LRC-GL'!AH23</f>
        <v>0</v>
      </c>
      <c r="AG23" s="38">
        <f>'EAST-EGM-GL'!AI23+'EAST-LRC-GL'!AI23</f>
        <v>0</v>
      </c>
    </row>
    <row r="24" spans="1:33" x14ac:dyDescent="0.25">
      <c r="A24" s="9"/>
      <c r="B24" s="7" t="s">
        <v>33</v>
      </c>
      <c r="C24" s="6"/>
      <c r="D24" s="61">
        <f>SUM(D19:D23)</f>
        <v>-129835639</v>
      </c>
      <c r="E24" s="39">
        <f>SUM(E19:E23)</f>
        <v>-366177684.222</v>
      </c>
      <c r="F24" s="61">
        <f t="shared" ref="F24:AD24" si="4">SUM(F19:F23)</f>
        <v>0</v>
      </c>
      <c r="G24" s="39">
        <f t="shared" si="4"/>
        <v>-3661966.94</v>
      </c>
      <c r="H24" s="61">
        <f t="shared" si="4"/>
        <v>-124572689</v>
      </c>
      <c r="I24" s="39">
        <f t="shared" si="4"/>
        <v>-361681515.24599999</v>
      </c>
      <c r="J24" s="61">
        <f t="shared" si="4"/>
        <v>-8833780</v>
      </c>
      <c r="K24" s="39">
        <f t="shared" si="4"/>
        <v>-11691120.556000002</v>
      </c>
      <c r="L24" s="61">
        <f t="shared" si="4"/>
        <v>-7481985</v>
      </c>
      <c r="M24" s="39">
        <f t="shared" si="4"/>
        <v>-21176016.890000001</v>
      </c>
      <c r="N24" s="61">
        <f t="shared" si="4"/>
        <v>38774607</v>
      </c>
      <c r="O24" s="39">
        <f t="shared" si="4"/>
        <v>103549635.25400001</v>
      </c>
      <c r="P24" s="61">
        <f t="shared" si="4"/>
        <v>-40692565</v>
      </c>
      <c r="Q24" s="39">
        <f t="shared" si="4"/>
        <v>-108935812.998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108451237.76200001</v>
      </c>
      <c r="V24" s="61">
        <f t="shared" si="5"/>
        <v>-3123</v>
      </c>
      <c r="W24" s="39">
        <f t="shared" si="5"/>
        <v>225.43200000000002</v>
      </c>
      <c r="X24" s="61">
        <f>SUM(X19:X23)</f>
        <v>11609</v>
      </c>
      <c r="Y24" s="39">
        <f>SUM(Y19:Y23)</f>
        <v>163521.44200000001</v>
      </c>
      <c r="Z24" s="61">
        <f>SUM(Z19:Z23)</f>
        <v>-27343681</v>
      </c>
      <c r="AA24" s="39">
        <f>SUM(AA19:AA23)</f>
        <v>-71346753.659999996</v>
      </c>
      <c r="AB24" s="61">
        <f t="shared" si="4"/>
        <v>0</v>
      </c>
      <c r="AC24" s="39">
        <f t="shared" si="4"/>
        <v>0</v>
      </c>
      <c r="AD24" s="61">
        <f t="shared" si="4"/>
        <v>47985</v>
      </c>
      <c r="AE24" s="39">
        <f>SUM(AE19:AE23)</f>
        <v>153199.9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10851693</v>
      </c>
      <c r="E27" s="38">
        <f>SUM(G27,I27,K27,M27,O27,Q27,S27,U27,W27,Y27,AA27,AC27,AE27,AG27)</f>
        <v>27797189.539999999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11405823</v>
      </c>
      <c r="I27" s="38">
        <f>'EAST-EGM-GL'!I27+'EAST-LRC-GL'!I27</f>
        <v>29349160.77</v>
      </c>
      <c r="J27" s="60">
        <f>'EAST-EGM-GL'!J27+'EAST-LRC-GL'!J27</f>
        <v>-509902</v>
      </c>
      <c r="K27" s="38">
        <f>'EAST-EGM-GL'!K27+'EAST-LRC-GL'!K27</f>
        <v>-1436231.33</v>
      </c>
      <c r="L27" s="60">
        <f>'EAST-EGM-GL'!L27+'EAST-LRC-GL'!L27</f>
        <v>-50001</v>
      </c>
      <c r="M27" s="38">
        <f>'EAST-EGM-GL'!M27+'EAST-LRC-GL'!M27</f>
        <v>-130877.03</v>
      </c>
      <c r="N27" s="60">
        <f>'EAST-EGM-GL'!N27+'EAST-LRC-GL'!N27</f>
        <v>201928</v>
      </c>
      <c r="O27" s="38">
        <f>'EAST-EGM-GL'!O27+'EAST-LRC-GL'!O27</f>
        <v>583208.21</v>
      </c>
      <c r="P27" s="60">
        <f>'EAST-EGM-GL'!P27+'EAST-LRC-GL'!P27</f>
        <v>-196160</v>
      </c>
      <c r="Q27" s="38">
        <f>'EAST-EGM-GL'!Q27+'EAST-LRC-GL'!Q27</f>
        <v>-568079.35999999999</v>
      </c>
      <c r="R27" s="60">
        <f>'EAST-EGM-GL'!R27+'EAST-LRC-GL'!R27</f>
        <v>0</v>
      </c>
      <c r="S27" s="38">
        <f>'EAST-EGM-GL'!S27+'EAST-LRC-GL'!S27</f>
        <v>0.21</v>
      </c>
      <c r="T27" s="60">
        <f>'EAST-EGM-GL'!T27+'EAST-LRC-GL'!T27</f>
        <v>-18</v>
      </c>
      <c r="U27" s="38">
        <f>'EAST-EGM-GL'!U27+'EAST-LRC-GL'!U27</f>
        <v>-51.75</v>
      </c>
      <c r="V27" s="60">
        <f>'EAST-EGM-GL'!V27+'EAST-LRC-GL'!V27</f>
        <v>18</v>
      </c>
      <c r="W27" s="38">
        <f>'EAST-EGM-GL'!W27+'EAST-LRC-GL'!W27</f>
        <v>47.19</v>
      </c>
      <c r="X27" s="60">
        <f>'EAST-EGM-GL'!X27+'EAST-LRC-GL'!X27</f>
        <v>5</v>
      </c>
      <c r="Y27" s="38">
        <f>'EAST-EGM-GL'!Y27+'EAST-LRC-GL'!Y27</f>
        <v>12.63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'EAST-EGM-GL'!AH27+'EAST-LRC-GL'!AH27</f>
        <v>0</v>
      </c>
      <c r="AG27" s="38">
        <f>'EAST-EGM-GL'!AI27+'EAST-LRC-GL'!AI27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-10571133</v>
      </c>
      <c r="E28" s="38">
        <f>SUM(G28,I28,K28,M28,O28,Q28,S28,U28,W28,Y28,AA28,AC28,AE28,AG28)</f>
        <v>-27063430.450000007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-11215812</v>
      </c>
      <c r="I28" s="38">
        <f>'EAST-EGM-GL'!I28+'EAST-LRC-GL'!I28</f>
        <v>-28841349.450000003</v>
      </c>
      <c r="J28" s="60">
        <f>'EAST-EGM-GL'!J28+'EAST-LRC-GL'!J28</f>
        <v>585632</v>
      </c>
      <c r="K28" s="38">
        <f>'EAST-EGM-GL'!K28+'EAST-LRC-GL'!K28</f>
        <v>1629954.8900000001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-205757</v>
      </c>
      <c r="O28" s="38">
        <f>'EAST-EGM-GL'!O28+'EAST-LRC-GL'!O28</f>
        <v>-593048.66</v>
      </c>
      <c r="P28" s="60">
        <f>'EAST-EGM-GL'!P28+'EAST-LRC-GL'!P28</f>
        <v>199989</v>
      </c>
      <c r="Q28" s="38">
        <f>'EAST-EGM-GL'!Q28+'EAST-LRC-GL'!Q28</f>
        <v>577919.81000000006</v>
      </c>
      <c r="R28" s="60">
        <f>'EAST-EGM-GL'!R28+'EAST-LRC-GL'!R28</f>
        <v>0</v>
      </c>
      <c r="S28" s="38">
        <f>'EAST-EGM-GL'!S28+'EAST-LRC-GL'!S28</f>
        <v>-0.21</v>
      </c>
      <c r="T28" s="60">
        <f>'EAST-EGM-GL'!T28+'EAST-LRC-GL'!T28</f>
        <v>-2765</v>
      </c>
      <c r="U28" s="38">
        <f>'EAST-EGM-GL'!U28+'EAST-LRC-GL'!U28</f>
        <v>-7048.98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2747</v>
      </c>
      <c r="Y28" s="38">
        <f>'EAST-EGM-GL'!Y28+'EAST-LRC-GL'!Y28</f>
        <v>9799.7900000000009</v>
      </c>
      <c r="Z28" s="60">
        <f>'EAST-EGM-GL'!Z28+'EAST-LRC-GL'!Z28</f>
        <v>64833</v>
      </c>
      <c r="AA28" s="38">
        <f>'EAST-EGM-GL'!AA28+'EAST-LRC-GL'!AA28</f>
        <v>160342.35999999999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'EAST-EGM-GL'!AH28+'EAST-LRC-GL'!AH28</f>
        <v>0</v>
      </c>
      <c r="AG28" s="38">
        <f>'EAST-EGM-GL'!AI28+'EAST-LRC-GL'!AI28</f>
        <v>0</v>
      </c>
    </row>
    <row r="29" spans="1:33" x14ac:dyDescent="0.25">
      <c r="A29" s="9"/>
      <c r="B29" s="7" t="s">
        <v>37</v>
      </c>
      <c r="C29" s="18"/>
      <c r="D29" s="61">
        <f>SUM(D27:D28)</f>
        <v>280560</v>
      </c>
      <c r="E29" s="39">
        <f>SUM(E27:E28)</f>
        <v>733759.0899999924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190011</v>
      </c>
      <c r="I29" s="39">
        <f t="shared" si="6"/>
        <v>507811.31999999657</v>
      </c>
      <c r="J29" s="61">
        <f t="shared" si="6"/>
        <v>75730</v>
      </c>
      <c r="K29" s="39">
        <f t="shared" si="6"/>
        <v>193723.56000000006</v>
      </c>
      <c r="L29" s="61">
        <f t="shared" si="6"/>
        <v>-50001</v>
      </c>
      <c r="M29" s="39">
        <f t="shared" si="6"/>
        <v>-130877.03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>SUM(X27:X28)</f>
        <v>2752</v>
      </c>
      <c r="Y29" s="39">
        <f>SUM(Y27:Y28)</f>
        <v>9812.42</v>
      </c>
      <c r="Z29" s="61">
        <f>SUM(Z27:Z28)</f>
        <v>64833</v>
      </c>
      <c r="AA29" s="39">
        <f>SUM(AA27:AA28)</f>
        <v>160342.35999999999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-128401</v>
      </c>
      <c r="E32" s="38">
        <f t="shared" si="8"/>
        <v>-372105.62900000031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60680</v>
      </c>
      <c r="I32" s="38">
        <f>'EAST-EGM-GL'!I32+'EAST-LRC-GL'!I32</f>
        <v>175850.64</v>
      </c>
      <c r="J32" s="60">
        <f>'EAST-EGM-GL'!J32+'EAST-LRC-GL'!J32</f>
        <v>-150129</v>
      </c>
      <c r="K32" s="38">
        <f>'EAST-EGM-GL'!K32+'EAST-LRC-GL'!K32</f>
        <v>-435073.37599999999</v>
      </c>
      <c r="L32" s="60">
        <f>'EAST-EGM-GL'!L32+'EAST-LRC-GL'!L32</f>
        <v>2096293</v>
      </c>
      <c r="M32" s="38">
        <f>'EAST-EGM-GL'!M32+'EAST-LRC-GL'!M32</f>
        <v>6075057.1169999996</v>
      </c>
      <c r="N32" s="60">
        <f>'EAST-EGM-GL'!N32+'EAST-LRC-GL'!N32</f>
        <v>-1042715</v>
      </c>
      <c r="O32" s="38">
        <f>'EAST-EGM-GL'!O32+'EAST-LRC-GL'!O32</f>
        <v>-3021788.07</v>
      </c>
      <c r="P32" s="60">
        <f>'EAST-EGM-GL'!P32+'EAST-LRC-GL'!P32</f>
        <v>696893</v>
      </c>
      <c r="Q32" s="38">
        <f>'EAST-EGM-GL'!Q32+'EAST-LRC-GL'!Q32</f>
        <v>2019595.9140000001</v>
      </c>
      <c r="R32" s="60">
        <f>'EAST-EGM-GL'!R32+'EAST-LRC-GL'!R32</f>
        <v>1157</v>
      </c>
      <c r="S32" s="38">
        <f>'EAST-EGM-GL'!S32+'EAST-LRC-GL'!S32</f>
        <v>3352.9859999999999</v>
      </c>
      <c r="T32" s="60">
        <f>'EAST-EGM-GL'!T32+'EAST-LRC-GL'!T32</f>
        <v>-2362427</v>
      </c>
      <c r="U32" s="38">
        <f>'EAST-EGM-GL'!U32+'EAST-LRC-GL'!U32</f>
        <v>-6846313.4460000005</v>
      </c>
      <c r="V32" s="60">
        <f>'EAST-EGM-GL'!V32+'EAST-LRC-GL'!V32</f>
        <v>55</v>
      </c>
      <c r="W32" s="38">
        <f>'EAST-EGM-GL'!W32+'EAST-LRC-GL'!W32</f>
        <v>159.38999999999999</v>
      </c>
      <c r="X32" s="60">
        <f>'EAST-EGM-GL'!X32+'EAST-LRC-GL'!X32</f>
        <v>-548425</v>
      </c>
      <c r="Y32" s="38">
        <f>'EAST-EGM-GL'!Y32+'EAST-LRC-GL'!Y32</f>
        <v>-1589335.65</v>
      </c>
      <c r="Z32" s="60">
        <f>'EAST-EGM-GL'!Z32+'EAST-LRC-GL'!Z32</f>
        <v>1220912</v>
      </c>
      <c r="AA32" s="38">
        <f>'EAST-EGM-GL'!AA32+'EAST-LRC-GL'!AA32</f>
        <v>3538202.9759999998</v>
      </c>
      <c r="AB32" s="60">
        <f>'EAST-EGM-GL'!AB32+'EAST-LRC-GL'!AB32</f>
        <v>-100674</v>
      </c>
      <c r="AC32" s="38">
        <f>'EAST-EGM-GL'!AC32+'EAST-LRC-GL'!AC32</f>
        <v>-291753.25</v>
      </c>
      <c r="AD32" s="60">
        <f>'EAST-EGM-GL'!AD32+'EAST-LRC-GL'!AD32</f>
        <v>-21</v>
      </c>
      <c r="AE32" s="38">
        <f>'EAST-EGM-GL'!AE32+'EAST-LRC-GL'!AE32</f>
        <v>-60.86</v>
      </c>
      <c r="AF32" s="60">
        <f>'EAST-EGM-GL'!AH32+'EAST-LRC-GL'!AH32</f>
        <v>0</v>
      </c>
      <c r="AG32" s="38">
        <f>'EAST-EGM-GL'!AI32+'EAST-LRC-GL'!AI32</f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-201649</v>
      </c>
      <c r="E33" s="38">
        <f t="shared" si="8"/>
        <v>-522718.93999999994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-129873</v>
      </c>
      <c r="K33" s="38">
        <f>'EAST-EGM-GL'!K33+'EAST-LRC-GL'!K33</f>
        <v>-333500.31</v>
      </c>
      <c r="L33" s="60">
        <f>'EAST-EGM-GL'!L33+'EAST-LRC-GL'!L33</f>
        <v>-3206</v>
      </c>
      <c r="M33" s="38">
        <f>'EAST-EGM-GL'!M33+'EAST-LRC-GL'!M33</f>
        <v>-8207.36</v>
      </c>
      <c r="N33" s="60">
        <f>'EAST-EGM-GL'!N33+'EAST-LRC-GL'!N33</f>
        <v>-16832</v>
      </c>
      <c r="O33" s="38">
        <f>'EAST-EGM-GL'!O33+'EAST-LRC-GL'!O33</f>
        <v>-45404.69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-1034</v>
      </c>
      <c r="S33" s="38">
        <f>'EAST-EGM-GL'!S33+'EAST-LRC-GL'!S33</f>
        <v>-2792.73</v>
      </c>
      <c r="T33" s="60">
        <f>'EAST-EGM-GL'!T33+'EAST-LRC-GL'!T33</f>
        <v>-351</v>
      </c>
      <c r="U33" s="38">
        <f>'EAST-EGM-GL'!U33+'EAST-LRC-GL'!U33</f>
        <v>-885.35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-50353</v>
      </c>
      <c r="Y33" s="38">
        <f>'EAST-EGM-GL'!Y33+'EAST-LRC-GL'!Y33</f>
        <v>-131928.5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'EAST-EGM-GL'!AH33+'EAST-LRC-GL'!AH33</f>
        <v>0</v>
      </c>
      <c r="AG33" s="38">
        <f>'EAST-EGM-GL'!AI33+'EAST-LRC-GL'!AI33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51505</v>
      </c>
      <c r="K34" s="38">
        <f>'EAST-EGM-GL'!K34+'EAST-LRC-GL'!K34</f>
        <v>129852.9</v>
      </c>
      <c r="L34" s="60">
        <f>'EAST-EGM-GL'!L34+'EAST-LRC-GL'!L34</f>
        <v>2046</v>
      </c>
      <c r="M34" s="38">
        <f>'EAST-EGM-GL'!M34+'EAST-LRC-GL'!M34</f>
        <v>5392.44</v>
      </c>
      <c r="N34" s="60">
        <f>'EAST-EGM-GL'!N34+'EAST-LRC-GL'!N34</f>
        <v>16782</v>
      </c>
      <c r="O34" s="38">
        <f>'EAST-EGM-GL'!O34+'EAST-LRC-GL'!O34</f>
        <v>44720.480000000003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347</v>
      </c>
      <c r="W34" s="38">
        <f>'EAST-EGM-GL'!W34+'EAST-LRC-GL'!W34</f>
        <v>939.78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100600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</row>
    <row r="36" spans="1:33" x14ac:dyDescent="0.25">
      <c r="A36" s="9"/>
      <c r="B36" s="7" t="s">
        <v>43</v>
      </c>
      <c r="C36" s="6"/>
      <c r="D36" s="61">
        <f>SUM(D32:D35)</f>
        <v>-158770</v>
      </c>
      <c r="E36" s="39">
        <f>SUM(E32:E35)</f>
        <v>-713918.96900000027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-228497</v>
      </c>
      <c r="K36" s="39">
        <f t="shared" si="9"/>
        <v>-638720.78599999996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-2262178</v>
      </c>
      <c r="U36" s="39">
        <f t="shared" si="10"/>
        <v>-6847198.7960000001</v>
      </c>
      <c r="V36" s="61">
        <f t="shared" si="10"/>
        <v>402</v>
      </c>
      <c r="W36" s="39">
        <f t="shared" si="10"/>
        <v>1099.17</v>
      </c>
      <c r="X36" s="61">
        <f>SUM(X32:X35)</f>
        <v>-598778</v>
      </c>
      <c r="Y36" s="39">
        <f>SUM(Y32:Y35)</f>
        <v>-1721264.15</v>
      </c>
      <c r="Z36" s="61">
        <f>SUM(Z32:Z35)</f>
        <v>1220912</v>
      </c>
      <c r="AA36" s="39">
        <f>SUM(AA32:AA35)</f>
        <v>3538202.9759999998</v>
      </c>
      <c r="AB36" s="61">
        <f t="shared" si="9"/>
        <v>-100674</v>
      </c>
      <c r="AC36" s="39">
        <f t="shared" si="9"/>
        <v>-291753.25</v>
      </c>
      <c r="AD36" s="61">
        <f t="shared" si="9"/>
        <v>-21</v>
      </c>
      <c r="AE36" s="39">
        <f>SUM(AE32:AE35)</f>
        <v>-60.86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919423</v>
      </c>
      <c r="E39" s="38">
        <f t="shared" si="11"/>
        <v>2666175.4900000002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985871</v>
      </c>
      <c r="K39" s="38">
        <f>'EAST-EGM-GL'!K39+'EAST-LRC-GL'!K39</f>
        <v>2859025.9</v>
      </c>
      <c r="L39" s="60">
        <f>'EAST-EGM-GL'!L39+'EAST-LRC-GL'!L39</f>
        <v>-6688</v>
      </c>
      <c r="M39" s="38">
        <f>'EAST-EGM-GL'!M39+'EAST-LRC-GL'!M39</f>
        <v>-19596.400000000023</v>
      </c>
      <c r="N39" s="60">
        <f>'EAST-EGM-GL'!N39+'EAST-LRC-GL'!N39</f>
        <v>-34662</v>
      </c>
      <c r="O39" s="38">
        <f>'EAST-EGM-GL'!O39+'EAST-LRC-GL'!O39</f>
        <v>-100519.8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-120600</v>
      </c>
      <c r="U39" s="38">
        <f>'EAST-EGM-GL'!U39+'EAST-LRC-GL'!U39</f>
        <v>-349499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97818</v>
      </c>
      <c r="AC39" s="38">
        <f>'EAST-EGM-GL'!AC39+'EAST-LRC-GL'!AC39</f>
        <v>283476.56</v>
      </c>
      <c r="AD39" s="60">
        <f>'EAST-EGM-GL'!AD39+'EAST-LRC-GL'!AD39</f>
        <v>-2316</v>
      </c>
      <c r="AE39" s="38">
        <f>'EAST-EGM-GL'!AE39+'EAST-LRC-GL'!AE39</f>
        <v>-6711.77</v>
      </c>
      <c r="AF39" s="60">
        <f>'EAST-EGM-GL'!AH39+'EAST-LRC-GL'!AH39</f>
        <v>0</v>
      </c>
      <c r="AG39" s="38">
        <f>'EAST-EGM-GL'!AI39+'EAST-LRC-GL'!AI39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-938704</v>
      </c>
      <c r="K40" s="38">
        <f>'EAST-EGM-GL'!K40+'EAST-LRC-GL'!K40</f>
        <v>-2722241.6</v>
      </c>
      <c r="L40" s="60">
        <f>'EAST-EGM-GL'!L40+'EAST-LRC-GL'!L40</f>
        <v>80720</v>
      </c>
      <c r="M40" s="38">
        <f>'EAST-EGM-GL'!M40+'EAST-LRC-GL'!M40</f>
        <v>234088</v>
      </c>
      <c r="N40" s="60">
        <f>'EAST-EGM-GL'!N40+'EAST-LRC-GL'!N40</f>
        <v>34662</v>
      </c>
      <c r="O40" s="38">
        <f>'EAST-EGM-GL'!O40+'EAST-LRC-GL'!O40</f>
        <v>100519.8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'EAST-EGM-GL'!AH40+'EAST-LRC-GL'!AH40</f>
        <v>0</v>
      </c>
      <c r="AG40" s="38">
        <f>'EAST-EGM-GL'!AI40+'EAST-LRC-GL'!AI40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</row>
    <row r="42" spans="1:33" x14ac:dyDescent="0.25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39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96101</v>
      </c>
      <c r="E43" s="39">
        <f>E42+E39</f>
        <v>278541.68999999994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39">
        <f t="shared" si="14"/>
        <v>136784.29999999981</v>
      </c>
      <c r="L43" s="61">
        <f t="shared" si="14"/>
        <v>74032</v>
      </c>
      <c r="M43" s="39">
        <f t="shared" si="14"/>
        <v>214491.59999999998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97818</v>
      </c>
      <c r="AC43" s="39">
        <f t="shared" si="14"/>
        <v>283476.56</v>
      </c>
      <c r="AD43" s="61">
        <f t="shared" si="14"/>
        <v>-2316</v>
      </c>
      <c r="AE43" s="39">
        <f>AE42+AE39</f>
        <v>-6711.77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3612</v>
      </c>
      <c r="E45" s="38">
        <f>SUM(G45,I45,K45,M45,O45,Q45,S45,U45,W45,Y45,AA45,AC45,AE45,AG45)</f>
        <v>4216.88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3612</v>
      </c>
      <c r="K45" s="38">
        <f>'EAST-EGM-GL'!K45+'EAST-LRC-GL'!K45</f>
        <v>4216.46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0.21</v>
      </c>
      <c r="T45" s="60">
        <f>'EAST-EGM-GL'!T45+'EAST-LRC-GL'!T45</f>
        <v>0</v>
      </c>
      <c r="U45" s="38">
        <f>'EAST-EGM-GL'!U45+'EAST-LRC-GL'!U45</f>
        <v>0.21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381438</v>
      </c>
      <c r="E49" s="38">
        <f>SUM(G49,I49,K49,M49,O49,Q49,S49,U49,W49,Y49,AA49,AC49,AE49,AG49)</f>
        <v>1105407.3260000006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-216904</v>
      </c>
      <c r="I49" s="38">
        <f>'EAST-EGM-GL'!I49+'EAST-LRC-GL'!I49</f>
        <v>-628587.79200000002</v>
      </c>
      <c r="J49" s="60">
        <f>'EAST-EGM-GL'!J49+'EAST-LRC-GL'!J49</f>
        <v>462012</v>
      </c>
      <c r="K49" s="38">
        <f>'EAST-EGM-GL'!K49+'EAST-LRC-GL'!K49</f>
        <v>1338910.7760000001</v>
      </c>
      <c r="L49" s="60">
        <f>'EAST-EGM-GL'!L49+'EAST-LRC-GL'!L49</f>
        <v>-1964006</v>
      </c>
      <c r="M49" s="38">
        <f>'EAST-EGM-GL'!M49+'EAST-LRC-GL'!M49</f>
        <v>-5691689.3880000003</v>
      </c>
      <c r="N49" s="60">
        <f>'EAST-EGM-GL'!N49+'EAST-LRC-GL'!N49</f>
        <v>926662</v>
      </c>
      <c r="O49" s="38">
        <f>'EAST-EGM-GL'!O49+'EAST-LRC-GL'!O49</f>
        <v>2685466.4759999998</v>
      </c>
      <c r="P49" s="60">
        <f>'EAST-EGM-GL'!P49+'EAST-LRC-GL'!P49</f>
        <v>-2957115</v>
      </c>
      <c r="Q49" s="38">
        <f>'EAST-EGM-GL'!Q49+'EAST-LRC-GL'!Q49</f>
        <v>-8569719.2699999996</v>
      </c>
      <c r="R49" s="60">
        <f>'EAST-EGM-GL'!R49+'EAST-LRC-GL'!R49</f>
        <v>345596</v>
      </c>
      <c r="S49" s="38">
        <f>'EAST-EGM-GL'!S49+'EAST-LRC-GL'!S49</f>
        <v>1001537.208</v>
      </c>
      <c r="T49" s="60">
        <f>'EAST-EGM-GL'!T49+'EAST-LRC-GL'!T49</f>
        <v>2147800</v>
      </c>
      <c r="U49" s="38">
        <f>'EAST-EGM-GL'!U49+'EAST-LRC-GL'!U49</f>
        <v>6224324.3999999994</v>
      </c>
      <c r="V49" s="60">
        <f>'EAST-EGM-GL'!V49+'EAST-LRC-GL'!V49</f>
        <v>39</v>
      </c>
      <c r="W49" s="38">
        <f>'EAST-EGM-GL'!W49+'EAST-LRC-GL'!W49</f>
        <v>113.02200000000001</v>
      </c>
      <c r="X49" s="60">
        <f>'EAST-EGM-GL'!X49+'EAST-LRC-GL'!X49</f>
        <v>994016</v>
      </c>
      <c r="Y49" s="38">
        <f>'EAST-EGM-GL'!Y49+'EAST-LRC-GL'!Y49</f>
        <v>2880658.3679999998</v>
      </c>
      <c r="Z49" s="60">
        <f>'EAST-EGM-GL'!Z49+'EAST-LRC-GL'!Z49</f>
        <v>620482</v>
      </c>
      <c r="AA49" s="38">
        <f>'EAST-EGM-GL'!AA49+'EAST-LRC-GL'!AA49</f>
        <v>1798156.8359999999</v>
      </c>
      <c r="AB49" s="60">
        <f>'EAST-EGM-GL'!AB49+'EAST-LRC-GL'!AB49</f>
        <v>2856</v>
      </c>
      <c r="AC49" s="38">
        <f>'EAST-EGM-GL'!AC49+'EAST-LRC-GL'!AC49</f>
        <v>8276.69</v>
      </c>
      <c r="AD49" s="60">
        <f>'EAST-EGM-GL'!AD49+'EAST-LRC-GL'!AD49</f>
        <v>20000</v>
      </c>
      <c r="AE49" s="38">
        <f>'EAST-EGM-GL'!AE49+'EAST-LRC-GL'!AE49</f>
        <v>57960</v>
      </c>
      <c r="AF49" s="60">
        <f>'EAST-EGM-GL'!AH49+'EAST-LRC-GL'!AH49</f>
        <v>0</v>
      </c>
      <c r="AG49" s="38">
        <f>'EAST-EGM-GL'!AI49+'EAST-LRC-GL'!AI49</f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-545573</v>
      </c>
      <c r="E51" s="38">
        <f>SUM(G51,I51,K51,M51,O51,Q51,S51,U51,W51,Y51,AA51,AC51,AE51,AG51)</f>
        <v>-1578484.8979999998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-820603</v>
      </c>
      <c r="I51" s="38">
        <f>'EAST-EGM-GL'!I51+'EAST-LRC-GL'!I51</f>
        <v>-2378107.4939999999</v>
      </c>
      <c r="J51" s="60">
        <f>'EAST-EGM-GL'!J51+'EAST-LRC-GL'!J51</f>
        <v>303891</v>
      </c>
      <c r="K51" s="38">
        <f>'EAST-EGM-GL'!K51+'EAST-LRC-GL'!K51</f>
        <v>883261.77599999995</v>
      </c>
      <c r="L51" s="60">
        <f>'EAST-EGM-GL'!L51+'EAST-LRC-GL'!L51</f>
        <v>-3560</v>
      </c>
      <c r="M51" s="38">
        <f>'EAST-EGM-GL'!M51+'EAST-LRC-GL'!M51</f>
        <v>-10316.879999999999</v>
      </c>
      <c r="N51" s="60">
        <f>'EAST-EGM-GL'!N51+'EAST-LRC-GL'!N51</f>
        <v>-11548</v>
      </c>
      <c r="O51" s="38">
        <f>'EAST-EGM-GL'!O51+'EAST-LRC-GL'!O51</f>
        <v>-33466.103999999999</v>
      </c>
      <c r="P51" s="60">
        <f>'EAST-EGM-GL'!P51+'EAST-LRC-GL'!P51</f>
        <v>771</v>
      </c>
      <c r="Q51" s="38">
        <f>'EAST-EGM-GL'!Q51+'EAST-LRC-GL'!Q51</f>
        <v>2234.3580000000002</v>
      </c>
      <c r="R51" s="60">
        <f>'EAST-EGM-GL'!R51+'EAST-LRC-GL'!R51</f>
        <v>4</v>
      </c>
      <c r="S51" s="38">
        <f>'EAST-EGM-GL'!S51+'EAST-LRC-GL'!S51</f>
        <v>11.592000000000001</v>
      </c>
      <c r="T51" s="60">
        <f>'EAST-EGM-GL'!T51+'EAST-LRC-GL'!T51</f>
        <v>-2574</v>
      </c>
      <c r="U51" s="38">
        <f>'EAST-EGM-GL'!U51+'EAST-LRC-GL'!U51</f>
        <v>-7459.4520000000002</v>
      </c>
      <c r="V51" s="60">
        <f>'EAST-EGM-GL'!V51+'EAST-LRC-GL'!V51</f>
        <v>11</v>
      </c>
      <c r="W51" s="38">
        <f>'EAST-EGM-GL'!W51+'EAST-LRC-GL'!W51</f>
        <v>31.878</v>
      </c>
      <c r="X51" s="60">
        <f>'EAST-EGM-GL'!X51+'EAST-LRC-GL'!X51</f>
        <v>-9649</v>
      </c>
      <c r="Y51" s="38">
        <f>'EAST-EGM-GL'!Y51+'EAST-LRC-GL'!Y51</f>
        <v>-27962.802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-2316</v>
      </c>
      <c r="AE51" s="38">
        <f>'EAST-EGM-GL'!AE51+'EAST-LRC-GL'!AE51</f>
        <v>-6711.77</v>
      </c>
      <c r="AF51" s="60">
        <f>'EAST-EGM-GL'!AH51+'EAST-LRC-GL'!AH51</f>
        <v>0</v>
      </c>
      <c r="AG51" s="38">
        <f>'EAST-EGM-GL'!AI51+'EAST-LRC-GL'!AI51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-65449131</v>
      </c>
      <c r="E54" s="38">
        <f>SUM(G54,I54,K54,M54,O54,Q54,S54,U54,W54,Y54,AA54,AC54,AE54,AG54)</f>
        <v>-500503.04999999981</v>
      </c>
      <c r="F54" s="64">
        <f>('TIE-OUT'!L54+'TIE-OUT'!J54)+(RECLASS!J54+RECLASS!H54)</f>
        <v>0</v>
      </c>
      <c r="G54" s="68">
        <f>('TIE-OUT'!M54+'TIE-OUT'!K54)+(RECLASS!K54+RECLASS!I54)</f>
        <v>-174482</v>
      </c>
      <c r="H54" s="60">
        <f>'EAST-EGM-GL'!H54+'EAST-LRC-GL'!H54</f>
        <v>-72002340</v>
      </c>
      <c r="I54" s="38">
        <f>'EAST-EGM-GL'!I54+'EAST-LRC-GL'!I54</f>
        <v>-1133993.8899999999</v>
      </c>
      <c r="J54" s="60">
        <f>'EAST-EGM-GL'!J54+'EAST-LRC-GL'!J54</f>
        <v>-13268914</v>
      </c>
      <c r="K54" s="38">
        <f>'EAST-EGM-GL'!K54+'EAST-LRC-GL'!K54</f>
        <v>498182.9</v>
      </c>
      <c r="L54" s="60">
        <f>'EAST-EGM-GL'!L54+'EAST-LRC-GL'!L54</f>
        <v>14918799</v>
      </c>
      <c r="M54" s="38">
        <f>'EAST-EGM-GL'!M54+'EAST-LRC-GL'!M54</f>
        <v>22618.560000000001</v>
      </c>
      <c r="N54" s="60">
        <f>'EAST-EGM-GL'!N54+'EAST-LRC-GL'!N54</f>
        <v>9079615</v>
      </c>
      <c r="O54" s="38">
        <f>'EAST-EGM-GL'!O54+'EAST-LRC-GL'!O54</f>
        <v>93804.06</v>
      </c>
      <c r="P54" s="60">
        <f>'EAST-EGM-GL'!P54+'EAST-LRC-GL'!P54</f>
        <v>301086</v>
      </c>
      <c r="Q54" s="38">
        <f>'EAST-EGM-GL'!Q54+'EAST-LRC-GL'!Q54</f>
        <v>39852.6</v>
      </c>
      <c r="R54" s="60">
        <f>'EAST-EGM-GL'!R54+'EAST-LRC-GL'!R54</f>
        <v>3547</v>
      </c>
      <c r="S54" s="38">
        <f>'EAST-EGM-GL'!S54+'EAST-LRC-GL'!S54</f>
        <v>10432.65</v>
      </c>
      <c r="T54" s="60">
        <f>'EAST-EGM-GL'!T54+'EAST-LRC-GL'!T54</f>
        <v>-1604655</v>
      </c>
      <c r="U54" s="38">
        <f>'EAST-EGM-GL'!U54+'EAST-LRC-GL'!U54</f>
        <v>-30529.7</v>
      </c>
      <c r="V54" s="60">
        <f>'EAST-EGM-GL'!V54+'EAST-LRC-GL'!V54</f>
        <v>-242485</v>
      </c>
      <c r="W54" s="38">
        <f>'EAST-EGM-GL'!W54+'EAST-LRC-GL'!W54</f>
        <v>1190.8900000000003</v>
      </c>
      <c r="X54" s="60">
        <f>'EAST-EGM-GL'!X54+'EAST-LRC-GL'!X54</f>
        <v>-2356909</v>
      </c>
      <c r="Y54" s="38">
        <f>'EAST-EGM-GL'!Y54+'EAST-LRC-GL'!Y54</f>
        <v>73228.72</v>
      </c>
      <c r="Z54" s="60">
        <f>'EAST-EGM-GL'!Z54+'EAST-LRC-GL'!Z54</f>
        <v>1</v>
      </c>
      <c r="AA54" s="38">
        <f>'EAST-EGM-GL'!AA54+'EAST-LRC-GL'!AA54</f>
        <v>99652.08</v>
      </c>
      <c r="AB54" s="60">
        <f>'EAST-EGM-GL'!AB54+'EAST-LRC-GL'!AB54</f>
        <v>14924</v>
      </c>
      <c r="AC54" s="38">
        <f>'EAST-EGM-GL'!AC54+'EAST-LRC-GL'!AC54</f>
        <v>82.08</v>
      </c>
      <c r="AD54" s="60">
        <f>'EAST-EGM-GL'!AD54+'EAST-LRC-GL'!AD54</f>
        <v>-291800</v>
      </c>
      <c r="AE54" s="38">
        <f>'EAST-EGM-GL'!AE54+'EAST-LRC-GL'!AE54</f>
        <v>-542</v>
      </c>
      <c r="AF54" s="60">
        <f>'EAST-EGM-GL'!AH54+'EAST-LRC-GL'!AH54</f>
        <v>0</v>
      </c>
      <c r="AG54" s="38">
        <f>'EAST-EGM-GL'!AI54+'EAST-LRC-GL'!AI54</f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-1226112.3100000003</v>
      </c>
      <c r="F55" s="81">
        <f>('TIE-OUT'!L55+'TIE-OUT'!J55)+(RECLASS!J55+RECLASS!H55)</f>
        <v>0</v>
      </c>
      <c r="G55" s="82">
        <f>('TIE-OUT'!M55+'TIE-OUT'!K55)+(RECLASS!K55+RECLASS!I55)</f>
        <v>-137294</v>
      </c>
      <c r="H55" s="60">
        <f>'EAST-EGM-GL'!H55+'EAST-LRC-GL'!H55</f>
        <v>0</v>
      </c>
      <c r="I55" s="38">
        <f>'EAST-EGM-GL'!I55+'EAST-LRC-GL'!I55</f>
        <v>-148842.85</v>
      </c>
      <c r="J55" s="60">
        <f>'EAST-EGM-GL'!J55+'EAST-LRC-GL'!J55</f>
        <v>0</v>
      </c>
      <c r="K55" s="38">
        <f>'EAST-EGM-GL'!K55+'EAST-LRC-GL'!K55</f>
        <v>-1453903.48</v>
      </c>
      <c r="L55" s="60">
        <f>'EAST-EGM-GL'!L55+'EAST-LRC-GL'!L55</f>
        <v>0</v>
      </c>
      <c r="M55" s="38">
        <f>'EAST-EGM-GL'!M55+'EAST-LRC-GL'!M55</f>
        <v>697141.86</v>
      </c>
      <c r="N55" s="60">
        <f>'EAST-EGM-GL'!N55+'EAST-LRC-GL'!N55</f>
        <v>0</v>
      </c>
      <c r="O55" s="38">
        <f>'EAST-EGM-GL'!O55+'EAST-LRC-GL'!O55</f>
        <v>223027.57</v>
      </c>
      <c r="P55" s="60">
        <f>'EAST-EGM-GL'!P55+'EAST-LRC-GL'!P55</f>
        <v>0</v>
      </c>
      <c r="Q55" s="38">
        <f>'EAST-EGM-GL'!Q55+'EAST-LRC-GL'!Q55</f>
        <v>-392459.34</v>
      </c>
      <c r="R55" s="60">
        <f>'EAST-EGM-GL'!R55+'EAST-LRC-GL'!R55</f>
        <v>0</v>
      </c>
      <c r="S55" s="38">
        <f>'EAST-EGM-GL'!S55+'EAST-LRC-GL'!S55</f>
        <v>30129.67</v>
      </c>
      <c r="T55" s="60">
        <f>'EAST-EGM-GL'!T55+'EAST-LRC-GL'!T55</f>
        <v>0</v>
      </c>
      <c r="U55" s="38">
        <f>'EAST-EGM-GL'!U55+'EAST-LRC-GL'!U55</f>
        <v>75</v>
      </c>
      <c r="V55" s="60">
        <f>'EAST-EGM-GL'!V55+'EAST-LRC-GL'!V55</f>
        <v>0</v>
      </c>
      <c r="W55" s="38">
        <f>'EAST-EGM-GL'!W55+'EAST-LRC-GL'!W55</f>
        <v>-75</v>
      </c>
      <c r="X55" s="60">
        <f>'EAST-EGM-GL'!X55+'EAST-LRC-GL'!X55</f>
        <v>0</v>
      </c>
      <c r="Y55" s="38">
        <f>'EAST-EGM-GL'!Y55+'EAST-LRC-GL'!Y55</f>
        <v>-22003.07</v>
      </c>
      <c r="Z55" s="60">
        <f>'EAST-EGM-GL'!Z55+'EAST-LRC-GL'!Z55</f>
        <v>0</v>
      </c>
      <c r="AA55" s="38">
        <f>'EAST-EGM-GL'!AA55+'EAST-LRC-GL'!AA55</f>
        <v>-21908.67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'EAST-EGM-GL'!AH55+'EAST-LRC-GL'!AH55</f>
        <v>0</v>
      </c>
      <c r="AG55" s="38">
        <f>'EAST-EGM-GL'!AI55+'EAST-LRC-GL'!AI55</f>
        <v>0</v>
      </c>
    </row>
    <row r="56" spans="1:33" x14ac:dyDescent="0.25">
      <c r="A56" s="9"/>
      <c r="B56" s="7" t="s">
        <v>57</v>
      </c>
      <c r="C56" s="6"/>
      <c r="D56" s="61">
        <f>SUM(D54:D55)</f>
        <v>-65449131</v>
      </c>
      <c r="E56" s="39">
        <f>SUM(E54:E55)</f>
        <v>-1726615.36</v>
      </c>
      <c r="F56" s="61">
        <f t="shared" ref="F56:AD56" si="16">SUM(F54:F55)</f>
        <v>0</v>
      </c>
      <c r="G56" s="39">
        <f t="shared" si="16"/>
        <v>-311776</v>
      </c>
      <c r="H56" s="61">
        <f t="shared" si="16"/>
        <v>-72002340</v>
      </c>
      <c r="I56" s="39">
        <f t="shared" si="16"/>
        <v>-1282836.74</v>
      </c>
      <c r="J56" s="61">
        <f t="shared" si="16"/>
        <v>-13268914</v>
      </c>
      <c r="K56" s="39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-242485</v>
      </c>
      <c r="W56" s="39">
        <f t="shared" si="17"/>
        <v>1115.8900000000003</v>
      </c>
      <c r="X56" s="61">
        <f>SUM(X54:X55)</f>
        <v>-2356909</v>
      </c>
      <c r="Y56" s="39">
        <f>SUM(Y54:Y55)</f>
        <v>51225.65</v>
      </c>
      <c r="Z56" s="61">
        <f>SUM(Z54:Z55)</f>
        <v>1</v>
      </c>
      <c r="AA56" s="39">
        <f>SUM(AA54:AA55)</f>
        <v>77743.41</v>
      </c>
      <c r="AB56" s="61">
        <f t="shared" si="16"/>
        <v>14924</v>
      </c>
      <c r="AC56" s="39">
        <f t="shared" si="16"/>
        <v>82.08</v>
      </c>
      <c r="AD56" s="61">
        <f t="shared" si="16"/>
        <v>-291800</v>
      </c>
      <c r="AE56" s="39">
        <f>SUM(AE54:AE55)</f>
        <v>-542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2620106</v>
      </c>
      <c r="E59" s="38">
        <f>SUM(G59,I59,K59,M59,O59,Q59,S59,U59,W59,Y59,AA59,AC59,AE59,AG59)</f>
        <v>87036.82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2614991</v>
      </c>
      <c r="I59" s="38">
        <f>'EAST-EGM-GL'!I59+'EAST-LRC-GL'!I59</f>
        <v>-49467.270000000004</v>
      </c>
      <c r="J59" s="60">
        <f>'EAST-EGM-GL'!J59+'EAST-LRC-GL'!J59</f>
        <v>-11586</v>
      </c>
      <c r="K59" s="38">
        <f>'EAST-EGM-GL'!K59+'EAST-LRC-GL'!K59</f>
        <v>18074.550000000003</v>
      </c>
      <c r="L59" s="60">
        <f>'EAST-EGM-GL'!L59+'EAST-LRC-GL'!L59</f>
        <v>0</v>
      </c>
      <c r="M59" s="38">
        <f>'EAST-EGM-GL'!M59+'EAST-LRC-GL'!M59</f>
        <v>0.05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3679.49</v>
      </c>
      <c r="R59" s="60">
        <f>'EAST-EGM-GL'!R59+'EAST-LRC-GL'!R59</f>
        <v>6000</v>
      </c>
      <c r="S59" s="38">
        <f>'EAST-EGM-GL'!S59+'EAST-LRC-GL'!S59</f>
        <v>0</v>
      </c>
      <c r="T59" s="60">
        <f>'EAST-EGM-GL'!T59+'EAST-LRC-GL'!T59</f>
        <v>10696</v>
      </c>
      <c r="U59" s="38">
        <f>'EAST-EGM-GL'!U59+'EAST-LRC-GL'!U59</f>
        <v>114750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5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157288</v>
      </c>
      <c r="E60" s="38">
        <f>SUM(G60,I60,K60,M60,O60,Q60,S60,U60,W60,Y60,AA60,AC60,AE60,AG60)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157288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</row>
    <row r="61" spans="1:33" x14ac:dyDescent="0.25">
      <c r="A61" s="9"/>
      <c r="B61" s="62" t="s">
        <v>61</v>
      </c>
      <c r="C61" s="6"/>
      <c r="D61" s="61">
        <f>SUM(D59:D60)</f>
        <v>2777394</v>
      </c>
      <c r="E61" s="39">
        <f>SUM(E59:E60)</f>
        <v>257036.82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2772279</v>
      </c>
      <c r="I61" s="39">
        <f t="shared" si="18"/>
        <v>120532.73</v>
      </c>
      <c r="J61" s="61">
        <f t="shared" si="18"/>
        <v>-11586</v>
      </c>
      <c r="K61" s="39">
        <f t="shared" si="18"/>
        <v>18074.550000000003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>SUM(X59:X60)</f>
        <v>5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-17893123</v>
      </c>
      <c r="E64" s="38">
        <f>SUM(G64,I64,K64,M64,O64,Q64,S64,U64,W64,Y64,AA64,AC64,AE64,AG64)</f>
        <v>-1223838.55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-11164499</v>
      </c>
      <c r="I64" s="38">
        <f>'EAST-EGM-GL'!I64+'EAST-LRC-GL'!I64</f>
        <v>-2143389.29</v>
      </c>
      <c r="J64" s="60">
        <f>'EAST-EGM-GL'!J64+'EAST-LRC-GL'!J64</f>
        <v>-6728624</v>
      </c>
      <c r="K64" s="38">
        <f>'EAST-EGM-GL'!K64+'EAST-LRC-GL'!K64</f>
        <v>919550.74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17893123</v>
      </c>
      <c r="E65" s="38">
        <f>SUM(G65,I65,K65,M65,O65,Q65,S65,U65,W65,Y65,AA65,AC65,AE65,AG65)</f>
        <v>1223838.55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11164499</v>
      </c>
      <c r="I65" s="38">
        <f>'EAST-EGM-GL'!I65+'EAST-LRC-GL'!I65</f>
        <v>2143389.31</v>
      </c>
      <c r="J65" s="60">
        <f>'EAST-EGM-GL'!J65+'EAST-LRC-GL'!J65</f>
        <v>6728624</v>
      </c>
      <c r="K65" s="38">
        <f>'EAST-EGM-GL'!K65+'EAST-LRC-GL'!K65</f>
        <v>-919550.76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39">
        <f t="shared" si="20"/>
        <v>-2.0000000018626451E-2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7144978.9500000002</v>
      </c>
      <c r="F70" s="64">
        <f>('TIE-OUT'!L70+'TIE-OUT'!J70)+(RECLASS!J70+RECLASS!H70)</f>
        <v>0</v>
      </c>
      <c r="G70" s="68">
        <f>('TIE-OUT'!M70+'TIE-OUT'!K70)+(RECLASS!K70+RECLASS!I70)</f>
        <v>7144978.9500000002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-2527106.12</v>
      </c>
      <c r="F71" s="81">
        <f>('TIE-OUT'!L71+'TIE-OUT'!J71)+(RECLASS!J71+RECLASS!H71)</f>
        <v>0</v>
      </c>
      <c r="G71" s="82">
        <f>('TIE-OUT'!M71+'TIE-OUT'!K71)+(RECLASS!K71+RECLASS!I71)</f>
        <v>-2527106.12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4617872.83</v>
      </c>
      <c r="F72" s="61">
        <f t="shared" ref="F72:AD72" si="22">SUM(F70:F71)</f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-2820142</v>
      </c>
      <c r="F74" s="60">
        <f>('TIE-OUT'!L74+'TIE-OUT'!J74)+(RECLASS!J74+RECLASS!H74)</f>
        <v>0</v>
      </c>
      <c r="G74" s="60">
        <f>('TIE-OUT'!M74+'TIE-OUT'!K74)+(RECLASS!K74+RECLASS!I74)</f>
        <v>-2820142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52300</v>
      </c>
      <c r="F75" s="60">
        <f>('TIE-OUT'!L75+'TIE-OUT'!J75)+(RECLASS!J75+RECLASS!H75)</f>
        <v>0</v>
      </c>
      <c r="G75" s="60">
        <f>('TIE-OUT'!M75+'TIE-OUT'!K75)+(RECLASS!K75+RECLASS!I75)</f>
        <v>52300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-8374.8999999999978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-15273.04</v>
      </c>
      <c r="J76" s="60">
        <f>'EAST-EGM-GL'!J76+'EAST-LRC-GL'!J76</f>
        <v>0</v>
      </c>
      <c r="K76" s="38">
        <f>'EAST-EGM-GL'!K76+'EAST-LRC-GL'!K76</f>
        <v>-15064.6</v>
      </c>
      <c r="L76" s="60">
        <f>'EAST-EGM-GL'!L76+'EAST-LRC-GL'!L76</f>
        <v>0</v>
      </c>
      <c r="M76" s="38">
        <f>'EAST-EGM-GL'!M76+'EAST-LRC-GL'!M76</f>
        <v>18318.310000000001</v>
      </c>
      <c r="N76" s="60">
        <f>'EAST-EGM-GL'!N76+'EAST-LRC-GL'!N76</f>
        <v>0</v>
      </c>
      <c r="O76" s="38">
        <f>'EAST-EGM-GL'!O76+'EAST-LRC-GL'!O76</f>
        <v>2085.9</v>
      </c>
      <c r="P76" s="60">
        <f>'EAST-EGM-GL'!P76+'EAST-LRC-GL'!P76</f>
        <v>0</v>
      </c>
      <c r="Q76" s="38">
        <f>'EAST-EGM-GL'!Q76+'EAST-LRC-GL'!Q76</f>
        <v>262.52999999999997</v>
      </c>
      <c r="R76" s="60">
        <f>'EAST-EGM-GL'!R76+'EAST-LRC-GL'!R76</f>
        <v>0</v>
      </c>
      <c r="S76" s="38">
        <f>'EAST-EGM-GL'!S76+'EAST-LRC-GL'!S76</f>
        <v>7.99</v>
      </c>
      <c r="T76" s="60">
        <f>'EAST-EGM-GL'!T76+'EAST-LRC-GL'!T76</f>
        <v>0</v>
      </c>
      <c r="U76" s="38">
        <f>'EAST-EGM-GL'!U76+'EAST-LRC-GL'!U76</f>
        <v>927.34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360.67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</row>
    <row r="81" spans="1:69" x14ac:dyDescent="0.25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5"/>
        <v>4.000000001542503E-2</v>
      </c>
      <c r="F81" s="60">
        <f>('TIE-OUT'!L81+'TIE-OUT'!J81)+(RECLASS!J81+RECLASS!H81)</f>
        <v>0</v>
      </c>
      <c r="G81" s="60">
        <f>('TIE-OUT'!M81+'TIE-OUT'!K81)+(RECLASS!K81+RECLASS!I81)</f>
        <v>-511294</v>
      </c>
      <c r="H81" s="60">
        <f>'EAST-EGM-GL'!H81+'EAST-LRC-GL'!H81</f>
        <v>0</v>
      </c>
      <c r="I81" s="38">
        <f>'EAST-EGM-GL'!I81+'EAST-LRC-GL'!I81</f>
        <v>486951.64</v>
      </c>
      <c r="J81" s="60">
        <f>'EAST-EGM-GL'!J81+'EAST-LRC-GL'!J81</f>
        <v>-50000</v>
      </c>
      <c r="K81" s="38">
        <f>'EAST-EGM-GL'!K81+'EAST-LRC-GL'!K81</f>
        <v>24342.400000000001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</row>
    <row r="82" spans="1:69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-2710338.3329999479</v>
      </c>
      <c r="F82" s="91">
        <f>F16+F24+F29+F36+F43+F45+F47+F49</f>
        <v>0</v>
      </c>
      <c r="G82" s="92">
        <f>SUM(G72:G81)+G16+G24+G29+G36+G43+G45+G47+G49+G51+G56+G61+G66</f>
        <v>-5663496.8899999997</v>
      </c>
      <c r="H82" s="91">
        <f>H16+H24+H29+H36+H43+H45+H47+H49</f>
        <v>0</v>
      </c>
      <c r="I82" s="92">
        <f>SUM(I72:I81)+I16+I24+I29+I36+I43+I45+I47+I49+I51+I56+I61+I66</f>
        <v>6096664.7680000495</v>
      </c>
      <c r="J82" s="91">
        <f>J16+J24+J29+J36+J43+J45+J47+J49</f>
        <v>0</v>
      </c>
      <c r="K82" s="92">
        <f>SUM(K72:K81)+K16+K24+K29+K36+K43+K45+K47+K49+K51+K56+K61+K66</f>
        <v>-4609250.4600000009</v>
      </c>
      <c r="L82" s="91">
        <f>L16+L24+L29+L36+L43+L45+L47+L49</f>
        <v>0</v>
      </c>
      <c r="M82" s="92">
        <f>SUM(M72:M81)+M16+M24+M29+M36+M43+M45+M47+M49+M51+M56+M61+M66</f>
        <v>724448.04899999709</v>
      </c>
      <c r="N82" s="91">
        <f>N16+N24+N29+N36+N43+N45+N47+N49</f>
        <v>0</v>
      </c>
      <c r="O82" s="92">
        <f>SUM(O72:O81)+O16+O24+O29+O36+O43+O45+O47+O49+O51+O56+O61+O66</f>
        <v>290903.74600000674</v>
      </c>
      <c r="P82" s="91">
        <f>P16+P24+P29+P36+P43+P45+P47+P49</f>
        <v>0</v>
      </c>
      <c r="Q82" s="92">
        <f>SUM(Q72:Q81)+Q16+Q24+Q29+Q36+Q43+Q45+Q47+Q49+Q51+Q56+Q61+Q66</f>
        <v>-971502.69600000139</v>
      </c>
      <c r="R82" s="91">
        <f>R16+R24+R29+R36+R43+R45+R47+R49</f>
        <v>0</v>
      </c>
      <c r="S82" s="92">
        <f>SUM(S72:S81)+S16+S24+S29+S36+S43+S45+S47+S49+S51+S56+S61+S66</f>
        <v>1058544.9439999999</v>
      </c>
      <c r="T82" s="91">
        <f>T16+T24+T29+T36+T43+T45+T47+T49</f>
        <v>0</v>
      </c>
      <c r="U82" s="92">
        <f>SUM(U72:U81)+U16+U24+U29+U36+U43+U45+U47+U49+U51+U56+U61+U66</f>
        <v>311285.62400000053</v>
      </c>
      <c r="V82" s="91">
        <f>V16+V24+V29+V36+V43+V45+V47+V49</f>
        <v>0</v>
      </c>
      <c r="W82" s="92">
        <f>SUM(W72:W81)+W16+W24+W29+W36+W43+W45+W47+W49+W51+W56+W61+W66</f>
        <v>9067.4719999999998</v>
      </c>
      <c r="X82" s="91">
        <f>X16+X24+X29+X36+X43+X45+X47+X49</f>
        <v>0</v>
      </c>
      <c r="Y82" s="92">
        <f>SUM(Y72:Y81)+Y16+Y24+Y29+Y36+Y43+Y45+Y47+Y49+Y51+Y56+Y61+Y66</f>
        <v>167879.72799999989</v>
      </c>
      <c r="Z82" s="91">
        <f>Z16+Z24+Z29+Z36+Z43+Z45+Z47+Z49</f>
        <v>0</v>
      </c>
      <c r="AA82" s="92">
        <f>SUM(AA72:AA81)+AA16+AA24+AA29+AA36+AA43+AA45+AA47+AA49+AA51+AA56+AA61+AA66</f>
        <v>-109663.27799999938</v>
      </c>
      <c r="AB82" s="91">
        <f>AB16+AB24+AB29+AB36+AB43+AB45+AB47+AB49</f>
        <v>0</v>
      </c>
      <c r="AC82" s="92">
        <f>SUM(AC72:AC81)+AC16+AC24+AC29+AC36+AC43+AC45+AC47+AC49+AC51+AC56+AC61+AC66</f>
        <v>82.079999999998179</v>
      </c>
      <c r="AD82" s="91">
        <f>AD16+AD24+AD29+AD36+AD43+AD45+AD47+AD49</f>
        <v>0</v>
      </c>
      <c r="AE82" s="92">
        <f>SUM(AE72:AE81)+AE16+AE24+AE29+AE36+AE43+AE45+AE47+AE49+AE51+AE56+AE61+AE66</f>
        <v>-15301.420000000024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69" ht="13.8" thickTop="1" x14ac:dyDescent="0.25">
      <c r="A83" s="4"/>
      <c r="B83" s="3"/>
    </row>
    <row r="84" spans="1:69" x14ac:dyDescent="0.25">
      <c r="A84" s="4"/>
      <c r="B84" s="3"/>
      <c r="E84" s="14">
        <f>+'EAST-LRC-GL'!E82+'EAST-EGM-GL'!E82</f>
        <v>-2708715.2829999789</v>
      </c>
      <c r="G84" s="14">
        <f>+'EAST-LRC-GL'!G82+'EAST-EGM-GL'!G82</f>
        <v>-5663496.8900000006</v>
      </c>
      <c r="I84" s="14">
        <f>+'EAST-LRC-GL'!I82+'EAST-EGM-GL'!I82</f>
        <v>6096664.7680000439</v>
      </c>
      <c r="K84" s="14">
        <f>+'EAST-LRC-GL'!K82+'EAST-EGM-GL'!K82</f>
        <v>-4609250.4600000009</v>
      </c>
    </row>
    <row r="85" spans="1:69" x14ac:dyDescent="0.25">
      <c r="A85" s="4" t="s">
        <v>174</v>
      </c>
      <c r="B85" s="3"/>
      <c r="F85" s="31"/>
      <c r="G85" s="31"/>
      <c r="H85" s="31"/>
      <c r="I85" s="31"/>
      <c r="L85" s="45"/>
    </row>
    <row r="86" spans="1:69" s="3" customFormat="1" x14ac:dyDescent="0.25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-1361327.16</v>
      </c>
      <c r="F86" s="167">
        <f>'EAST-EGM-GL'!F86+'EAST-LRC-GL'!F86</f>
        <v>0</v>
      </c>
      <c r="G86" s="167">
        <f>'EAST-EGM-GL'!G86+'EAST-LRC-GL'!G86</f>
        <v>-1361327.16</v>
      </c>
      <c r="H86" s="167">
        <f>'EAST-EGM-GL'!H86+'EAST-LRC-GL'!H86</f>
        <v>0</v>
      </c>
      <c r="I86" s="167">
        <f>'EAST-EGM-GL'!I86+'EAST-LRC-GL'!I86</f>
        <v>0</v>
      </c>
      <c r="J86" s="167">
        <f>'EAST-EGM-GL'!J86+'EAST-LRC-GL'!J86</f>
        <v>0</v>
      </c>
      <c r="K86" s="167">
        <f>'EAST-EGM-GL'!K86+'EAST-LRC-GL'!K86</f>
        <v>0</v>
      </c>
      <c r="L86" s="167">
        <f>'EAST-EGM-GL'!L86+'EAST-LRC-GL'!L86</f>
        <v>0</v>
      </c>
      <c r="M86" s="167">
        <f>'EAST-EGM-GL'!M86+'EAST-LRC-GL'!M86</f>
        <v>0</v>
      </c>
      <c r="N86" s="167">
        <f>'EAST-EGM-GL'!N86+'EAST-LRC-GL'!N86</f>
        <v>0</v>
      </c>
      <c r="O86" s="167">
        <f>'EAST-EGM-GL'!O86+'EAST-LRC-GL'!O86</f>
        <v>0</v>
      </c>
      <c r="P86" s="167">
        <f>'EAST-EGM-GL'!P86+'EAST-LRC-GL'!P86</f>
        <v>0</v>
      </c>
      <c r="Q86" s="167">
        <f>'EAST-EGM-GL'!Q86+'EAST-LRC-GL'!Q86</f>
        <v>0</v>
      </c>
      <c r="R86" s="167">
        <f>'EAST-EGM-GL'!R86+'EAST-LRC-GL'!R86</f>
        <v>0</v>
      </c>
      <c r="S86" s="167">
        <f>'EAST-EGM-GL'!S86+'EAST-LRC-GL'!S86</f>
        <v>0</v>
      </c>
      <c r="T86" s="167">
        <f>'EAST-EGM-GL'!T86+'EAST-LRC-GL'!T86</f>
        <v>0</v>
      </c>
      <c r="U86" s="167">
        <f>'EAST-EGM-GL'!U86+'EAST-LRC-GL'!U86</f>
        <v>0</v>
      </c>
      <c r="V86" s="167">
        <f>'EAST-EGM-GL'!V86+'EAST-LRC-GL'!V86</f>
        <v>0</v>
      </c>
      <c r="W86" s="167">
        <f>'EAST-EGM-GL'!W86+'EAST-LRC-GL'!W86</f>
        <v>0</v>
      </c>
      <c r="X86" s="167">
        <f>'EAST-EGM-GL'!X86+'EAST-LRC-GL'!X86</f>
        <v>0</v>
      </c>
      <c r="Y86" s="167">
        <f>'EAST-EGM-GL'!Y86+'EAST-LRC-GL'!Y86</f>
        <v>0</v>
      </c>
      <c r="Z86" s="167">
        <f>'EAST-EGM-GL'!Z86+'EAST-LRC-GL'!Z86</f>
        <v>0</v>
      </c>
      <c r="AA86" s="167">
        <f>'EAST-EGM-GL'!AA86+'EAST-LRC-GL'!AA86</f>
        <v>0</v>
      </c>
      <c r="AB86" s="167">
        <f>'EAST-EGM-GL'!AB86+'EAST-LRC-GL'!AB86</f>
        <v>0</v>
      </c>
      <c r="AC86" s="167">
        <f>'EAST-EGM-GL'!AC86+'EAST-LRC-GL'!AC86</f>
        <v>0</v>
      </c>
      <c r="AD86" s="167">
        <f>'EAST-EGM-GL'!AD86+'EAST-LRC-GL'!AD86</f>
        <v>0</v>
      </c>
      <c r="AE86" s="167">
        <f>'EAST-EGM-GL'!AE86+'EAST-LRC-GL'!AE86</f>
        <v>0</v>
      </c>
      <c r="AF86" s="167">
        <f>'EAST-EGM-GL'!AH86+'EAST-LRC-GL'!AH86</f>
        <v>0</v>
      </c>
      <c r="AG86" s="167">
        <f>'EAST-EGM-GL'!AI86+'EAST-LRC-GL'!AI86</f>
        <v>0</v>
      </c>
    </row>
    <row r="87" spans="1:69" s="3" customFormat="1" x14ac:dyDescent="0.25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'EAST-EGM-GL'!F87+'EAST-LRC-GL'!F87</f>
        <v>0</v>
      </c>
      <c r="G87" s="168">
        <f>'EAST-EGM-GL'!G87+'EAST-LRC-GL'!G87</f>
        <v>0</v>
      </c>
      <c r="H87" s="168">
        <f>'EAST-EGM-GL'!H87+'EAST-LRC-GL'!H87</f>
        <v>0</v>
      </c>
      <c r="I87" s="168">
        <f>'EAST-EGM-GL'!I87+'EAST-LRC-GL'!I87</f>
        <v>0</v>
      </c>
      <c r="J87" s="168">
        <f>'EAST-EGM-GL'!J87+'EAST-LRC-GL'!J87</f>
        <v>0</v>
      </c>
      <c r="K87" s="168">
        <f>'EAST-EGM-GL'!K87+'EAST-LRC-GL'!K87</f>
        <v>0</v>
      </c>
      <c r="L87" s="168">
        <f>'EAST-EGM-GL'!L87+'EAST-LRC-GL'!L87</f>
        <v>0</v>
      </c>
      <c r="M87" s="168">
        <f>'EAST-EGM-GL'!M87+'EAST-LRC-GL'!M87</f>
        <v>0</v>
      </c>
      <c r="N87" s="168">
        <f>'EAST-EGM-GL'!N87+'EAST-LRC-GL'!N87</f>
        <v>0</v>
      </c>
      <c r="O87" s="168">
        <f>'EAST-EGM-GL'!O87+'EAST-LRC-GL'!O87</f>
        <v>0</v>
      </c>
      <c r="P87" s="168">
        <f>'EAST-EGM-GL'!P87+'EAST-LRC-GL'!P87</f>
        <v>0</v>
      </c>
      <c r="Q87" s="168">
        <f>'EAST-EGM-GL'!Q87+'EAST-LRC-GL'!Q87</f>
        <v>0</v>
      </c>
      <c r="R87" s="168">
        <f>'EAST-EGM-GL'!R87+'EAST-LRC-GL'!R87</f>
        <v>0</v>
      </c>
      <c r="S87" s="168">
        <f>'EAST-EGM-GL'!S87+'EAST-LRC-GL'!S87</f>
        <v>0</v>
      </c>
      <c r="T87" s="168">
        <f>'EAST-EGM-GL'!T87+'EAST-LRC-GL'!T87</f>
        <v>0</v>
      </c>
      <c r="U87" s="168">
        <f>'EAST-EGM-GL'!U87+'EAST-LRC-GL'!U87</f>
        <v>0</v>
      </c>
      <c r="V87" s="168">
        <f>'EAST-EGM-GL'!V87+'EAST-LRC-GL'!V87</f>
        <v>0</v>
      </c>
      <c r="W87" s="168">
        <f>'EAST-EGM-GL'!W87+'EAST-LRC-GL'!W87</f>
        <v>0</v>
      </c>
      <c r="X87" s="168">
        <f>'EAST-EGM-GL'!X87+'EAST-LRC-GL'!X87</f>
        <v>0</v>
      </c>
      <c r="Y87" s="168">
        <f>'EAST-EGM-GL'!Y87+'EAST-LRC-GL'!Y87</f>
        <v>0</v>
      </c>
      <c r="Z87" s="168">
        <f>'EAST-EGM-GL'!Z87+'EAST-LRC-GL'!Z87</f>
        <v>0</v>
      </c>
      <c r="AA87" s="168">
        <f>'EAST-EGM-GL'!AA87+'EAST-LRC-GL'!AA87</f>
        <v>0</v>
      </c>
      <c r="AB87" s="168">
        <f>'EAST-EGM-GL'!AB87+'EAST-LRC-GL'!AB87</f>
        <v>0</v>
      </c>
      <c r="AC87" s="168">
        <f>'EAST-EGM-GL'!AC87+'EAST-LRC-GL'!AC87</f>
        <v>0</v>
      </c>
      <c r="AD87" s="168">
        <f>'EAST-EGM-GL'!AD87+'EAST-LRC-GL'!AD87</f>
        <v>0</v>
      </c>
      <c r="AE87" s="168">
        <f>'EAST-EGM-GL'!AE87+'EAST-LRC-GL'!AE87</f>
        <v>0</v>
      </c>
      <c r="AF87" s="168">
        <f>'EAST-EGM-GL'!AH87+'EAST-LRC-GL'!AH87</f>
        <v>0</v>
      </c>
      <c r="AG87" s="168">
        <f>'EAST-EGM-GL'!AI87+'EAST-LRC-GL'!AI87</f>
        <v>0</v>
      </c>
    </row>
    <row r="88" spans="1:69" s="3" customFormat="1" x14ac:dyDescent="0.25">
      <c r="A88" s="166"/>
      <c r="C88" s="10" t="s">
        <v>72</v>
      </c>
      <c r="D88" s="169">
        <f t="shared" si="26"/>
        <v>0</v>
      </c>
      <c r="E88" s="169">
        <f t="shared" si="26"/>
        <v>1750100</v>
      </c>
      <c r="F88" s="169">
        <f>'EAST-EGM-GL'!F88+'EAST-LRC-GL'!F88</f>
        <v>0</v>
      </c>
      <c r="G88" s="169">
        <f>'EAST-EGM-GL'!G88+'EAST-LRC-GL'!G88</f>
        <v>1750100</v>
      </c>
      <c r="H88" s="169">
        <f>'EAST-EGM-GL'!H88+'EAST-LRC-GL'!H88</f>
        <v>0</v>
      </c>
      <c r="I88" s="169">
        <f>'EAST-EGM-GL'!I88+'EAST-LRC-GL'!I88</f>
        <v>0</v>
      </c>
      <c r="J88" s="169">
        <f>'EAST-EGM-GL'!J88+'EAST-LRC-GL'!J88</f>
        <v>0</v>
      </c>
      <c r="K88" s="169">
        <f>'EAST-EGM-GL'!K88+'EAST-LRC-GL'!K88</f>
        <v>0</v>
      </c>
      <c r="L88" s="169">
        <f>'EAST-EGM-GL'!L88+'EAST-LRC-GL'!L88</f>
        <v>0</v>
      </c>
      <c r="M88" s="169">
        <f>'EAST-EGM-GL'!M88+'EAST-LRC-GL'!M88</f>
        <v>0</v>
      </c>
      <c r="N88" s="169">
        <f>'EAST-EGM-GL'!N88+'EAST-LRC-GL'!N88</f>
        <v>0</v>
      </c>
      <c r="O88" s="169">
        <f>'EAST-EGM-GL'!O88+'EAST-LRC-GL'!O88</f>
        <v>0</v>
      </c>
      <c r="P88" s="169">
        <f>'EAST-EGM-GL'!P88+'EAST-LRC-GL'!P88</f>
        <v>0</v>
      </c>
      <c r="Q88" s="169">
        <f>'EAST-EGM-GL'!Q88+'EAST-LRC-GL'!Q88</f>
        <v>0</v>
      </c>
      <c r="R88" s="169">
        <f>'EAST-EGM-GL'!R88+'EAST-LRC-GL'!R88</f>
        <v>0</v>
      </c>
      <c r="S88" s="169">
        <f>'EAST-EGM-GL'!S88+'EAST-LRC-GL'!S88</f>
        <v>0</v>
      </c>
      <c r="T88" s="169">
        <f>'EAST-EGM-GL'!T88+'EAST-LRC-GL'!T88</f>
        <v>0</v>
      </c>
      <c r="U88" s="169">
        <f>'EAST-EGM-GL'!U88+'EAST-LRC-GL'!U88</f>
        <v>0</v>
      </c>
      <c r="V88" s="169">
        <f>'EAST-EGM-GL'!V88+'EAST-LRC-GL'!V88</f>
        <v>0</v>
      </c>
      <c r="W88" s="169">
        <f>'EAST-EGM-GL'!W88+'EAST-LRC-GL'!W88</f>
        <v>0</v>
      </c>
      <c r="X88" s="169">
        <f>'EAST-EGM-GL'!X88+'EAST-LRC-GL'!X88</f>
        <v>0</v>
      </c>
      <c r="Y88" s="169">
        <f>'EAST-EGM-GL'!Y88+'EAST-LRC-GL'!Y88</f>
        <v>0</v>
      </c>
      <c r="Z88" s="169">
        <f>'EAST-EGM-GL'!Z88+'EAST-LRC-GL'!Z88</f>
        <v>0</v>
      </c>
      <c r="AA88" s="169">
        <f>'EAST-EGM-GL'!AA88+'EAST-LRC-GL'!AA88</f>
        <v>0</v>
      </c>
      <c r="AB88" s="169">
        <f>'EAST-EGM-GL'!AB88+'EAST-LRC-GL'!AB88</f>
        <v>0</v>
      </c>
      <c r="AC88" s="169">
        <f>'EAST-EGM-GL'!AC88+'EAST-LRC-GL'!AC88</f>
        <v>0</v>
      </c>
      <c r="AD88" s="169">
        <f>'EAST-EGM-GL'!AD88+'EAST-LRC-GL'!AD88</f>
        <v>0</v>
      </c>
      <c r="AE88" s="169">
        <f>'EAST-EGM-GL'!AE88+'EAST-LRC-GL'!AE88</f>
        <v>0</v>
      </c>
      <c r="AF88" s="169">
        <f>'EAST-EGM-GL'!AH88+'EAST-LRC-GL'!AH88</f>
        <v>0</v>
      </c>
      <c r="AG88" s="169">
        <f>'EAST-EGM-GL'!AI88+'EAST-LRC-GL'!AI88</f>
        <v>0</v>
      </c>
    </row>
    <row r="89" spans="1:69" s="44" customFormat="1" ht="20.25" customHeight="1" x14ac:dyDescent="0.25">
      <c r="A89" s="173"/>
      <c r="B89" s="174"/>
      <c r="C89" s="179" t="s">
        <v>170</v>
      </c>
      <c r="D89" s="177">
        <f>SUM(D86:D88)</f>
        <v>0</v>
      </c>
      <c r="E89" s="177">
        <f t="shared" ref="E89:M89" si="27">SUM(E86:E88)</f>
        <v>388772.84000000008</v>
      </c>
      <c r="F89" s="177">
        <f t="shared" si="27"/>
        <v>0</v>
      </c>
      <c r="G89" s="177">
        <f t="shared" si="27"/>
        <v>388772.84000000008</v>
      </c>
      <c r="H89" s="177">
        <f t="shared" si="27"/>
        <v>0</v>
      </c>
      <c r="I89" s="177">
        <f t="shared" si="27"/>
        <v>0</v>
      </c>
      <c r="J89" s="177">
        <f t="shared" si="27"/>
        <v>0</v>
      </c>
      <c r="K89" s="177">
        <f t="shared" si="27"/>
        <v>0</v>
      </c>
      <c r="L89" s="177">
        <f t="shared" si="27"/>
        <v>0</v>
      </c>
      <c r="M89" s="177">
        <f t="shared" si="27"/>
        <v>0</v>
      </c>
      <c r="N89" s="177">
        <f t="shared" ref="N89:AE89" si="28">SUM(N86:N88)</f>
        <v>0</v>
      </c>
      <c r="O89" s="177">
        <f t="shared" si="28"/>
        <v>0</v>
      </c>
      <c r="P89" s="177">
        <f t="shared" si="28"/>
        <v>0</v>
      </c>
      <c r="Q89" s="177">
        <f t="shared" si="28"/>
        <v>0</v>
      </c>
      <c r="R89" s="177">
        <f t="shared" si="28"/>
        <v>0</v>
      </c>
      <c r="S89" s="177">
        <f t="shared" si="28"/>
        <v>0</v>
      </c>
      <c r="T89" s="177">
        <f t="shared" si="28"/>
        <v>0</v>
      </c>
      <c r="U89" s="177">
        <f t="shared" si="28"/>
        <v>0</v>
      </c>
      <c r="V89" s="177">
        <f t="shared" si="28"/>
        <v>0</v>
      </c>
      <c r="W89" s="177">
        <f t="shared" si="28"/>
        <v>0</v>
      </c>
      <c r="X89" s="177">
        <f t="shared" si="28"/>
        <v>0</v>
      </c>
      <c r="Y89" s="177">
        <f t="shared" si="28"/>
        <v>0</v>
      </c>
      <c r="Z89" s="177">
        <f>SUM(Z86:Z88)</f>
        <v>0</v>
      </c>
      <c r="AA89" s="177">
        <f>SUM(AA86:AA88)</f>
        <v>0</v>
      </c>
      <c r="AB89" s="177">
        <f t="shared" si="28"/>
        <v>0</v>
      </c>
      <c r="AC89" s="177">
        <f t="shared" si="28"/>
        <v>0</v>
      </c>
      <c r="AD89" s="177">
        <f t="shared" si="28"/>
        <v>0</v>
      </c>
      <c r="AE89" s="177">
        <f t="shared" si="28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5">
      <c r="A90" s="4"/>
      <c r="B90" s="3"/>
      <c r="F90" s="31"/>
      <c r="G90" s="31"/>
      <c r="H90" s="31"/>
      <c r="I90" s="31"/>
    </row>
    <row r="91" spans="1:69" s="141" customFormat="1" ht="20.25" customHeight="1" x14ac:dyDescent="0.25">
      <c r="A91" s="180"/>
      <c r="B91" s="181"/>
      <c r="C91" s="179" t="s">
        <v>173</v>
      </c>
      <c r="D91" s="182">
        <f>+D82+D89</f>
        <v>0</v>
      </c>
      <c r="E91" s="182">
        <f t="shared" ref="E91:M91" si="29">+E82+E89</f>
        <v>-2321565.4929999476</v>
      </c>
      <c r="F91" s="182">
        <f t="shared" si="29"/>
        <v>0</v>
      </c>
      <c r="G91" s="182">
        <f t="shared" si="29"/>
        <v>-5274724.05</v>
      </c>
      <c r="H91" s="182">
        <f t="shared" si="29"/>
        <v>0</v>
      </c>
      <c r="I91" s="182">
        <f t="shared" si="29"/>
        <v>6096664.7680000495</v>
      </c>
      <c r="J91" s="182">
        <f t="shared" si="29"/>
        <v>0</v>
      </c>
      <c r="K91" s="182">
        <f t="shared" si="29"/>
        <v>-4609250.4600000009</v>
      </c>
      <c r="L91" s="182">
        <f t="shared" si="29"/>
        <v>0</v>
      </c>
      <c r="M91" s="182">
        <f t="shared" si="29"/>
        <v>724448.04899999709</v>
      </c>
      <c r="N91" s="182">
        <f t="shared" ref="N91:AE91" si="30">+N82+N89</f>
        <v>0</v>
      </c>
      <c r="O91" s="182">
        <f t="shared" si="30"/>
        <v>290903.74600000674</v>
      </c>
      <c r="P91" s="182">
        <f t="shared" si="30"/>
        <v>0</v>
      </c>
      <c r="Q91" s="182">
        <f t="shared" si="30"/>
        <v>-971502.69600000139</v>
      </c>
      <c r="R91" s="182">
        <f t="shared" si="30"/>
        <v>0</v>
      </c>
      <c r="S91" s="182">
        <f t="shared" si="30"/>
        <v>1058544.9439999999</v>
      </c>
      <c r="T91" s="182">
        <f t="shared" si="30"/>
        <v>0</v>
      </c>
      <c r="U91" s="182">
        <f t="shared" si="30"/>
        <v>311285.62400000053</v>
      </c>
      <c r="V91" s="182">
        <f t="shared" si="30"/>
        <v>0</v>
      </c>
      <c r="W91" s="182">
        <f t="shared" si="30"/>
        <v>9067.4719999999998</v>
      </c>
      <c r="X91" s="182">
        <f t="shared" si="30"/>
        <v>0</v>
      </c>
      <c r="Y91" s="182">
        <f t="shared" si="30"/>
        <v>167879.72799999989</v>
      </c>
      <c r="Z91" s="182">
        <f>+Z82+Z89</f>
        <v>0</v>
      </c>
      <c r="AA91" s="182">
        <f>+AA82+AA89</f>
        <v>-109663.27799999938</v>
      </c>
      <c r="AB91" s="182">
        <f t="shared" si="30"/>
        <v>0</v>
      </c>
      <c r="AC91" s="182">
        <f t="shared" si="30"/>
        <v>82.079999999998179</v>
      </c>
      <c r="AD91" s="182">
        <f t="shared" si="30"/>
        <v>0</v>
      </c>
      <c r="AE91" s="182">
        <f t="shared" si="30"/>
        <v>-15301.420000000024</v>
      </c>
      <c r="AF91" s="182">
        <f>+AF82+AF89</f>
        <v>0</v>
      </c>
      <c r="AG91" s="182">
        <f>+AG82+AG89</f>
        <v>0</v>
      </c>
    </row>
    <row r="92" spans="1:69" x14ac:dyDescent="0.25">
      <c r="A92" s="4"/>
      <c r="B92" s="3"/>
    </row>
    <row r="93" spans="1:69" x14ac:dyDescent="0.25">
      <c r="A93" s="4"/>
      <c r="B93" s="3"/>
    </row>
    <row r="94" spans="1:69" x14ac:dyDescent="0.25">
      <c r="A94" s="4"/>
      <c r="B94" s="3"/>
    </row>
    <row r="95" spans="1:69" x14ac:dyDescent="0.25">
      <c r="A95" s="4"/>
      <c r="B95" s="3"/>
    </row>
    <row r="96" spans="1:6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AG179"/>
  <sheetViews>
    <sheetView zoomScale="75" workbookViewId="0">
      <pane xSplit="3" ySplit="9" topLeftCell="V18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'TIE-OUT'!N11+RECLASS!L11</f>
        <v>0</v>
      </c>
      <c r="G11" s="38">
        <f>'TIE-OUT'!O11+RECLASS!M11</f>
        <v>0</v>
      </c>
      <c r="H11" s="126">
        <f>+Actuals!E204</f>
        <v>0</v>
      </c>
      <c r="I11" s="127">
        <f>+Actuals!F204</f>
        <v>0</v>
      </c>
      <c r="J11" s="126">
        <f>+Actuals!G204</f>
        <v>0</v>
      </c>
      <c r="K11" s="127">
        <f>+Actuals!H204</f>
        <v>0</v>
      </c>
      <c r="L11" s="126">
        <f>+Actuals!I204</f>
        <v>0</v>
      </c>
      <c r="M11" s="127">
        <f>+Actuals!J204</f>
        <v>0</v>
      </c>
      <c r="N11" s="126">
        <f>+Actuals!K204</f>
        <v>0</v>
      </c>
      <c r="O11" s="127">
        <f>+Actuals!L204</f>
        <v>0</v>
      </c>
      <c r="P11" s="126">
        <f>+Actuals!M204</f>
        <v>0</v>
      </c>
      <c r="Q11" s="127">
        <f>+Actuals!N204</f>
        <v>0</v>
      </c>
      <c r="R11" s="126">
        <f>+Actuals!O204</f>
        <v>0</v>
      </c>
      <c r="S11" s="127">
        <f>+Actuals!P204</f>
        <v>0</v>
      </c>
      <c r="T11" s="126">
        <f>+Actuals!Q204</f>
        <v>0</v>
      </c>
      <c r="U11" s="127">
        <f>+Actuals!R204</f>
        <v>0</v>
      </c>
      <c r="V11" s="126">
        <f>+Actuals!S204</f>
        <v>0</v>
      </c>
      <c r="W11" s="127">
        <f>+Actuals!T204</f>
        <v>0</v>
      </c>
      <c r="X11" s="126">
        <f>+Actuals!U204</f>
        <v>0</v>
      </c>
      <c r="Y11" s="127">
        <f>+Actuals!V204</f>
        <v>0</v>
      </c>
      <c r="Z11" s="126">
        <f>+Actuals!W204</f>
        <v>0</v>
      </c>
      <c r="AA11" s="127">
        <f>+Actuals!X204</f>
        <v>0</v>
      </c>
      <c r="AB11" s="126">
        <f>+Actuals!Y204</f>
        <v>0</v>
      </c>
      <c r="AC11" s="127">
        <f>+Actuals!Z204</f>
        <v>0</v>
      </c>
      <c r="AD11" s="126">
        <f>+Actuals!AA204</f>
        <v>0</v>
      </c>
      <c r="AE11" s="127">
        <f>+Actuals!AB204</f>
        <v>0</v>
      </c>
      <c r="AF11" s="126">
        <f>+Actuals!AC204</f>
        <v>0</v>
      </c>
      <c r="AG11" s="127">
        <f>+Actuals!AD204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6">
        <f>+Actuals!E205</f>
        <v>0</v>
      </c>
      <c r="I12" s="127">
        <f>+Actuals!F205</f>
        <v>0</v>
      </c>
      <c r="J12" s="126">
        <f>+Actuals!G205</f>
        <v>0</v>
      </c>
      <c r="K12" s="127">
        <f>+Actuals!H205</f>
        <v>0</v>
      </c>
      <c r="L12" s="126">
        <f>+Actuals!I205</f>
        <v>0</v>
      </c>
      <c r="M12" s="127">
        <f>+Actuals!J205</f>
        <v>0</v>
      </c>
      <c r="N12" s="126">
        <f>+Actuals!K205</f>
        <v>0</v>
      </c>
      <c r="O12" s="127">
        <f>+Actuals!L205</f>
        <v>0</v>
      </c>
      <c r="P12" s="126">
        <f>+Actuals!M205</f>
        <v>0</v>
      </c>
      <c r="Q12" s="127">
        <f>+Actuals!N205</f>
        <v>0</v>
      </c>
      <c r="R12" s="126">
        <f>+Actuals!O205</f>
        <v>0</v>
      </c>
      <c r="S12" s="127">
        <f>+Actuals!P205</f>
        <v>0</v>
      </c>
      <c r="T12" s="126">
        <f>+Actuals!Q205</f>
        <v>0</v>
      </c>
      <c r="U12" s="127">
        <f>+Actuals!R205</f>
        <v>0</v>
      </c>
      <c r="V12" s="126">
        <f>+Actuals!S205</f>
        <v>0</v>
      </c>
      <c r="W12" s="127">
        <f>+Actuals!T205</f>
        <v>0</v>
      </c>
      <c r="X12" s="126">
        <f>+Actuals!U205</f>
        <v>0</v>
      </c>
      <c r="Y12" s="127">
        <f>+Actuals!V205</f>
        <v>0</v>
      </c>
      <c r="Z12" s="126">
        <f>+Actuals!W205</f>
        <v>0</v>
      </c>
      <c r="AA12" s="127">
        <f>+Actuals!X205</f>
        <v>0</v>
      </c>
      <c r="AB12" s="126">
        <f>+Actuals!Y205</f>
        <v>0</v>
      </c>
      <c r="AC12" s="127">
        <f>+Actuals!Z205</f>
        <v>0</v>
      </c>
      <c r="AD12" s="126">
        <f>+Actuals!AA205</f>
        <v>0</v>
      </c>
      <c r="AE12" s="127">
        <f>+Actuals!AB205</f>
        <v>0</v>
      </c>
      <c r="AF12" s="126">
        <f>+Actuals!AC205</f>
        <v>0</v>
      </c>
      <c r="AG12" s="127">
        <f>+Actuals!AD205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6">
        <f>+Actuals!E206</f>
        <v>0</v>
      </c>
      <c r="I13" s="127">
        <f>+Actuals!F206</f>
        <v>0</v>
      </c>
      <c r="J13" s="126">
        <f>+Actuals!G206</f>
        <v>0</v>
      </c>
      <c r="K13" s="127">
        <f>+Actuals!H206</f>
        <v>0</v>
      </c>
      <c r="L13" s="126">
        <f>+Actuals!I206</f>
        <v>0</v>
      </c>
      <c r="M13" s="127">
        <f>+Actuals!J206</f>
        <v>0</v>
      </c>
      <c r="N13" s="126">
        <f>+Actuals!K206</f>
        <v>0</v>
      </c>
      <c r="O13" s="127">
        <f>+Actuals!L206</f>
        <v>0</v>
      </c>
      <c r="P13" s="126">
        <f>+Actuals!M206</f>
        <v>0</v>
      </c>
      <c r="Q13" s="127">
        <f>+Actuals!N206</f>
        <v>0</v>
      </c>
      <c r="R13" s="126">
        <f>+Actuals!O206</f>
        <v>0</v>
      </c>
      <c r="S13" s="127">
        <f>+Actuals!P206</f>
        <v>0</v>
      </c>
      <c r="T13" s="126">
        <f>+Actuals!Q206</f>
        <v>0</v>
      </c>
      <c r="U13" s="127">
        <f>+Actuals!R206</f>
        <v>0</v>
      </c>
      <c r="V13" s="126">
        <f>+Actuals!S206</f>
        <v>0</v>
      </c>
      <c r="W13" s="127">
        <f>+Actuals!T206</f>
        <v>0</v>
      </c>
      <c r="X13" s="126">
        <f>+Actuals!U206</f>
        <v>0</v>
      </c>
      <c r="Y13" s="127">
        <f>+Actuals!V206</f>
        <v>0</v>
      </c>
      <c r="Z13" s="126">
        <f>+Actuals!W206</f>
        <v>0</v>
      </c>
      <c r="AA13" s="127">
        <f>+Actuals!X206</f>
        <v>0</v>
      </c>
      <c r="AB13" s="126">
        <f>+Actuals!Y206</f>
        <v>0</v>
      </c>
      <c r="AC13" s="127">
        <f>+Actuals!Z206</f>
        <v>0</v>
      </c>
      <c r="AD13" s="126">
        <f>+Actuals!AA206</f>
        <v>0</v>
      </c>
      <c r="AE13" s="127">
        <f>+Actuals!AB206</f>
        <v>0</v>
      </c>
      <c r="AF13" s="126">
        <f>+Actuals!AC206</f>
        <v>0</v>
      </c>
      <c r="AG13" s="127">
        <f>+Actuals!AD206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6">
        <f>+Actuals!E207</f>
        <v>0</v>
      </c>
      <c r="I14" s="127">
        <f>+Actuals!F207</f>
        <v>0</v>
      </c>
      <c r="J14" s="126">
        <f>+Actuals!G207</f>
        <v>0</v>
      </c>
      <c r="K14" s="127">
        <f>+Actuals!H207</f>
        <v>0</v>
      </c>
      <c r="L14" s="126">
        <f>+Actuals!I207</f>
        <v>0</v>
      </c>
      <c r="M14" s="127">
        <f>+Actuals!J207</f>
        <v>0</v>
      </c>
      <c r="N14" s="126">
        <f>+Actuals!K207</f>
        <v>0</v>
      </c>
      <c r="O14" s="127">
        <f>+Actuals!L207</f>
        <v>0</v>
      </c>
      <c r="P14" s="126">
        <f>+Actuals!M207</f>
        <v>0</v>
      </c>
      <c r="Q14" s="127">
        <f>+Actuals!N207</f>
        <v>0</v>
      </c>
      <c r="R14" s="126">
        <f>+Actuals!O207</f>
        <v>0</v>
      </c>
      <c r="S14" s="127">
        <f>+Actuals!P207</f>
        <v>0</v>
      </c>
      <c r="T14" s="126">
        <f>+Actuals!Q207</f>
        <v>0</v>
      </c>
      <c r="U14" s="127">
        <f>+Actuals!R207</f>
        <v>0</v>
      </c>
      <c r="V14" s="126">
        <f>+Actuals!S207</f>
        <v>0</v>
      </c>
      <c r="W14" s="127">
        <f>+Actuals!T207</f>
        <v>0</v>
      </c>
      <c r="X14" s="126">
        <f>+Actuals!U207</f>
        <v>0</v>
      </c>
      <c r="Y14" s="127">
        <f>+Actuals!V207</f>
        <v>0</v>
      </c>
      <c r="Z14" s="126">
        <f>+Actuals!W207</f>
        <v>0</v>
      </c>
      <c r="AA14" s="127">
        <f>+Actuals!X207</f>
        <v>0</v>
      </c>
      <c r="AB14" s="126">
        <f>+Actuals!Y207</f>
        <v>0</v>
      </c>
      <c r="AC14" s="127">
        <f>+Actuals!Z207</f>
        <v>0</v>
      </c>
      <c r="AD14" s="126">
        <f>+Actuals!AA207</f>
        <v>0</v>
      </c>
      <c r="AE14" s="127">
        <f>+Actuals!AB207</f>
        <v>0</v>
      </c>
      <c r="AF14" s="126">
        <f>+Actuals!AC207</f>
        <v>0</v>
      </c>
      <c r="AG14" s="127">
        <f>+Actuals!AD207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6">
        <f>+Actuals!E208</f>
        <v>0</v>
      </c>
      <c r="I15" s="127">
        <f>+Actuals!F208</f>
        <v>0</v>
      </c>
      <c r="J15" s="126">
        <f>+Actuals!G208</f>
        <v>0</v>
      </c>
      <c r="K15" s="127">
        <f>+Actuals!H208</f>
        <v>0</v>
      </c>
      <c r="L15" s="126">
        <f>+Actuals!I208</f>
        <v>0</v>
      </c>
      <c r="M15" s="127">
        <f>+Actuals!J208</f>
        <v>0</v>
      </c>
      <c r="N15" s="126">
        <f>+Actuals!K208</f>
        <v>0</v>
      </c>
      <c r="O15" s="127">
        <f>+Actuals!L208</f>
        <v>0</v>
      </c>
      <c r="P15" s="126">
        <f>+Actuals!M208</f>
        <v>0</v>
      </c>
      <c r="Q15" s="127">
        <f>+Actuals!N208</f>
        <v>0</v>
      </c>
      <c r="R15" s="126">
        <f>+Actuals!O208</f>
        <v>0</v>
      </c>
      <c r="S15" s="127">
        <f>+Actuals!P208</f>
        <v>0</v>
      </c>
      <c r="T15" s="126">
        <f>+Actuals!Q208</f>
        <v>0</v>
      </c>
      <c r="U15" s="127">
        <f>+Actuals!R208</f>
        <v>0</v>
      </c>
      <c r="V15" s="126">
        <f>+Actuals!S208</f>
        <v>0</v>
      </c>
      <c r="W15" s="127">
        <f>+Actuals!T208</f>
        <v>0</v>
      </c>
      <c r="X15" s="126">
        <f>+Actuals!U208</f>
        <v>0</v>
      </c>
      <c r="Y15" s="127">
        <f>+Actuals!V208</f>
        <v>0</v>
      </c>
      <c r="Z15" s="126">
        <f>+Actuals!W208</f>
        <v>0</v>
      </c>
      <c r="AA15" s="127">
        <f>+Actuals!X208</f>
        <v>0</v>
      </c>
      <c r="AB15" s="126">
        <f>+Actuals!Y208</f>
        <v>0</v>
      </c>
      <c r="AC15" s="127">
        <f>+Actuals!Z208</f>
        <v>0</v>
      </c>
      <c r="AD15" s="126">
        <f>+Actuals!AA208</f>
        <v>0</v>
      </c>
      <c r="AE15" s="127">
        <f>+Actuals!AB208</f>
        <v>0</v>
      </c>
      <c r="AF15" s="126">
        <f>+Actuals!AC208</f>
        <v>0</v>
      </c>
      <c r="AG15" s="127">
        <f>+Actuals!AD208</f>
        <v>0</v>
      </c>
    </row>
    <row r="16" spans="1:33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6">
        <f>+Actuals!E209</f>
        <v>0</v>
      </c>
      <c r="I19" s="127">
        <f>+Actuals!F209</f>
        <v>0</v>
      </c>
      <c r="J19" s="126">
        <f>+Actuals!G209</f>
        <v>0</v>
      </c>
      <c r="K19" s="127">
        <f>+Actuals!H209</f>
        <v>0</v>
      </c>
      <c r="L19" s="126">
        <f>+Actuals!I209</f>
        <v>0</v>
      </c>
      <c r="M19" s="127">
        <f>+Actuals!J209</f>
        <v>0</v>
      </c>
      <c r="N19" s="126">
        <f>+Actuals!K209</f>
        <v>0</v>
      </c>
      <c r="O19" s="127">
        <f>+Actuals!L209</f>
        <v>0</v>
      </c>
      <c r="P19" s="126">
        <f>+Actuals!M209</f>
        <v>0</v>
      </c>
      <c r="Q19" s="127">
        <f>+Actuals!N209</f>
        <v>0</v>
      </c>
      <c r="R19" s="126">
        <f>+Actuals!O209</f>
        <v>0</v>
      </c>
      <c r="S19" s="127">
        <f>+Actuals!P209</f>
        <v>0</v>
      </c>
      <c r="T19" s="126">
        <f>+Actuals!Q209</f>
        <v>0</v>
      </c>
      <c r="U19" s="127">
        <f>+Actuals!R209</f>
        <v>0</v>
      </c>
      <c r="V19" s="126">
        <f>+Actuals!S209</f>
        <v>0</v>
      </c>
      <c r="W19" s="127">
        <f>+Actuals!T209</f>
        <v>0</v>
      </c>
      <c r="X19" s="126">
        <f>+Actuals!U209</f>
        <v>0</v>
      </c>
      <c r="Y19" s="127">
        <f>+Actuals!V209</f>
        <v>0</v>
      </c>
      <c r="Z19" s="126">
        <f>+Actuals!W209</f>
        <v>0</v>
      </c>
      <c r="AA19" s="127">
        <f>+Actuals!X209</f>
        <v>0</v>
      </c>
      <c r="AB19" s="126">
        <f>+Actuals!Y209</f>
        <v>0</v>
      </c>
      <c r="AC19" s="127">
        <f>+Actuals!Z209</f>
        <v>0</v>
      </c>
      <c r="AD19" s="126">
        <f>+Actuals!AA209</f>
        <v>0</v>
      </c>
      <c r="AE19" s="127">
        <f>+Actuals!AB209</f>
        <v>0</v>
      </c>
      <c r="AF19" s="126">
        <f>+Actuals!AC209</f>
        <v>0</v>
      </c>
      <c r="AG19" s="127">
        <f>+Actuals!AD209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6">
        <f>+Actuals!E210</f>
        <v>0</v>
      </c>
      <c r="I20" s="127">
        <f>+Actuals!F210</f>
        <v>0</v>
      </c>
      <c r="J20" s="126">
        <f>+Actuals!G210</f>
        <v>0</v>
      </c>
      <c r="K20" s="127">
        <f>+Actuals!H210</f>
        <v>0</v>
      </c>
      <c r="L20" s="126">
        <f>+Actuals!I210</f>
        <v>0</v>
      </c>
      <c r="M20" s="127">
        <f>+Actuals!J210</f>
        <v>0</v>
      </c>
      <c r="N20" s="126">
        <f>+Actuals!K210</f>
        <v>0</v>
      </c>
      <c r="O20" s="127">
        <f>+Actuals!L210</f>
        <v>0</v>
      </c>
      <c r="P20" s="126">
        <f>+Actuals!M210</f>
        <v>0</v>
      </c>
      <c r="Q20" s="127">
        <f>+Actuals!N210</f>
        <v>0</v>
      </c>
      <c r="R20" s="126">
        <f>+Actuals!O210</f>
        <v>0</v>
      </c>
      <c r="S20" s="127">
        <f>+Actuals!P210</f>
        <v>0</v>
      </c>
      <c r="T20" s="126">
        <f>+Actuals!Q210</f>
        <v>0</v>
      </c>
      <c r="U20" s="127">
        <f>+Actuals!R210</f>
        <v>0</v>
      </c>
      <c r="V20" s="126">
        <f>+Actuals!S210</f>
        <v>0</v>
      </c>
      <c r="W20" s="127">
        <f>+Actuals!T210</f>
        <v>0</v>
      </c>
      <c r="X20" s="126">
        <f>+Actuals!U210</f>
        <v>0</v>
      </c>
      <c r="Y20" s="127">
        <f>+Actuals!V210</f>
        <v>0</v>
      </c>
      <c r="Z20" s="126">
        <f>+Actuals!W210</f>
        <v>0</v>
      </c>
      <c r="AA20" s="127">
        <f>+Actuals!X210</f>
        <v>0</v>
      </c>
      <c r="AB20" s="126">
        <f>+Actuals!Y210</f>
        <v>0</v>
      </c>
      <c r="AC20" s="127">
        <f>+Actuals!Z210</f>
        <v>0</v>
      </c>
      <c r="AD20" s="126">
        <f>+Actuals!AA210</f>
        <v>0</v>
      </c>
      <c r="AE20" s="127">
        <f>+Actuals!AB210</f>
        <v>0</v>
      </c>
      <c r="AF20" s="126">
        <f>+Actuals!AC210</f>
        <v>0</v>
      </c>
      <c r="AG20" s="127">
        <f>+Actuals!AD210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6">
        <f>+Actuals!E211</f>
        <v>0</v>
      </c>
      <c r="I21" s="127">
        <f>+Actuals!F211</f>
        <v>0</v>
      </c>
      <c r="J21" s="126">
        <f>+Actuals!G211</f>
        <v>0</v>
      </c>
      <c r="K21" s="127">
        <f>+Actuals!H211</f>
        <v>0</v>
      </c>
      <c r="L21" s="126">
        <f>+Actuals!I211</f>
        <v>0</v>
      </c>
      <c r="M21" s="127">
        <f>+Actuals!J211</f>
        <v>0</v>
      </c>
      <c r="N21" s="126">
        <f>+Actuals!K211</f>
        <v>0</v>
      </c>
      <c r="O21" s="127">
        <f>+Actuals!L211</f>
        <v>0</v>
      </c>
      <c r="P21" s="126">
        <f>+Actuals!M211</f>
        <v>0</v>
      </c>
      <c r="Q21" s="127">
        <f>+Actuals!N211</f>
        <v>0</v>
      </c>
      <c r="R21" s="126">
        <f>+Actuals!O211</f>
        <v>0</v>
      </c>
      <c r="S21" s="127">
        <f>+Actuals!P211</f>
        <v>0</v>
      </c>
      <c r="T21" s="126">
        <f>+Actuals!Q211</f>
        <v>0</v>
      </c>
      <c r="U21" s="127">
        <f>+Actuals!R211</f>
        <v>0</v>
      </c>
      <c r="V21" s="126">
        <f>+Actuals!S211</f>
        <v>0</v>
      </c>
      <c r="W21" s="127">
        <f>+Actuals!T211</f>
        <v>0</v>
      </c>
      <c r="X21" s="126">
        <f>+Actuals!U211</f>
        <v>0</v>
      </c>
      <c r="Y21" s="127">
        <f>+Actuals!V211</f>
        <v>0</v>
      </c>
      <c r="Z21" s="126">
        <f>+Actuals!W211</f>
        <v>0</v>
      </c>
      <c r="AA21" s="127">
        <f>+Actuals!X211</f>
        <v>0</v>
      </c>
      <c r="AB21" s="126">
        <f>+Actuals!Y211</f>
        <v>0</v>
      </c>
      <c r="AC21" s="127">
        <f>+Actuals!Z211</f>
        <v>0</v>
      </c>
      <c r="AD21" s="126">
        <f>+Actuals!AA211</f>
        <v>0</v>
      </c>
      <c r="AE21" s="127">
        <f>+Actuals!AB211</f>
        <v>0</v>
      </c>
      <c r="AF21" s="126">
        <f>+Actuals!AC211</f>
        <v>0</v>
      </c>
      <c r="AG21" s="127">
        <f>+Actuals!AD211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6">
        <f>+Actuals!E212</f>
        <v>0</v>
      </c>
      <c r="I22" s="127">
        <f>+Actuals!F212</f>
        <v>0</v>
      </c>
      <c r="J22" s="126">
        <f>+Actuals!G212</f>
        <v>0</v>
      </c>
      <c r="K22" s="127">
        <f>+Actuals!H212</f>
        <v>0</v>
      </c>
      <c r="L22" s="126">
        <f>+Actuals!I212</f>
        <v>0</v>
      </c>
      <c r="M22" s="127">
        <f>+Actuals!J212</f>
        <v>0</v>
      </c>
      <c r="N22" s="126">
        <f>+Actuals!K212</f>
        <v>0</v>
      </c>
      <c r="O22" s="127">
        <f>+Actuals!L212</f>
        <v>0</v>
      </c>
      <c r="P22" s="126">
        <f>+Actuals!M212</f>
        <v>0</v>
      </c>
      <c r="Q22" s="127">
        <f>+Actuals!N212</f>
        <v>0</v>
      </c>
      <c r="R22" s="126">
        <f>+Actuals!O212</f>
        <v>0</v>
      </c>
      <c r="S22" s="127">
        <f>+Actuals!P212</f>
        <v>0</v>
      </c>
      <c r="T22" s="126">
        <f>+Actuals!Q212</f>
        <v>0</v>
      </c>
      <c r="U22" s="127">
        <f>+Actuals!R212</f>
        <v>0</v>
      </c>
      <c r="V22" s="126">
        <f>+Actuals!S212</f>
        <v>0</v>
      </c>
      <c r="W22" s="127">
        <f>+Actuals!T212</f>
        <v>0</v>
      </c>
      <c r="X22" s="126">
        <f>+Actuals!U212</f>
        <v>0</v>
      </c>
      <c r="Y22" s="127">
        <f>+Actuals!V212</f>
        <v>0</v>
      </c>
      <c r="Z22" s="126">
        <f>+Actuals!W212</f>
        <v>0</v>
      </c>
      <c r="AA22" s="127">
        <f>+Actuals!X212</f>
        <v>0</v>
      </c>
      <c r="AB22" s="126">
        <f>+Actuals!Y212</f>
        <v>0</v>
      </c>
      <c r="AC22" s="127">
        <f>+Actuals!Z212</f>
        <v>0</v>
      </c>
      <c r="AD22" s="126">
        <f>+Actuals!AA212</f>
        <v>0</v>
      </c>
      <c r="AE22" s="127">
        <f>+Actuals!AB212</f>
        <v>0</v>
      </c>
      <c r="AF22" s="126">
        <f>+Actuals!AC212</f>
        <v>0</v>
      </c>
      <c r="AG22" s="127">
        <f>+Actuals!AD212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6">
        <f>+Actuals!E213</f>
        <v>0</v>
      </c>
      <c r="I23" s="127">
        <f>+Actuals!F213</f>
        <v>0</v>
      </c>
      <c r="J23" s="126">
        <f>+Actuals!G213</f>
        <v>0</v>
      </c>
      <c r="K23" s="127">
        <f>+Actuals!H213</f>
        <v>0</v>
      </c>
      <c r="L23" s="126">
        <f>+Actuals!I213</f>
        <v>0</v>
      </c>
      <c r="M23" s="127">
        <f>+Actuals!J213</f>
        <v>0</v>
      </c>
      <c r="N23" s="126">
        <f>+Actuals!K213</f>
        <v>0</v>
      </c>
      <c r="O23" s="127">
        <f>+Actuals!L213</f>
        <v>0</v>
      </c>
      <c r="P23" s="126">
        <f>+Actuals!M213</f>
        <v>0</v>
      </c>
      <c r="Q23" s="127">
        <f>+Actuals!N213</f>
        <v>0</v>
      </c>
      <c r="R23" s="126">
        <f>+Actuals!O213</f>
        <v>0</v>
      </c>
      <c r="S23" s="127">
        <f>+Actuals!P213</f>
        <v>0</v>
      </c>
      <c r="T23" s="126">
        <f>+Actuals!Q213</f>
        <v>0</v>
      </c>
      <c r="U23" s="127">
        <f>+Actuals!R213</f>
        <v>0</v>
      </c>
      <c r="V23" s="126">
        <f>+Actuals!S213</f>
        <v>0</v>
      </c>
      <c r="W23" s="127">
        <f>+Actuals!T213</f>
        <v>0</v>
      </c>
      <c r="X23" s="126">
        <f>+Actuals!U213</f>
        <v>0</v>
      </c>
      <c r="Y23" s="127">
        <f>+Actuals!V213</f>
        <v>0</v>
      </c>
      <c r="Z23" s="126">
        <f>+Actuals!W213</f>
        <v>0</v>
      </c>
      <c r="AA23" s="127">
        <f>+Actuals!X213</f>
        <v>0</v>
      </c>
      <c r="AB23" s="126">
        <f>+Actuals!Y213</f>
        <v>0</v>
      </c>
      <c r="AC23" s="127">
        <f>+Actuals!Z213</f>
        <v>0</v>
      </c>
      <c r="AD23" s="126">
        <f>+Actuals!AA213</f>
        <v>0</v>
      </c>
      <c r="AE23" s="127">
        <f>+Actuals!AB213</f>
        <v>0</v>
      </c>
      <c r="AF23" s="126">
        <f>+Actuals!AC213</f>
        <v>0</v>
      </c>
      <c r="AG23" s="127">
        <f>+Actuals!AD213</f>
        <v>0</v>
      </c>
    </row>
    <row r="24" spans="1:33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'TIE-OUT'!N27+RECLASS!L27</f>
        <v>0</v>
      </c>
      <c r="G27" s="68">
        <f>'TIE-OUT'!O27+RECLASS!M27</f>
        <v>0</v>
      </c>
      <c r="H27" s="126">
        <f>+Actuals!E214</f>
        <v>0</v>
      </c>
      <c r="I27" s="127">
        <f>+Actuals!F214</f>
        <v>0</v>
      </c>
      <c r="J27" s="126">
        <f>+Actuals!G214</f>
        <v>0</v>
      </c>
      <c r="K27" s="127">
        <f>+Actuals!H214</f>
        <v>0</v>
      </c>
      <c r="L27" s="126">
        <f>+Actuals!I214</f>
        <v>0</v>
      </c>
      <c r="M27" s="127">
        <f>+Actuals!J214</f>
        <v>0</v>
      </c>
      <c r="N27" s="126">
        <f>+Actuals!K214</f>
        <v>0</v>
      </c>
      <c r="O27" s="127">
        <f>+Actuals!L214</f>
        <v>0</v>
      </c>
      <c r="P27" s="126">
        <f>+Actuals!M214</f>
        <v>0</v>
      </c>
      <c r="Q27" s="127">
        <f>+Actuals!N214</f>
        <v>0</v>
      </c>
      <c r="R27" s="126">
        <f>+Actuals!O214</f>
        <v>0</v>
      </c>
      <c r="S27" s="127">
        <f>+Actuals!P214</f>
        <v>0</v>
      </c>
      <c r="T27" s="126">
        <f>+Actuals!Q214</f>
        <v>0</v>
      </c>
      <c r="U27" s="127">
        <f>+Actuals!R214</f>
        <v>0</v>
      </c>
      <c r="V27" s="126">
        <f>+Actuals!S214</f>
        <v>0</v>
      </c>
      <c r="W27" s="127">
        <f>+Actuals!T214</f>
        <v>0</v>
      </c>
      <c r="X27" s="126">
        <f>+Actuals!U214</f>
        <v>0</v>
      </c>
      <c r="Y27" s="127">
        <f>+Actuals!V214</f>
        <v>0</v>
      </c>
      <c r="Z27" s="126">
        <f>+Actuals!W214</f>
        <v>0</v>
      </c>
      <c r="AA27" s="127">
        <f>+Actuals!X214</f>
        <v>0</v>
      </c>
      <c r="AB27" s="126">
        <f>+Actuals!Y214</f>
        <v>0</v>
      </c>
      <c r="AC27" s="127">
        <f>+Actuals!Z214</f>
        <v>0</v>
      </c>
      <c r="AD27" s="126">
        <f>+Actuals!AA214</f>
        <v>0</v>
      </c>
      <c r="AE27" s="127">
        <f>+Actuals!AB214</f>
        <v>0</v>
      </c>
      <c r="AF27" s="126">
        <f>+Actuals!AC214</f>
        <v>0</v>
      </c>
      <c r="AG27" s="127">
        <f>+Actuals!AD214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'TIE-OUT'!N28+RECLASS!L28</f>
        <v>0</v>
      </c>
      <c r="G28" s="82">
        <f>'TIE-OUT'!O28+RECLASS!M28</f>
        <v>0</v>
      </c>
      <c r="H28" s="126">
        <f>+Actuals!E215</f>
        <v>0</v>
      </c>
      <c r="I28" s="127">
        <f>+Actuals!F215</f>
        <v>0</v>
      </c>
      <c r="J28" s="126">
        <f>+Actuals!G215</f>
        <v>0</v>
      </c>
      <c r="K28" s="127">
        <f>+Actuals!H215</f>
        <v>0</v>
      </c>
      <c r="L28" s="126">
        <f>+Actuals!I215</f>
        <v>0</v>
      </c>
      <c r="M28" s="127">
        <f>+Actuals!J215</f>
        <v>0</v>
      </c>
      <c r="N28" s="126">
        <f>+Actuals!K215</f>
        <v>0</v>
      </c>
      <c r="O28" s="127">
        <f>+Actuals!L215</f>
        <v>0</v>
      </c>
      <c r="P28" s="126">
        <f>+Actuals!M215</f>
        <v>0</v>
      </c>
      <c r="Q28" s="127">
        <f>+Actuals!N215</f>
        <v>0</v>
      </c>
      <c r="R28" s="126">
        <f>+Actuals!O215</f>
        <v>0</v>
      </c>
      <c r="S28" s="127">
        <f>+Actuals!P215</f>
        <v>0</v>
      </c>
      <c r="T28" s="126">
        <f>+Actuals!Q215</f>
        <v>0</v>
      </c>
      <c r="U28" s="127">
        <f>+Actuals!R215</f>
        <v>0</v>
      </c>
      <c r="V28" s="126">
        <f>+Actuals!S215</f>
        <v>0</v>
      </c>
      <c r="W28" s="127">
        <f>+Actuals!T215</f>
        <v>0</v>
      </c>
      <c r="X28" s="126">
        <f>+Actuals!U215</f>
        <v>0</v>
      </c>
      <c r="Y28" s="127">
        <f>+Actuals!V215</f>
        <v>0</v>
      </c>
      <c r="Z28" s="126">
        <f>+Actuals!W215</f>
        <v>0</v>
      </c>
      <c r="AA28" s="127">
        <f>+Actuals!X215</f>
        <v>0</v>
      </c>
      <c r="AB28" s="126">
        <f>+Actuals!Y215</f>
        <v>0</v>
      </c>
      <c r="AC28" s="127">
        <f>+Actuals!Z215</f>
        <v>0</v>
      </c>
      <c r="AD28" s="126">
        <f>+Actuals!AA215</f>
        <v>0</v>
      </c>
      <c r="AE28" s="127">
        <f>+Actuals!AB215</f>
        <v>0</v>
      </c>
      <c r="AF28" s="126">
        <f>+Actuals!AC215</f>
        <v>0</v>
      </c>
      <c r="AG28" s="127">
        <f>+Actuals!AD215</f>
        <v>0</v>
      </c>
    </row>
    <row r="29" spans="1:33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6">
        <f>+Actuals!E216</f>
        <v>0</v>
      </c>
      <c r="I32" s="127">
        <f>+Actuals!F216</f>
        <v>0</v>
      </c>
      <c r="J32" s="126">
        <f>+Actuals!G216</f>
        <v>0</v>
      </c>
      <c r="K32" s="127">
        <f>+Actuals!H216</f>
        <v>0</v>
      </c>
      <c r="L32" s="126">
        <f>+Actuals!I216</f>
        <v>0</v>
      </c>
      <c r="M32" s="127">
        <f>+Actuals!J216</f>
        <v>0</v>
      </c>
      <c r="N32" s="126">
        <f>+Actuals!K216</f>
        <v>0</v>
      </c>
      <c r="O32" s="127">
        <f>+Actuals!L216</f>
        <v>0</v>
      </c>
      <c r="P32" s="126">
        <f>+Actuals!M216</f>
        <v>0</v>
      </c>
      <c r="Q32" s="127">
        <f>+Actuals!N216</f>
        <v>0</v>
      </c>
      <c r="R32" s="126">
        <f>+Actuals!O216</f>
        <v>0</v>
      </c>
      <c r="S32" s="127">
        <f>+Actuals!P216</f>
        <v>0</v>
      </c>
      <c r="T32" s="126">
        <f>+Actuals!Q216</f>
        <v>0</v>
      </c>
      <c r="U32" s="127">
        <f>+Actuals!R216</f>
        <v>0</v>
      </c>
      <c r="V32" s="126">
        <f>+Actuals!S216</f>
        <v>0</v>
      </c>
      <c r="W32" s="127">
        <f>+Actuals!T216</f>
        <v>0</v>
      </c>
      <c r="X32" s="126">
        <f>+Actuals!U216</f>
        <v>0</v>
      </c>
      <c r="Y32" s="127">
        <f>+Actuals!V216</f>
        <v>0</v>
      </c>
      <c r="Z32" s="126">
        <f>+Actuals!W216</f>
        <v>0</v>
      </c>
      <c r="AA32" s="127">
        <f>+Actuals!X216</f>
        <v>0</v>
      </c>
      <c r="AB32" s="126">
        <f>+Actuals!Y216</f>
        <v>0</v>
      </c>
      <c r="AC32" s="127">
        <f>+Actuals!Z216</f>
        <v>0</v>
      </c>
      <c r="AD32" s="126">
        <f>+Actuals!AA216</f>
        <v>0</v>
      </c>
      <c r="AE32" s="127">
        <f>+Actuals!AB216</f>
        <v>0</v>
      </c>
      <c r="AF32" s="126">
        <f>+Actuals!AC216</f>
        <v>0</v>
      </c>
      <c r="AG32" s="127">
        <f>+Actuals!AD216</f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6">
        <f>+Actuals!E217</f>
        <v>0</v>
      </c>
      <c r="I33" s="127">
        <f>+Actuals!F217</f>
        <v>0</v>
      </c>
      <c r="J33" s="126">
        <f>+Actuals!G217</f>
        <v>0</v>
      </c>
      <c r="K33" s="127">
        <f>+Actuals!H217</f>
        <v>0</v>
      </c>
      <c r="L33" s="126">
        <f>+Actuals!I217</f>
        <v>0</v>
      </c>
      <c r="M33" s="127">
        <f>+Actuals!J217</f>
        <v>0</v>
      </c>
      <c r="N33" s="126">
        <f>+Actuals!K217</f>
        <v>0</v>
      </c>
      <c r="O33" s="127">
        <f>+Actuals!L217</f>
        <v>0</v>
      </c>
      <c r="P33" s="126">
        <f>+Actuals!M217</f>
        <v>0</v>
      </c>
      <c r="Q33" s="127">
        <f>+Actuals!N217</f>
        <v>0</v>
      </c>
      <c r="R33" s="126">
        <f>+Actuals!O217</f>
        <v>0</v>
      </c>
      <c r="S33" s="127">
        <f>+Actuals!P217</f>
        <v>0</v>
      </c>
      <c r="T33" s="126">
        <f>+Actuals!Q217</f>
        <v>0</v>
      </c>
      <c r="U33" s="127">
        <f>+Actuals!R217</f>
        <v>0</v>
      </c>
      <c r="V33" s="126">
        <f>+Actuals!S217</f>
        <v>0</v>
      </c>
      <c r="W33" s="127">
        <f>+Actuals!T217</f>
        <v>0</v>
      </c>
      <c r="X33" s="126">
        <f>+Actuals!U217</f>
        <v>0</v>
      </c>
      <c r="Y33" s="127">
        <f>+Actuals!V217</f>
        <v>0</v>
      </c>
      <c r="Z33" s="126">
        <f>+Actuals!W217</f>
        <v>0</v>
      </c>
      <c r="AA33" s="127">
        <f>+Actuals!X217</f>
        <v>0</v>
      </c>
      <c r="AB33" s="126">
        <f>+Actuals!Y217</f>
        <v>0</v>
      </c>
      <c r="AC33" s="127">
        <f>+Actuals!Z217</f>
        <v>0</v>
      </c>
      <c r="AD33" s="126">
        <f>+Actuals!AA217</f>
        <v>0</v>
      </c>
      <c r="AE33" s="127">
        <f>+Actuals!AB217</f>
        <v>0</v>
      </c>
      <c r="AF33" s="126">
        <f>+Actuals!AC217</f>
        <v>0</v>
      </c>
      <c r="AG33" s="127">
        <f>+Actuals!AD217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6">
        <f>+Actuals!E218</f>
        <v>0</v>
      </c>
      <c r="I34" s="127">
        <f>+Actuals!F218</f>
        <v>0</v>
      </c>
      <c r="J34" s="126">
        <f>+Actuals!G218</f>
        <v>0</v>
      </c>
      <c r="K34" s="127">
        <f>+Actuals!H218</f>
        <v>0</v>
      </c>
      <c r="L34" s="126">
        <f>+Actuals!I218</f>
        <v>0</v>
      </c>
      <c r="M34" s="127">
        <f>+Actuals!J218</f>
        <v>0</v>
      </c>
      <c r="N34" s="126">
        <f>+Actuals!K218</f>
        <v>0</v>
      </c>
      <c r="O34" s="127">
        <f>+Actuals!L218</f>
        <v>0</v>
      </c>
      <c r="P34" s="126">
        <f>+Actuals!M218</f>
        <v>0</v>
      </c>
      <c r="Q34" s="127">
        <f>+Actuals!N218</f>
        <v>0</v>
      </c>
      <c r="R34" s="126">
        <f>+Actuals!O218</f>
        <v>0</v>
      </c>
      <c r="S34" s="127">
        <f>+Actuals!P218</f>
        <v>0</v>
      </c>
      <c r="T34" s="126">
        <f>+Actuals!Q218</f>
        <v>0</v>
      </c>
      <c r="U34" s="127">
        <f>+Actuals!R218</f>
        <v>0</v>
      </c>
      <c r="V34" s="126">
        <f>+Actuals!S218</f>
        <v>0</v>
      </c>
      <c r="W34" s="127">
        <f>+Actuals!T218</f>
        <v>0</v>
      </c>
      <c r="X34" s="126">
        <f>+Actuals!U218</f>
        <v>0</v>
      </c>
      <c r="Y34" s="127">
        <f>+Actuals!V218</f>
        <v>0</v>
      </c>
      <c r="Z34" s="126">
        <f>+Actuals!W218</f>
        <v>0</v>
      </c>
      <c r="AA34" s="127">
        <f>+Actuals!X218</f>
        <v>0</v>
      </c>
      <c r="AB34" s="126">
        <f>+Actuals!Y218</f>
        <v>0</v>
      </c>
      <c r="AC34" s="127">
        <f>+Actuals!Z218</f>
        <v>0</v>
      </c>
      <c r="AD34" s="126">
        <f>+Actuals!AA218</f>
        <v>0</v>
      </c>
      <c r="AE34" s="127">
        <f>+Actuals!AB218</f>
        <v>0</v>
      </c>
      <c r="AF34" s="126">
        <f>+Actuals!AC218</f>
        <v>0</v>
      </c>
      <c r="AG34" s="127">
        <f>+Actuals!AD218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333115</v>
      </c>
      <c r="F35" s="81">
        <f>'TIE-OUT'!N35+RECLASS!L35</f>
        <v>0</v>
      </c>
      <c r="G35" s="82">
        <f>'TIE-OUT'!O35+RECLASS!M35</f>
        <v>0</v>
      </c>
      <c r="H35" s="126">
        <f>+Actuals!E219</f>
        <v>0</v>
      </c>
      <c r="I35" s="127">
        <f>+Actuals!F219</f>
        <v>0</v>
      </c>
      <c r="J35" s="126">
        <f>+Actuals!G219</f>
        <v>0</v>
      </c>
      <c r="K35" s="127">
        <f>+Actuals!H219</f>
        <v>0</v>
      </c>
      <c r="L35" s="126">
        <f>+Actuals!I219</f>
        <v>0</v>
      </c>
      <c r="M35" s="127">
        <f>+Actuals!J219</f>
        <v>0</v>
      </c>
      <c r="N35" s="126">
        <f>+Actuals!K219</f>
        <v>0</v>
      </c>
      <c r="O35" s="127">
        <f>+Actuals!L219</f>
        <v>0</v>
      </c>
      <c r="P35" s="126">
        <f>+Actuals!M219</f>
        <v>0</v>
      </c>
      <c r="Q35" s="127">
        <f>+Actuals!N219</f>
        <v>0</v>
      </c>
      <c r="R35" s="126">
        <f>+Actuals!O219</f>
        <v>0</v>
      </c>
      <c r="S35" s="127">
        <f>+Actuals!P219</f>
        <v>0</v>
      </c>
      <c r="T35" s="126">
        <f>+Actuals!Q219</f>
        <v>0</v>
      </c>
      <c r="U35" s="127">
        <f>+Actuals!R219</f>
        <v>0</v>
      </c>
      <c r="V35" s="126">
        <f>+Actuals!S219</f>
        <v>0</v>
      </c>
      <c r="W35" s="127">
        <f>+Actuals!T219</f>
        <v>0</v>
      </c>
      <c r="X35" s="126">
        <f>+Actuals!U219</f>
        <v>0</v>
      </c>
      <c r="Y35" s="153">
        <f>+Actuals!V219+333115</f>
        <v>333115</v>
      </c>
      <c r="Z35" s="126">
        <f>+Actuals!W219</f>
        <v>0</v>
      </c>
      <c r="AA35" s="153">
        <f>+Actuals!X219</f>
        <v>0</v>
      </c>
      <c r="AB35" s="126">
        <f>+Actuals!Y219</f>
        <v>0</v>
      </c>
      <c r="AC35" s="127">
        <f>+Actuals!Z219</f>
        <v>0</v>
      </c>
      <c r="AD35" s="126">
        <f>+Actuals!AA219</f>
        <v>0</v>
      </c>
      <c r="AE35" s="127">
        <f>+Actuals!AB219</f>
        <v>0</v>
      </c>
      <c r="AF35" s="126">
        <f>+Actuals!AC219</f>
        <v>0</v>
      </c>
      <c r="AG35" s="127">
        <f>+Actuals!AD219</f>
        <v>0</v>
      </c>
    </row>
    <row r="36" spans="1:33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333115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333115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6">
        <f>+Actuals!E220</f>
        <v>0</v>
      </c>
      <c r="I39" s="127">
        <f>+Actuals!F220</f>
        <v>0</v>
      </c>
      <c r="J39" s="126">
        <f>+Actuals!G220</f>
        <v>0</v>
      </c>
      <c r="K39" s="127">
        <f>+Actuals!H220</f>
        <v>0</v>
      </c>
      <c r="L39" s="126">
        <f>+Actuals!I220</f>
        <v>0</v>
      </c>
      <c r="M39" s="127">
        <f>+Actuals!J220</f>
        <v>0</v>
      </c>
      <c r="N39" s="126">
        <f>+Actuals!K220</f>
        <v>0</v>
      </c>
      <c r="O39" s="127">
        <f>+Actuals!L220</f>
        <v>0</v>
      </c>
      <c r="P39" s="126">
        <f>+Actuals!M220</f>
        <v>0</v>
      </c>
      <c r="Q39" s="127">
        <f>+Actuals!N220</f>
        <v>0</v>
      </c>
      <c r="R39" s="126">
        <f>+Actuals!O220</f>
        <v>0</v>
      </c>
      <c r="S39" s="127">
        <f>+Actuals!P220</f>
        <v>0</v>
      </c>
      <c r="T39" s="126">
        <f>+Actuals!Q220</f>
        <v>0</v>
      </c>
      <c r="U39" s="127">
        <f>+Actuals!R220</f>
        <v>0</v>
      </c>
      <c r="V39" s="126">
        <f>+Actuals!S220</f>
        <v>0</v>
      </c>
      <c r="W39" s="127">
        <f>+Actuals!T220</f>
        <v>0</v>
      </c>
      <c r="X39" s="126">
        <f>+Actuals!U220</f>
        <v>0</v>
      </c>
      <c r="Y39" s="127">
        <f>+Actuals!V220</f>
        <v>0</v>
      </c>
      <c r="Z39" s="126">
        <f>+Actuals!W220</f>
        <v>0</v>
      </c>
      <c r="AA39" s="127">
        <f>+Actuals!X220</f>
        <v>0</v>
      </c>
      <c r="AB39" s="126">
        <f>+Actuals!Y220</f>
        <v>0</v>
      </c>
      <c r="AC39" s="127">
        <f>+Actuals!Z220</f>
        <v>0</v>
      </c>
      <c r="AD39" s="126">
        <f>+Actuals!AA220</f>
        <v>0</v>
      </c>
      <c r="AE39" s="127">
        <f>+Actuals!AB220</f>
        <v>0</v>
      </c>
      <c r="AF39" s="126">
        <f>+Actuals!AC220</f>
        <v>0</v>
      </c>
      <c r="AG39" s="127">
        <f>+Actuals!AD220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6">
        <f>+Actuals!E221</f>
        <v>0</v>
      </c>
      <c r="I40" s="127">
        <f>+Actuals!F221</f>
        <v>0</v>
      </c>
      <c r="J40" s="126">
        <f>+Actuals!G221</f>
        <v>0</v>
      </c>
      <c r="K40" s="127">
        <f>+Actuals!H221</f>
        <v>0</v>
      </c>
      <c r="L40" s="126">
        <f>+Actuals!I221</f>
        <v>0</v>
      </c>
      <c r="M40" s="127">
        <f>+Actuals!J221</f>
        <v>0</v>
      </c>
      <c r="N40" s="126">
        <f>+Actuals!K221</f>
        <v>0</v>
      </c>
      <c r="O40" s="127">
        <f>+Actuals!L221</f>
        <v>0</v>
      </c>
      <c r="P40" s="126">
        <f>+Actuals!M221</f>
        <v>0</v>
      </c>
      <c r="Q40" s="127">
        <f>+Actuals!N221</f>
        <v>0</v>
      </c>
      <c r="R40" s="126">
        <f>+Actuals!O221</f>
        <v>0</v>
      </c>
      <c r="S40" s="127">
        <f>+Actuals!P221</f>
        <v>0</v>
      </c>
      <c r="T40" s="126">
        <f>+Actuals!Q221</f>
        <v>0</v>
      </c>
      <c r="U40" s="127">
        <f>+Actuals!R221</f>
        <v>0</v>
      </c>
      <c r="V40" s="126">
        <f>+Actuals!S221</f>
        <v>0</v>
      </c>
      <c r="W40" s="127">
        <f>+Actuals!T221</f>
        <v>0</v>
      </c>
      <c r="X40" s="126">
        <f>+Actuals!U221</f>
        <v>0</v>
      </c>
      <c r="Y40" s="127">
        <f>+Actuals!V221</f>
        <v>0</v>
      </c>
      <c r="Z40" s="126">
        <f>+Actuals!W221</f>
        <v>0</v>
      </c>
      <c r="AA40" s="127">
        <f>+Actuals!X221</f>
        <v>0</v>
      </c>
      <c r="AB40" s="126">
        <f>+Actuals!Y221</f>
        <v>0</v>
      </c>
      <c r="AC40" s="127">
        <f>+Actuals!Z221</f>
        <v>0</v>
      </c>
      <c r="AD40" s="126">
        <f>+Actuals!AA221</f>
        <v>0</v>
      </c>
      <c r="AE40" s="127">
        <f>+Actuals!AB221</f>
        <v>0</v>
      </c>
      <c r="AF40" s="126">
        <f>+Actuals!AC221</f>
        <v>0</v>
      </c>
      <c r="AG40" s="127">
        <f>+Actuals!AD221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6">
        <f>+Actuals!E222</f>
        <v>0</v>
      </c>
      <c r="I41" s="127">
        <f>+Actuals!F222</f>
        <v>0</v>
      </c>
      <c r="J41" s="126">
        <f>+Actuals!G222</f>
        <v>0</v>
      </c>
      <c r="K41" s="127">
        <f>+Actuals!H222</f>
        <v>0</v>
      </c>
      <c r="L41" s="126">
        <f>+Actuals!I222</f>
        <v>0</v>
      </c>
      <c r="M41" s="127">
        <f>+Actuals!J222</f>
        <v>0</v>
      </c>
      <c r="N41" s="126">
        <f>+Actuals!K222</f>
        <v>0</v>
      </c>
      <c r="O41" s="127">
        <f>+Actuals!L222</f>
        <v>0</v>
      </c>
      <c r="P41" s="126">
        <f>+Actuals!M222</f>
        <v>0</v>
      </c>
      <c r="Q41" s="127">
        <f>+Actuals!N222</f>
        <v>0</v>
      </c>
      <c r="R41" s="126">
        <f>+Actuals!O222</f>
        <v>0</v>
      </c>
      <c r="S41" s="127">
        <f>+Actuals!P222</f>
        <v>0</v>
      </c>
      <c r="T41" s="126">
        <f>+Actuals!Q222</f>
        <v>0</v>
      </c>
      <c r="U41" s="127">
        <f>+Actuals!R222</f>
        <v>0</v>
      </c>
      <c r="V41" s="126">
        <f>+Actuals!S222</f>
        <v>0</v>
      </c>
      <c r="W41" s="127">
        <f>+Actuals!T222</f>
        <v>0</v>
      </c>
      <c r="X41" s="126">
        <f>+Actuals!U222</f>
        <v>0</v>
      </c>
      <c r="Y41" s="127">
        <f>+Actuals!V222</f>
        <v>0</v>
      </c>
      <c r="Z41" s="126">
        <f>+Actuals!W222</f>
        <v>0</v>
      </c>
      <c r="AA41" s="127">
        <f>+Actuals!X222</f>
        <v>0</v>
      </c>
      <c r="AB41" s="126">
        <f>+Actuals!Y222</f>
        <v>0</v>
      </c>
      <c r="AC41" s="127">
        <f>+Actuals!Z222</f>
        <v>0</v>
      </c>
      <c r="AD41" s="126">
        <f>+Actuals!AA222</f>
        <v>0</v>
      </c>
      <c r="AE41" s="127">
        <f>+Actuals!AB222</f>
        <v>0</v>
      </c>
      <c r="AF41" s="126">
        <f>+Actuals!AC222</f>
        <v>0</v>
      </c>
      <c r="AG41" s="127">
        <f>+Actuals!AD222</f>
        <v>0</v>
      </c>
    </row>
    <row r="42" spans="1:33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'TIE-OUT'!N45+RECLASS!L45</f>
        <v>0</v>
      </c>
      <c r="G45" s="68">
        <f>'TIE-OUT'!O45+RECLASS!M45</f>
        <v>0</v>
      </c>
      <c r="H45" s="126">
        <f>+Actuals!E223</f>
        <v>0</v>
      </c>
      <c r="I45" s="127">
        <f>+Actuals!F223</f>
        <v>0</v>
      </c>
      <c r="J45" s="126">
        <f>+Actuals!G223</f>
        <v>0</v>
      </c>
      <c r="K45" s="127">
        <f>+Actuals!H223</f>
        <v>0</v>
      </c>
      <c r="L45" s="126">
        <f>+Actuals!I223</f>
        <v>0</v>
      </c>
      <c r="M45" s="127">
        <f>+Actuals!J223</f>
        <v>0</v>
      </c>
      <c r="N45" s="126">
        <f>+Actuals!K223</f>
        <v>0</v>
      </c>
      <c r="O45" s="127">
        <f>+Actuals!L223</f>
        <v>0</v>
      </c>
      <c r="P45" s="126">
        <f>+Actuals!M223</f>
        <v>0</v>
      </c>
      <c r="Q45" s="127">
        <f>+Actuals!N223</f>
        <v>0</v>
      </c>
      <c r="R45" s="126">
        <f>+Actuals!O223</f>
        <v>0</v>
      </c>
      <c r="S45" s="127">
        <f>+Actuals!P223</f>
        <v>0</v>
      </c>
      <c r="T45" s="126">
        <f>+Actuals!Q223</f>
        <v>0</v>
      </c>
      <c r="U45" s="127">
        <f>+Actuals!R223</f>
        <v>0</v>
      </c>
      <c r="V45" s="126">
        <f>+Actuals!S223</f>
        <v>0</v>
      </c>
      <c r="W45" s="127">
        <f>+Actuals!T223</f>
        <v>0</v>
      </c>
      <c r="X45" s="126">
        <f>+Actuals!U223</f>
        <v>0</v>
      </c>
      <c r="Y45" s="127">
        <f>+Actuals!V223</f>
        <v>0</v>
      </c>
      <c r="Z45" s="126">
        <f>+Actuals!W223</f>
        <v>0</v>
      </c>
      <c r="AA45" s="127">
        <f>+Actuals!X223</f>
        <v>0</v>
      </c>
      <c r="AB45" s="126">
        <f>+Actuals!Y223</f>
        <v>0</v>
      </c>
      <c r="AC45" s="127">
        <f>+Actuals!Z223</f>
        <v>0</v>
      </c>
      <c r="AD45" s="126">
        <f>+Actuals!AA223</f>
        <v>0</v>
      </c>
      <c r="AE45" s="127">
        <f>+Actuals!AB223</f>
        <v>0</v>
      </c>
      <c r="AF45" s="126">
        <f>+Actuals!AC223</f>
        <v>0</v>
      </c>
      <c r="AG45" s="127">
        <f>+Actuals!AD223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'TIE-OUT'!N47+RECLASS!L47</f>
        <v>0</v>
      </c>
      <c r="G47" s="38">
        <f>'TIE-OUT'!O47+RECLASS!M47</f>
        <v>0</v>
      </c>
      <c r="H47" s="126">
        <f>+Actuals!E224</f>
        <v>0</v>
      </c>
      <c r="I47" s="127">
        <f>+Actuals!F224</f>
        <v>0</v>
      </c>
      <c r="J47" s="126">
        <f>+Actuals!G224</f>
        <v>0</v>
      </c>
      <c r="K47" s="127">
        <f>+Actuals!H224</f>
        <v>0</v>
      </c>
      <c r="L47" s="126">
        <f>+Actuals!I224</f>
        <v>0</v>
      </c>
      <c r="M47" s="127">
        <f>+Actuals!J224</f>
        <v>0</v>
      </c>
      <c r="N47" s="126">
        <f>+Actuals!K224</f>
        <v>0</v>
      </c>
      <c r="O47" s="127">
        <f>+Actuals!L224</f>
        <v>0</v>
      </c>
      <c r="P47" s="126">
        <f>+Actuals!M224</f>
        <v>0</v>
      </c>
      <c r="Q47" s="127">
        <f>+Actuals!N224</f>
        <v>0</v>
      </c>
      <c r="R47" s="126">
        <f>+Actuals!O224</f>
        <v>0</v>
      </c>
      <c r="S47" s="127">
        <f>+Actuals!P224</f>
        <v>0</v>
      </c>
      <c r="T47" s="126">
        <f>+Actuals!Q224</f>
        <v>0</v>
      </c>
      <c r="U47" s="127">
        <f>+Actuals!R224</f>
        <v>0</v>
      </c>
      <c r="V47" s="126">
        <f>+Actuals!S224</f>
        <v>0</v>
      </c>
      <c r="W47" s="127">
        <f>+Actuals!T224</f>
        <v>0</v>
      </c>
      <c r="X47" s="126">
        <f>+Actuals!U224</f>
        <v>0</v>
      </c>
      <c r="Y47" s="127">
        <f>+Actuals!V224</f>
        <v>0</v>
      </c>
      <c r="Z47" s="126">
        <f>+Actuals!W224</f>
        <v>0</v>
      </c>
      <c r="AA47" s="127">
        <f>+Actuals!X224</f>
        <v>0</v>
      </c>
      <c r="AB47" s="126">
        <f>+Actuals!Y224</f>
        <v>0</v>
      </c>
      <c r="AC47" s="127">
        <f>+Actuals!Z224</f>
        <v>0</v>
      </c>
      <c r="AD47" s="126">
        <f>+Actuals!AA224</f>
        <v>0</v>
      </c>
      <c r="AE47" s="127">
        <f>+Actuals!AB224</f>
        <v>0</v>
      </c>
      <c r="AF47" s="126">
        <f>+Actuals!AC224</f>
        <v>0</v>
      </c>
      <c r="AG47" s="127">
        <f>+Actuals!AD224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'TIE-OUT'!N49+RECLASS!L49</f>
        <v>0</v>
      </c>
      <c r="G49" s="38">
        <f>'TIE-OUT'!O49+RECLASS!M49</f>
        <v>0</v>
      </c>
      <c r="H49" s="126">
        <f>+Actuals!E225</f>
        <v>0</v>
      </c>
      <c r="I49" s="127">
        <f>+Actuals!F225</f>
        <v>0</v>
      </c>
      <c r="J49" s="126">
        <f>+Actuals!G225</f>
        <v>0</v>
      </c>
      <c r="K49" s="127">
        <f>+Actuals!H225</f>
        <v>0</v>
      </c>
      <c r="L49" s="126">
        <f>+Actuals!I225</f>
        <v>0</v>
      </c>
      <c r="M49" s="127">
        <f>+Actuals!J225</f>
        <v>0</v>
      </c>
      <c r="N49" s="126">
        <f>+Actuals!K225</f>
        <v>0</v>
      </c>
      <c r="O49" s="127">
        <f>+Actuals!L225</f>
        <v>0</v>
      </c>
      <c r="P49" s="126">
        <f>+Actuals!M225</f>
        <v>0</v>
      </c>
      <c r="Q49" s="127">
        <f>+Actuals!N225</f>
        <v>0</v>
      </c>
      <c r="R49" s="126">
        <f>+Actuals!O225</f>
        <v>0</v>
      </c>
      <c r="S49" s="127">
        <f>+Actuals!P225</f>
        <v>0</v>
      </c>
      <c r="T49" s="126">
        <f>+Actuals!Q225</f>
        <v>0</v>
      </c>
      <c r="U49" s="127">
        <f>+Actuals!R225</f>
        <v>0</v>
      </c>
      <c r="V49" s="126">
        <f>+Actuals!S225</f>
        <v>0</v>
      </c>
      <c r="W49" s="127">
        <f>+Actuals!T225</f>
        <v>0</v>
      </c>
      <c r="X49" s="126">
        <f>+Actuals!U225</f>
        <v>0</v>
      </c>
      <c r="Y49" s="127">
        <f>+Actuals!V225</f>
        <v>0</v>
      </c>
      <c r="Z49" s="126">
        <f>+Actuals!W225</f>
        <v>0</v>
      </c>
      <c r="AA49" s="127">
        <f>+Actuals!X225</f>
        <v>0</v>
      </c>
      <c r="AB49" s="126">
        <f>+Actuals!Y225</f>
        <v>0</v>
      </c>
      <c r="AC49" s="127">
        <f>+Actuals!Z225</f>
        <v>0</v>
      </c>
      <c r="AD49" s="126">
        <f>+Actuals!AA225</f>
        <v>0</v>
      </c>
      <c r="AE49" s="127">
        <f>+Actuals!AB225</f>
        <v>0</v>
      </c>
      <c r="AF49" s="126">
        <f>+Actuals!AC225</f>
        <v>0</v>
      </c>
      <c r="AG49" s="127">
        <f>+Actuals!AD225</f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'TIE-OUT'!N51+RECLASS!L51</f>
        <v>0</v>
      </c>
      <c r="G51" s="38">
        <f>'TIE-OUT'!O51+RECLASS!M51</f>
        <v>0</v>
      </c>
      <c r="H51" s="126">
        <f>+Actuals!E226</f>
        <v>0</v>
      </c>
      <c r="I51" s="127">
        <f>+Actuals!F226</f>
        <v>0</v>
      </c>
      <c r="J51" s="126">
        <f>+Actuals!G226</f>
        <v>0</v>
      </c>
      <c r="K51" s="127">
        <f>+Actuals!H226</f>
        <v>0</v>
      </c>
      <c r="L51" s="126">
        <f>+Actuals!I226</f>
        <v>0</v>
      </c>
      <c r="M51" s="127">
        <f>+Actuals!J226</f>
        <v>0</v>
      </c>
      <c r="N51" s="126">
        <f>+Actuals!K226</f>
        <v>0</v>
      </c>
      <c r="O51" s="127">
        <f>+Actuals!L226</f>
        <v>0</v>
      </c>
      <c r="P51" s="126">
        <f>+Actuals!M226</f>
        <v>0</v>
      </c>
      <c r="Q51" s="127">
        <f>+Actuals!N226</f>
        <v>0</v>
      </c>
      <c r="R51" s="126">
        <f>+Actuals!O226</f>
        <v>0</v>
      </c>
      <c r="S51" s="127">
        <f>+Actuals!P226</f>
        <v>0</v>
      </c>
      <c r="T51" s="126">
        <f>+Actuals!Q226</f>
        <v>0</v>
      </c>
      <c r="U51" s="127">
        <f>+Actuals!R226</f>
        <v>0</v>
      </c>
      <c r="V51" s="126">
        <f>+Actuals!S226</f>
        <v>0</v>
      </c>
      <c r="W51" s="127">
        <f>+Actuals!T226</f>
        <v>0</v>
      </c>
      <c r="X51" s="126">
        <f>+Actuals!U226</f>
        <v>0</v>
      </c>
      <c r="Y51" s="127">
        <f>+Actuals!V226</f>
        <v>0</v>
      </c>
      <c r="Z51" s="126">
        <f>+Actuals!W226</f>
        <v>0</v>
      </c>
      <c r="AA51" s="127">
        <f>+Actuals!X226</f>
        <v>0</v>
      </c>
      <c r="AB51" s="126">
        <f>+Actuals!Y226</f>
        <v>0</v>
      </c>
      <c r="AC51" s="127">
        <f>+Actuals!Z226</f>
        <v>0</v>
      </c>
      <c r="AD51" s="126">
        <f>+Actuals!AA226</f>
        <v>0</v>
      </c>
      <c r="AE51" s="127">
        <f>+Actuals!AB226</f>
        <v>0</v>
      </c>
      <c r="AF51" s="126">
        <f>+Actuals!AC226</f>
        <v>0</v>
      </c>
      <c r="AG51" s="127">
        <f>+Actuals!AD226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'TIE-OUT'!N54+RECLASS!L54</f>
        <v>0</v>
      </c>
      <c r="G54" s="68">
        <f>'TIE-OUT'!O54+RECLASS!M54</f>
        <v>0</v>
      </c>
      <c r="H54" s="126">
        <f>+Actuals!E227</f>
        <v>0</v>
      </c>
      <c r="I54" s="127">
        <f>+Actuals!F227</f>
        <v>0</v>
      </c>
      <c r="J54" s="126">
        <f>+Actuals!G227</f>
        <v>0</v>
      </c>
      <c r="K54" s="127">
        <f>+Actuals!H227</f>
        <v>0</v>
      </c>
      <c r="L54" s="126">
        <f>+Actuals!I227</f>
        <v>0</v>
      </c>
      <c r="M54" s="127">
        <f>+Actuals!J227</f>
        <v>0</v>
      </c>
      <c r="N54" s="126">
        <f>+Actuals!K227</f>
        <v>0</v>
      </c>
      <c r="O54" s="127">
        <f>+Actuals!L227</f>
        <v>0</v>
      </c>
      <c r="P54" s="126">
        <f>+Actuals!M227</f>
        <v>0</v>
      </c>
      <c r="Q54" s="127">
        <f>+Actuals!N227</f>
        <v>0</v>
      </c>
      <c r="R54" s="126">
        <f>+Actuals!O227</f>
        <v>0</v>
      </c>
      <c r="S54" s="127">
        <f>+Actuals!P227</f>
        <v>0</v>
      </c>
      <c r="T54" s="126">
        <f>+Actuals!Q227</f>
        <v>0</v>
      </c>
      <c r="U54" s="127">
        <f>+Actuals!R227</f>
        <v>0</v>
      </c>
      <c r="V54" s="126">
        <f>+Actuals!S227</f>
        <v>0</v>
      </c>
      <c r="W54" s="127">
        <f>+Actuals!T227</f>
        <v>0</v>
      </c>
      <c r="X54" s="126">
        <f>+Actuals!U227</f>
        <v>0</v>
      </c>
      <c r="Y54" s="127">
        <f>+Actuals!V227</f>
        <v>0</v>
      </c>
      <c r="Z54" s="126">
        <f>+Actuals!W227</f>
        <v>0</v>
      </c>
      <c r="AA54" s="127">
        <f>+Actuals!X227</f>
        <v>0</v>
      </c>
      <c r="AB54" s="126">
        <f>+Actuals!Y227</f>
        <v>0</v>
      </c>
      <c r="AC54" s="127">
        <f>+Actuals!Z227</f>
        <v>0</v>
      </c>
      <c r="AD54" s="126">
        <f>+Actuals!AA227</f>
        <v>0</v>
      </c>
      <c r="AE54" s="127">
        <f>+Actuals!AB227</f>
        <v>0</v>
      </c>
      <c r="AF54" s="126">
        <f>+Actuals!AC227</f>
        <v>0</v>
      </c>
      <c r="AG54" s="127">
        <f>+Actuals!AD227</f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'TIE-OUT'!N55+RECLASS!L55</f>
        <v>0</v>
      </c>
      <c r="G55" s="82">
        <f>'TIE-OUT'!O55+RECLASS!M55</f>
        <v>0</v>
      </c>
      <c r="H55" s="126">
        <f>+Actuals!E228</f>
        <v>0</v>
      </c>
      <c r="I55" s="127">
        <f>+Actuals!F228</f>
        <v>0</v>
      </c>
      <c r="J55" s="126">
        <f>+Actuals!G228</f>
        <v>0</v>
      </c>
      <c r="K55" s="127">
        <f>+Actuals!H228</f>
        <v>0</v>
      </c>
      <c r="L55" s="126">
        <f>+Actuals!I228</f>
        <v>0</v>
      </c>
      <c r="M55" s="127">
        <f>+Actuals!J228</f>
        <v>0</v>
      </c>
      <c r="N55" s="126">
        <f>+Actuals!K228</f>
        <v>0</v>
      </c>
      <c r="O55" s="127">
        <f>+Actuals!L228</f>
        <v>0</v>
      </c>
      <c r="P55" s="126">
        <f>+Actuals!M228</f>
        <v>0</v>
      </c>
      <c r="Q55" s="127">
        <f>+Actuals!N228</f>
        <v>0</v>
      </c>
      <c r="R55" s="126">
        <f>+Actuals!O228</f>
        <v>0</v>
      </c>
      <c r="S55" s="127">
        <f>+Actuals!P228</f>
        <v>0</v>
      </c>
      <c r="T55" s="126">
        <f>+Actuals!Q228</f>
        <v>0</v>
      </c>
      <c r="U55" s="127">
        <f>+Actuals!R228</f>
        <v>0</v>
      </c>
      <c r="V55" s="126">
        <f>+Actuals!S228</f>
        <v>0</v>
      </c>
      <c r="W55" s="127">
        <f>+Actuals!T228</f>
        <v>0</v>
      </c>
      <c r="X55" s="126">
        <f>+Actuals!U228</f>
        <v>0</v>
      </c>
      <c r="Y55" s="127">
        <f>+Actuals!V228</f>
        <v>0</v>
      </c>
      <c r="Z55" s="126">
        <f>+Actuals!W228</f>
        <v>0</v>
      </c>
      <c r="AA55" s="127">
        <f>+Actuals!X228</f>
        <v>0</v>
      </c>
      <c r="AB55" s="126">
        <f>+Actuals!Y228</f>
        <v>0</v>
      </c>
      <c r="AC55" s="127">
        <f>+Actuals!Z228</f>
        <v>0</v>
      </c>
      <c r="AD55" s="126">
        <f>+Actuals!AA228</f>
        <v>0</v>
      </c>
      <c r="AE55" s="127">
        <f>+Actuals!AB228</f>
        <v>0</v>
      </c>
      <c r="AF55" s="126">
        <f>+Actuals!AC228</f>
        <v>0</v>
      </c>
      <c r="AG55" s="127">
        <f>+Actuals!AD228</f>
        <v>0</v>
      </c>
    </row>
    <row r="56" spans="1:33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'TIE-OUT'!N59+RECLASS!L59</f>
        <v>0</v>
      </c>
      <c r="G59" s="68">
        <f>'TIE-OUT'!O59+RECLASS!M59</f>
        <v>0</v>
      </c>
      <c r="H59" s="126">
        <f>+Actuals!E229</f>
        <v>0</v>
      </c>
      <c r="I59" s="127">
        <f>+Actuals!F229</f>
        <v>0</v>
      </c>
      <c r="J59" s="126">
        <f>+Actuals!G229</f>
        <v>0</v>
      </c>
      <c r="K59" s="127">
        <f>+Actuals!H229</f>
        <v>0</v>
      </c>
      <c r="L59" s="126">
        <f>+Actuals!I229</f>
        <v>0</v>
      </c>
      <c r="M59" s="127">
        <f>+Actuals!J229</f>
        <v>0</v>
      </c>
      <c r="N59" s="126">
        <f>+Actuals!K229</f>
        <v>0</v>
      </c>
      <c r="O59" s="127">
        <f>+Actuals!L229</f>
        <v>0</v>
      </c>
      <c r="P59" s="126">
        <f>+Actuals!M229</f>
        <v>0</v>
      </c>
      <c r="Q59" s="127">
        <f>+Actuals!N229</f>
        <v>0</v>
      </c>
      <c r="R59" s="126">
        <f>+Actuals!O229</f>
        <v>0</v>
      </c>
      <c r="S59" s="127">
        <f>+Actuals!P229</f>
        <v>0</v>
      </c>
      <c r="T59" s="126">
        <f>+Actuals!Q229</f>
        <v>0</v>
      </c>
      <c r="U59" s="127">
        <f>+Actuals!R229</f>
        <v>0</v>
      </c>
      <c r="V59" s="126">
        <f>+Actuals!S229</f>
        <v>0</v>
      </c>
      <c r="W59" s="127">
        <f>+Actuals!T229</f>
        <v>0</v>
      </c>
      <c r="X59" s="126">
        <f>+Actuals!U229</f>
        <v>0</v>
      </c>
      <c r="Y59" s="127">
        <f>+Actuals!V229</f>
        <v>0</v>
      </c>
      <c r="Z59" s="126">
        <f>+Actuals!W229</f>
        <v>0</v>
      </c>
      <c r="AA59" s="127">
        <f>+Actuals!X229</f>
        <v>0</v>
      </c>
      <c r="AB59" s="126">
        <f>+Actuals!Y229</f>
        <v>0</v>
      </c>
      <c r="AC59" s="127">
        <f>+Actuals!Z229</f>
        <v>0</v>
      </c>
      <c r="AD59" s="126">
        <f>+Actuals!AA229</f>
        <v>0</v>
      </c>
      <c r="AE59" s="127">
        <f>+Actuals!AB229</f>
        <v>0</v>
      </c>
      <c r="AF59" s="126">
        <f>+Actuals!AC229</f>
        <v>0</v>
      </c>
      <c r="AG59" s="127">
        <f>+Actuals!AD229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'TIE-OUT'!N60+RECLASS!L60</f>
        <v>0</v>
      </c>
      <c r="G60" s="82">
        <f>'TIE-OUT'!O60+RECLASS!M60</f>
        <v>0</v>
      </c>
      <c r="H60" s="126">
        <f>+Actuals!E230</f>
        <v>0</v>
      </c>
      <c r="I60" s="127">
        <f>+Actuals!F230</f>
        <v>0</v>
      </c>
      <c r="J60" s="126">
        <f>+Actuals!G230</f>
        <v>0</v>
      </c>
      <c r="K60" s="127">
        <f>+Actuals!H230</f>
        <v>0</v>
      </c>
      <c r="L60" s="126">
        <f>+Actuals!I230</f>
        <v>0</v>
      </c>
      <c r="M60" s="127">
        <f>+Actuals!J230</f>
        <v>0</v>
      </c>
      <c r="N60" s="126">
        <f>+Actuals!K230</f>
        <v>0</v>
      </c>
      <c r="O60" s="127">
        <f>+Actuals!L230</f>
        <v>0</v>
      </c>
      <c r="P60" s="126">
        <f>+Actuals!M230</f>
        <v>0</v>
      </c>
      <c r="Q60" s="127">
        <f>+Actuals!N230</f>
        <v>0</v>
      </c>
      <c r="R60" s="126">
        <f>+Actuals!O230</f>
        <v>0</v>
      </c>
      <c r="S60" s="127">
        <f>+Actuals!P230</f>
        <v>0</v>
      </c>
      <c r="T60" s="126">
        <f>+Actuals!Q230</f>
        <v>0</v>
      </c>
      <c r="U60" s="127">
        <f>+Actuals!R230</f>
        <v>0</v>
      </c>
      <c r="V60" s="126">
        <f>+Actuals!S230</f>
        <v>0</v>
      </c>
      <c r="W60" s="127">
        <f>+Actuals!T230</f>
        <v>0</v>
      </c>
      <c r="X60" s="126">
        <f>+Actuals!U230</f>
        <v>0</v>
      </c>
      <c r="Y60" s="127">
        <f>+Actuals!V230</f>
        <v>0</v>
      </c>
      <c r="Z60" s="126">
        <f>+Actuals!W230</f>
        <v>0</v>
      </c>
      <c r="AA60" s="127">
        <f>+Actuals!X230</f>
        <v>0</v>
      </c>
      <c r="AB60" s="126">
        <f>+Actuals!Y230</f>
        <v>0</v>
      </c>
      <c r="AC60" s="127">
        <f>+Actuals!Z230</f>
        <v>0</v>
      </c>
      <c r="AD60" s="126">
        <f>+Actuals!AA230</f>
        <v>0</v>
      </c>
      <c r="AE60" s="127">
        <f>+Actuals!AB230</f>
        <v>0</v>
      </c>
      <c r="AF60" s="126">
        <f>+Actuals!AC230</f>
        <v>0</v>
      </c>
      <c r="AG60" s="127">
        <f>+Actuals!AD230</f>
        <v>0</v>
      </c>
    </row>
    <row r="61" spans="1:33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'TIE-OUT'!N64+RECLASS!L64</f>
        <v>0</v>
      </c>
      <c r="G64" s="68">
        <f>'TIE-OUT'!O64+RECLASS!M64</f>
        <v>0</v>
      </c>
      <c r="H64" s="126">
        <f>+Actuals!E231</f>
        <v>0</v>
      </c>
      <c r="I64" s="127">
        <f>+Actuals!F231</f>
        <v>0</v>
      </c>
      <c r="J64" s="126">
        <f>+Actuals!G231</f>
        <v>0</v>
      </c>
      <c r="K64" s="127">
        <f>+Actuals!H231</f>
        <v>0</v>
      </c>
      <c r="L64" s="126">
        <f>+Actuals!I231</f>
        <v>0</v>
      </c>
      <c r="M64" s="127">
        <f>+Actuals!J231</f>
        <v>0</v>
      </c>
      <c r="N64" s="126">
        <f>+Actuals!K231</f>
        <v>0</v>
      </c>
      <c r="O64" s="127">
        <f>+Actuals!L231</f>
        <v>0</v>
      </c>
      <c r="P64" s="126">
        <f>+Actuals!M231</f>
        <v>0</v>
      </c>
      <c r="Q64" s="127">
        <f>+Actuals!N231</f>
        <v>0</v>
      </c>
      <c r="R64" s="126">
        <f>+Actuals!O231</f>
        <v>0</v>
      </c>
      <c r="S64" s="127">
        <f>+Actuals!P231</f>
        <v>0</v>
      </c>
      <c r="T64" s="126">
        <f>+Actuals!Q231</f>
        <v>0</v>
      </c>
      <c r="U64" s="127">
        <f>+Actuals!R231</f>
        <v>0</v>
      </c>
      <c r="V64" s="126">
        <f>+Actuals!S231</f>
        <v>0</v>
      </c>
      <c r="W64" s="127">
        <f>+Actuals!T231</f>
        <v>0</v>
      </c>
      <c r="X64" s="126">
        <f>+Actuals!U231</f>
        <v>0</v>
      </c>
      <c r="Y64" s="127">
        <f>+Actuals!V231</f>
        <v>0</v>
      </c>
      <c r="Z64" s="126">
        <f>+Actuals!W231</f>
        <v>0</v>
      </c>
      <c r="AA64" s="127">
        <f>+Actuals!X231</f>
        <v>0</v>
      </c>
      <c r="AB64" s="126">
        <f>+Actuals!Y231</f>
        <v>0</v>
      </c>
      <c r="AC64" s="127">
        <f>+Actuals!Z231</f>
        <v>0</v>
      </c>
      <c r="AD64" s="126">
        <f>+Actuals!AA231</f>
        <v>0</v>
      </c>
      <c r="AE64" s="127">
        <f>+Actuals!AB231</f>
        <v>0</v>
      </c>
      <c r="AF64" s="126">
        <f>+Actuals!AC231</f>
        <v>0</v>
      </c>
      <c r="AG64" s="127">
        <f>+Actuals!AD231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'TIE-OUT'!N65+RECLASS!L65</f>
        <v>0</v>
      </c>
      <c r="G65" s="82">
        <f>'TIE-OUT'!O65+RECLASS!M65</f>
        <v>0</v>
      </c>
      <c r="H65" s="126">
        <f>+Actuals!E232</f>
        <v>0</v>
      </c>
      <c r="I65" s="127">
        <f>+Actuals!F232</f>
        <v>0</v>
      </c>
      <c r="J65" s="126">
        <f>+Actuals!G232</f>
        <v>0</v>
      </c>
      <c r="K65" s="127">
        <f>+Actuals!H232</f>
        <v>0</v>
      </c>
      <c r="L65" s="126">
        <f>+Actuals!I232</f>
        <v>0</v>
      </c>
      <c r="M65" s="127">
        <f>+Actuals!J232</f>
        <v>0</v>
      </c>
      <c r="N65" s="126">
        <f>+Actuals!K232</f>
        <v>0</v>
      </c>
      <c r="O65" s="127">
        <f>+Actuals!L232</f>
        <v>0</v>
      </c>
      <c r="P65" s="126">
        <f>+Actuals!M232</f>
        <v>0</v>
      </c>
      <c r="Q65" s="127">
        <f>+Actuals!N232</f>
        <v>0</v>
      </c>
      <c r="R65" s="126">
        <f>+Actuals!O232</f>
        <v>0</v>
      </c>
      <c r="S65" s="127">
        <f>+Actuals!P232</f>
        <v>0</v>
      </c>
      <c r="T65" s="126">
        <f>+Actuals!Q232</f>
        <v>0</v>
      </c>
      <c r="U65" s="127">
        <f>+Actuals!R232</f>
        <v>0</v>
      </c>
      <c r="V65" s="126">
        <f>+Actuals!S232</f>
        <v>0</v>
      </c>
      <c r="W65" s="127">
        <f>+Actuals!T232</f>
        <v>0</v>
      </c>
      <c r="X65" s="126">
        <f>+Actuals!U232</f>
        <v>0</v>
      </c>
      <c r="Y65" s="127">
        <f>+Actuals!V232</f>
        <v>0</v>
      </c>
      <c r="Z65" s="126">
        <f>+Actuals!W232</f>
        <v>0</v>
      </c>
      <c r="AA65" s="127">
        <f>+Actuals!X232</f>
        <v>0</v>
      </c>
      <c r="AB65" s="126">
        <f>+Actuals!Y232</f>
        <v>0</v>
      </c>
      <c r="AC65" s="127">
        <f>+Actuals!Z232</f>
        <v>0</v>
      </c>
      <c r="AD65" s="126">
        <f>+Actuals!AA232</f>
        <v>0</v>
      </c>
      <c r="AE65" s="127">
        <f>+Actuals!AB232</f>
        <v>0</v>
      </c>
      <c r="AF65" s="126">
        <f>+Actuals!AC232</f>
        <v>0</v>
      </c>
      <c r="AG65" s="127">
        <f>+Actuals!AD232</f>
        <v>0</v>
      </c>
    </row>
    <row r="66" spans="1:33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'TIE-OUT'!N70+RECLASS!L70</f>
        <v>0</v>
      </c>
      <c r="G70" s="68">
        <f>'TIE-OUT'!O70+RECLASS!M70</f>
        <v>0</v>
      </c>
      <c r="H70" s="126">
        <f>+Actuals!E233</f>
        <v>0</v>
      </c>
      <c r="I70" s="127">
        <f>+Actuals!F233</f>
        <v>0</v>
      </c>
      <c r="J70" s="126">
        <f>+Actuals!G233</f>
        <v>0</v>
      </c>
      <c r="K70" s="127">
        <f>+Actuals!H233</f>
        <v>0</v>
      </c>
      <c r="L70" s="126">
        <f>+Actuals!I233</f>
        <v>0</v>
      </c>
      <c r="M70" s="127">
        <f>+Actuals!J233</f>
        <v>0</v>
      </c>
      <c r="N70" s="126">
        <f>+Actuals!K233</f>
        <v>0</v>
      </c>
      <c r="O70" s="127">
        <f>+Actuals!L233</f>
        <v>0</v>
      </c>
      <c r="P70" s="126">
        <f>+Actuals!M233</f>
        <v>0</v>
      </c>
      <c r="Q70" s="127">
        <f>+Actuals!N233</f>
        <v>0</v>
      </c>
      <c r="R70" s="126">
        <f>+Actuals!O233</f>
        <v>0</v>
      </c>
      <c r="S70" s="127">
        <f>+Actuals!P233</f>
        <v>0</v>
      </c>
      <c r="T70" s="126">
        <f>+Actuals!Q233</f>
        <v>0</v>
      </c>
      <c r="U70" s="127">
        <f>+Actuals!R233</f>
        <v>0</v>
      </c>
      <c r="V70" s="126">
        <f>+Actuals!S233</f>
        <v>0</v>
      </c>
      <c r="W70" s="127">
        <f>+Actuals!T233</f>
        <v>0</v>
      </c>
      <c r="X70" s="126">
        <f>+Actuals!U233</f>
        <v>0</v>
      </c>
      <c r="Y70" s="127">
        <f>+Actuals!V233</f>
        <v>0</v>
      </c>
      <c r="Z70" s="126">
        <f>+Actuals!W233</f>
        <v>0</v>
      </c>
      <c r="AA70" s="127">
        <f>+Actuals!X233</f>
        <v>0</v>
      </c>
      <c r="AB70" s="126">
        <f>+Actuals!Y233</f>
        <v>0</v>
      </c>
      <c r="AC70" s="127">
        <f>+Actuals!Z233</f>
        <v>0</v>
      </c>
      <c r="AD70" s="126">
        <f>+Actuals!AA233</f>
        <v>0</v>
      </c>
      <c r="AE70" s="127">
        <f>+Actuals!AB233</f>
        <v>0</v>
      </c>
      <c r="AF70" s="126">
        <f>+Actuals!AC233</f>
        <v>0</v>
      </c>
      <c r="AG70" s="127">
        <f>+Actuals!AD233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'TIE-OUT'!N71+RECLASS!L71</f>
        <v>0</v>
      </c>
      <c r="G71" s="82">
        <f>'TIE-OUT'!O71+RECLASS!M71</f>
        <v>0</v>
      </c>
      <c r="H71" s="126">
        <f>+Actuals!E234</f>
        <v>0</v>
      </c>
      <c r="I71" s="127">
        <f>+Actuals!F234</f>
        <v>0</v>
      </c>
      <c r="J71" s="126">
        <f>+Actuals!G234</f>
        <v>0</v>
      </c>
      <c r="K71" s="127">
        <f>+Actuals!H234</f>
        <v>0</v>
      </c>
      <c r="L71" s="126">
        <f>+Actuals!I234</f>
        <v>0</v>
      </c>
      <c r="M71" s="127">
        <f>+Actuals!J234</f>
        <v>0</v>
      </c>
      <c r="N71" s="126">
        <f>+Actuals!K234</f>
        <v>0</v>
      </c>
      <c r="O71" s="127">
        <f>+Actuals!L234</f>
        <v>0</v>
      </c>
      <c r="P71" s="126">
        <f>+Actuals!M234</f>
        <v>0</v>
      </c>
      <c r="Q71" s="127">
        <f>+Actuals!N234</f>
        <v>0</v>
      </c>
      <c r="R71" s="126">
        <f>+Actuals!O234</f>
        <v>0</v>
      </c>
      <c r="S71" s="127">
        <f>+Actuals!P234</f>
        <v>0</v>
      </c>
      <c r="T71" s="126">
        <f>+Actuals!Q234</f>
        <v>0</v>
      </c>
      <c r="U71" s="127">
        <f>+Actuals!R234</f>
        <v>0</v>
      </c>
      <c r="V71" s="126">
        <f>+Actuals!S234</f>
        <v>0</v>
      </c>
      <c r="W71" s="127">
        <f>+Actuals!T234</f>
        <v>0</v>
      </c>
      <c r="X71" s="126">
        <f>+Actuals!U234</f>
        <v>0</v>
      </c>
      <c r="Y71" s="127">
        <f>+Actuals!V234</f>
        <v>0</v>
      </c>
      <c r="Z71" s="126">
        <f>+Actuals!W234</f>
        <v>0</v>
      </c>
      <c r="AA71" s="127">
        <f>+Actuals!X234</f>
        <v>0</v>
      </c>
      <c r="AB71" s="126">
        <f>+Actuals!Y234</f>
        <v>0</v>
      </c>
      <c r="AC71" s="127">
        <f>+Actuals!Z234</f>
        <v>0</v>
      </c>
      <c r="AD71" s="126">
        <f>+Actuals!AA234</f>
        <v>0</v>
      </c>
      <c r="AE71" s="127">
        <f>+Actuals!AB234</f>
        <v>0</v>
      </c>
      <c r="AF71" s="126">
        <f>+Actuals!AC234</f>
        <v>0</v>
      </c>
      <c r="AG71" s="127">
        <f>+Actuals!AD234</f>
        <v>0</v>
      </c>
    </row>
    <row r="72" spans="1:33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'TIE-OUT'!N73+RECLASS!L73</f>
        <v>0</v>
      </c>
      <c r="G73" s="60">
        <f>'TIE-OUT'!O73+RECLASS!M73</f>
        <v>0</v>
      </c>
      <c r="H73" s="126">
        <f>+Actuals!E235</f>
        <v>0</v>
      </c>
      <c r="I73" s="127">
        <f>+Actuals!F235</f>
        <v>0</v>
      </c>
      <c r="J73" s="126">
        <f>+Actuals!G235</f>
        <v>0</v>
      </c>
      <c r="K73" s="127">
        <f>+Actuals!H235</f>
        <v>0</v>
      </c>
      <c r="L73" s="126">
        <f>+Actuals!I235</f>
        <v>0</v>
      </c>
      <c r="M73" s="127">
        <f>+Actuals!J235</f>
        <v>0</v>
      </c>
      <c r="N73" s="126">
        <f>+Actuals!K235</f>
        <v>0</v>
      </c>
      <c r="O73" s="127">
        <f>+Actuals!L235</f>
        <v>0</v>
      </c>
      <c r="P73" s="126">
        <f>+Actuals!M235</f>
        <v>0</v>
      </c>
      <c r="Q73" s="127">
        <f>+Actuals!N235</f>
        <v>0</v>
      </c>
      <c r="R73" s="126">
        <f>+Actuals!O235</f>
        <v>0</v>
      </c>
      <c r="S73" s="127">
        <f>+Actuals!P235</f>
        <v>0</v>
      </c>
      <c r="T73" s="126">
        <f>+Actuals!Q235</f>
        <v>0</v>
      </c>
      <c r="U73" s="127">
        <f>+Actuals!R235</f>
        <v>0</v>
      </c>
      <c r="V73" s="126">
        <f>+Actuals!S235</f>
        <v>0</v>
      </c>
      <c r="W73" s="127">
        <f>+Actuals!T235</f>
        <v>0</v>
      </c>
      <c r="X73" s="126">
        <f>+Actuals!U235</f>
        <v>0</v>
      </c>
      <c r="Y73" s="127">
        <f>+Actuals!V235</f>
        <v>0</v>
      </c>
      <c r="Z73" s="126">
        <f>+Actuals!W235</f>
        <v>0</v>
      </c>
      <c r="AA73" s="127">
        <f>+Actuals!X235</f>
        <v>0</v>
      </c>
      <c r="AB73" s="126">
        <f>+Actuals!Y235</f>
        <v>0</v>
      </c>
      <c r="AC73" s="127">
        <f>+Actuals!Z235</f>
        <v>0</v>
      </c>
      <c r="AD73" s="126">
        <f>+Actuals!AA235</f>
        <v>0</v>
      </c>
      <c r="AE73" s="127">
        <f>+Actuals!AB235</f>
        <v>0</v>
      </c>
      <c r="AF73" s="126">
        <f>+Actuals!AC235</f>
        <v>0</v>
      </c>
      <c r="AG73" s="127">
        <f>+Actuals!AD235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'TIE-OUT'!N74+RECLASS!L74</f>
        <v>0</v>
      </c>
      <c r="G74" s="60">
        <f>'TIE-OUT'!O74+RECLASS!M74</f>
        <v>0</v>
      </c>
      <c r="H74" s="126">
        <f>+Actuals!E236</f>
        <v>0</v>
      </c>
      <c r="I74" s="127">
        <f>+Actuals!F236</f>
        <v>0</v>
      </c>
      <c r="J74" s="126">
        <f>+Actuals!G236</f>
        <v>0</v>
      </c>
      <c r="K74" s="127">
        <f>+Actuals!H236</f>
        <v>0</v>
      </c>
      <c r="L74" s="126">
        <f>+Actuals!I236</f>
        <v>0</v>
      </c>
      <c r="M74" s="127">
        <f>+Actuals!J236</f>
        <v>0</v>
      </c>
      <c r="N74" s="126">
        <f>+Actuals!K236</f>
        <v>0</v>
      </c>
      <c r="O74" s="127">
        <f>+Actuals!L236</f>
        <v>0</v>
      </c>
      <c r="P74" s="126">
        <f>+Actuals!M236</f>
        <v>0</v>
      </c>
      <c r="Q74" s="127">
        <f>+Actuals!N236</f>
        <v>0</v>
      </c>
      <c r="R74" s="126">
        <f>+Actuals!O236</f>
        <v>0</v>
      </c>
      <c r="S74" s="127">
        <f>+Actuals!P236</f>
        <v>0</v>
      </c>
      <c r="T74" s="126">
        <f>+Actuals!Q236</f>
        <v>0</v>
      </c>
      <c r="U74" s="127">
        <f>+Actuals!R236</f>
        <v>0</v>
      </c>
      <c r="V74" s="126">
        <f>+Actuals!S236</f>
        <v>0</v>
      </c>
      <c r="W74" s="127">
        <f>+Actuals!T236</f>
        <v>0</v>
      </c>
      <c r="X74" s="126">
        <f>+Actuals!U236</f>
        <v>0</v>
      </c>
      <c r="Y74" s="127">
        <f>+Actuals!V236</f>
        <v>0</v>
      </c>
      <c r="Z74" s="126">
        <f>+Actuals!W236</f>
        <v>0</v>
      </c>
      <c r="AA74" s="127">
        <f>+Actuals!X236</f>
        <v>0</v>
      </c>
      <c r="AB74" s="126">
        <f>+Actuals!Y236</f>
        <v>0</v>
      </c>
      <c r="AC74" s="127">
        <f>+Actuals!Z236</f>
        <v>0</v>
      </c>
      <c r="AD74" s="126">
        <f>+Actuals!AA236</f>
        <v>0</v>
      </c>
      <c r="AE74" s="127">
        <f>+Actuals!AB236</f>
        <v>0</v>
      </c>
      <c r="AF74" s="126">
        <f>+Actuals!AC236</f>
        <v>0</v>
      </c>
      <c r="AG74" s="127">
        <f>+Actuals!AD236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'TIE-OUT'!N75+RECLASS!L75</f>
        <v>0</v>
      </c>
      <c r="G75" s="60">
        <f>'TIE-OUT'!O75+RECLASS!M75</f>
        <v>0</v>
      </c>
      <c r="H75" s="126">
        <f>+Actuals!E237</f>
        <v>0</v>
      </c>
      <c r="I75" s="127">
        <f>+Actuals!F237</f>
        <v>0</v>
      </c>
      <c r="J75" s="126">
        <f>+Actuals!G237</f>
        <v>0</v>
      </c>
      <c r="K75" s="127">
        <f>+Actuals!H237</f>
        <v>0</v>
      </c>
      <c r="L75" s="126">
        <f>+Actuals!I237</f>
        <v>0</v>
      </c>
      <c r="M75" s="127">
        <f>+Actuals!J237</f>
        <v>0</v>
      </c>
      <c r="N75" s="126">
        <f>+Actuals!K237</f>
        <v>0</v>
      </c>
      <c r="O75" s="127">
        <f>+Actuals!L237</f>
        <v>0</v>
      </c>
      <c r="P75" s="126">
        <f>+Actuals!M237</f>
        <v>0</v>
      </c>
      <c r="Q75" s="127">
        <f>+Actuals!N237</f>
        <v>0</v>
      </c>
      <c r="R75" s="126">
        <f>+Actuals!O237</f>
        <v>0</v>
      </c>
      <c r="S75" s="127">
        <f>+Actuals!P237</f>
        <v>0</v>
      </c>
      <c r="T75" s="126">
        <f>+Actuals!Q237</f>
        <v>0</v>
      </c>
      <c r="U75" s="127">
        <f>+Actuals!R237</f>
        <v>0</v>
      </c>
      <c r="V75" s="126">
        <f>+Actuals!S237</f>
        <v>0</v>
      </c>
      <c r="W75" s="127">
        <f>+Actuals!T237</f>
        <v>0</v>
      </c>
      <c r="X75" s="126">
        <f>+Actuals!U237</f>
        <v>0</v>
      </c>
      <c r="Y75" s="127">
        <f>+Actuals!V237</f>
        <v>0</v>
      </c>
      <c r="Z75" s="126">
        <f>+Actuals!W237</f>
        <v>0</v>
      </c>
      <c r="AA75" s="127">
        <f>+Actuals!X237</f>
        <v>0</v>
      </c>
      <c r="AB75" s="126">
        <f>+Actuals!Y237</f>
        <v>0</v>
      </c>
      <c r="AC75" s="127">
        <f>+Actuals!Z237</f>
        <v>0</v>
      </c>
      <c r="AD75" s="126">
        <f>+Actuals!AA237</f>
        <v>0</v>
      </c>
      <c r="AE75" s="127">
        <f>+Actuals!AB237</f>
        <v>0</v>
      </c>
      <c r="AF75" s="126">
        <f>+Actuals!AC237</f>
        <v>0</v>
      </c>
      <c r="AG75" s="127">
        <f>+Actuals!AD237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'TIE-OUT'!N76+RECLASS!L76</f>
        <v>0</v>
      </c>
      <c r="G76" s="60">
        <f>'TIE-OUT'!O76+RECLASS!M76</f>
        <v>0</v>
      </c>
      <c r="H76" s="126">
        <f>+Actuals!E238</f>
        <v>0</v>
      </c>
      <c r="I76" s="127">
        <f>+Actuals!F238</f>
        <v>0</v>
      </c>
      <c r="J76" s="126">
        <f>+Actuals!G238</f>
        <v>0</v>
      </c>
      <c r="K76" s="127">
        <f>+Actuals!H238</f>
        <v>0</v>
      </c>
      <c r="L76" s="126">
        <f>+Actuals!I238</f>
        <v>0</v>
      </c>
      <c r="M76" s="127">
        <f>+Actuals!J238</f>
        <v>0</v>
      </c>
      <c r="N76" s="126">
        <f>+Actuals!K238</f>
        <v>0</v>
      </c>
      <c r="O76" s="127">
        <f>+Actuals!L238</f>
        <v>0</v>
      </c>
      <c r="P76" s="126">
        <f>+Actuals!M238</f>
        <v>0</v>
      </c>
      <c r="Q76" s="127">
        <f>+Actuals!N238</f>
        <v>0</v>
      </c>
      <c r="R76" s="126">
        <f>+Actuals!O238</f>
        <v>0</v>
      </c>
      <c r="S76" s="127">
        <f>+Actuals!P238</f>
        <v>0</v>
      </c>
      <c r="T76" s="126">
        <f>+Actuals!Q238</f>
        <v>0</v>
      </c>
      <c r="U76" s="127">
        <f>+Actuals!R238</f>
        <v>0</v>
      </c>
      <c r="V76" s="126">
        <f>+Actuals!S238</f>
        <v>0</v>
      </c>
      <c r="W76" s="127">
        <f>+Actuals!T238</f>
        <v>0</v>
      </c>
      <c r="X76" s="126">
        <f>+Actuals!U238</f>
        <v>0</v>
      </c>
      <c r="Y76" s="127">
        <f>+Actuals!V238</f>
        <v>0</v>
      </c>
      <c r="Z76" s="126">
        <f>+Actuals!W238</f>
        <v>0</v>
      </c>
      <c r="AA76" s="127">
        <f>+Actuals!X238</f>
        <v>0</v>
      </c>
      <c r="AB76" s="126">
        <f>+Actuals!Y238</f>
        <v>0</v>
      </c>
      <c r="AC76" s="127">
        <f>+Actuals!Z238</f>
        <v>0</v>
      </c>
      <c r="AD76" s="126">
        <f>+Actuals!AA238</f>
        <v>0</v>
      </c>
      <c r="AE76" s="127">
        <f>+Actuals!AB238</f>
        <v>0</v>
      </c>
      <c r="AF76" s="126">
        <f>+Actuals!AC238</f>
        <v>0</v>
      </c>
      <c r="AG76" s="127">
        <f>+Actuals!AD238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'TIE-OUT'!N77+RECLASS!L77</f>
        <v>0</v>
      </c>
      <c r="G77" s="60">
        <f>'TIE-OUT'!O77+RECLASS!M77</f>
        <v>0</v>
      </c>
      <c r="H77" s="126">
        <f>+Actuals!E239</f>
        <v>0</v>
      </c>
      <c r="I77" s="127">
        <f>+Actuals!F239</f>
        <v>0</v>
      </c>
      <c r="J77" s="126">
        <f>+Actuals!G239</f>
        <v>0</v>
      </c>
      <c r="K77" s="127">
        <f>+Actuals!H239</f>
        <v>0</v>
      </c>
      <c r="L77" s="126">
        <f>+Actuals!I239</f>
        <v>0</v>
      </c>
      <c r="M77" s="127">
        <f>+Actuals!J239</f>
        <v>0</v>
      </c>
      <c r="N77" s="126">
        <f>+Actuals!K239</f>
        <v>0</v>
      </c>
      <c r="O77" s="127">
        <f>+Actuals!L239</f>
        <v>0</v>
      </c>
      <c r="P77" s="126">
        <f>+Actuals!M239</f>
        <v>0</v>
      </c>
      <c r="Q77" s="127">
        <f>+Actuals!N239</f>
        <v>0</v>
      </c>
      <c r="R77" s="126">
        <f>+Actuals!O239</f>
        <v>0</v>
      </c>
      <c r="S77" s="127">
        <f>+Actuals!P239</f>
        <v>0</v>
      </c>
      <c r="T77" s="126">
        <f>+Actuals!Q239</f>
        <v>0</v>
      </c>
      <c r="U77" s="127">
        <f>+Actuals!R239</f>
        <v>0</v>
      </c>
      <c r="V77" s="126">
        <f>+Actuals!S239</f>
        <v>0</v>
      </c>
      <c r="W77" s="127">
        <f>+Actuals!T239</f>
        <v>0</v>
      </c>
      <c r="X77" s="126">
        <f>+Actuals!U239</f>
        <v>0</v>
      </c>
      <c r="Y77" s="127">
        <f>+Actuals!V239</f>
        <v>0</v>
      </c>
      <c r="Z77" s="126">
        <f>+Actuals!W239</f>
        <v>0</v>
      </c>
      <c r="AA77" s="127">
        <f>+Actuals!X239</f>
        <v>0</v>
      </c>
      <c r="AB77" s="126">
        <f>+Actuals!Y239</f>
        <v>0</v>
      </c>
      <c r="AC77" s="127">
        <f>+Actuals!Z239</f>
        <v>0</v>
      </c>
      <c r="AD77" s="126">
        <f>+Actuals!AA239</f>
        <v>0</v>
      </c>
      <c r="AE77" s="127">
        <f>+Actuals!AB239</f>
        <v>0</v>
      </c>
      <c r="AF77" s="126">
        <f>+Actuals!AC239</f>
        <v>0</v>
      </c>
      <c r="AG77" s="127">
        <f>+Actuals!AD239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'TIE-OUT'!N78+RECLASS!L78</f>
        <v>0</v>
      </c>
      <c r="G78" s="60">
        <f>'TIE-OUT'!O78+RECLASS!M78</f>
        <v>0</v>
      </c>
      <c r="H78" s="126">
        <f>+Actuals!E240</f>
        <v>0</v>
      </c>
      <c r="I78" s="127">
        <f>+Actuals!F240</f>
        <v>0</v>
      </c>
      <c r="J78" s="126">
        <f>+Actuals!G240</f>
        <v>0</v>
      </c>
      <c r="K78" s="127">
        <f>+Actuals!H240</f>
        <v>0</v>
      </c>
      <c r="L78" s="126">
        <f>+Actuals!I240</f>
        <v>0</v>
      </c>
      <c r="M78" s="127">
        <f>+Actuals!J240</f>
        <v>0</v>
      </c>
      <c r="N78" s="126">
        <f>+Actuals!K240</f>
        <v>0</v>
      </c>
      <c r="O78" s="127">
        <f>+Actuals!L240</f>
        <v>0</v>
      </c>
      <c r="P78" s="126">
        <f>+Actuals!M240</f>
        <v>0</v>
      </c>
      <c r="Q78" s="127">
        <f>+Actuals!N240</f>
        <v>0</v>
      </c>
      <c r="R78" s="126">
        <f>+Actuals!O240</f>
        <v>0</v>
      </c>
      <c r="S78" s="127">
        <f>+Actuals!P240</f>
        <v>0</v>
      </c>
      <c r="T78" s="126">
        <f>+Actuals!Q240</f>
        <v>0</v>
      </c>
      <c r="U78" s="127">
        <f>+Actuals!R240</f>
        <v>0</v>
      </c>
      <c r="V78" s="126">
        <f>+Actuals!S240</f>
        <v>0</v>
      </c>
      <c r="W78" s="127">
        <f>+Actuals!T240</f>
        <v>0</v>
      </c>
      <c r="X78" s="126">
        <f>+Actuals!U240</f>
        <v>0</v>
      </c>
      <c r="Y78" s="127">
        <f>+Actuals!V240</f>
        <v>0</v>
      </c>
      <c r="Z78" s="126">
        <f>+Actuals!W240</f>
        <v>0</v>
      </c>
      <c r="AA78" s="127">
        <f>+Actuals!X240</f>
        <v>0</v>
      </c>
      <c r="AB78" s="126">
        <f>+Actuals!Y240</f>
        <v>0</v>
      </c>
      <c r="AC78" s="127">
        <f>+Actuals!Z240</f>
        <v>0</v>
      </c>
      <c r="AD78" s="126">
        <f>+Actuals!AA240</f>
        <v>0</v>
      </c>
      <c r="AE78" s="127">
        <f>+Actuals!AB240</f>
        <v>0</v>
      </c>
      <c r="AF78" s="126">
        <f>+Actuals!AC240</f>
        <v>0</v>
      </c>
      <c r="AG78" s="127">
        <f>+Actuals!AD240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'TIE-OUT'!N79+RECLASS!L79</f>
        <v>0</v>
      </c>
      <c r="G79" s="60">
        <f>'TIE-OUT'!O79+RECLASS!M79</f>
        <v>0</v>
      </c>
      <c r="H79" s="126">
        <f>+Actuals!E241</f>
        <v>0</v>
      </c>
      <c r="I79" s="127">
        <f>+Actuals!F241</f>
        <v>0</v>
      </c>
      <c r="J79" s="126">
        <f>+Actuals!G241</f>
        <v>0</v>
      </c>
      <c r="K79" s="127">
        <f>+Actuals!H241</f>
        <v>0</v>
      </c>
      <c r="L79" s="126">
        <f>+Actuals!I241</f>
        <v>0</v>
      </c>
      <c r="M79" s="127">
        <f>+Actuals!J241</f>
        <v>0</v>
      </c>
      <c r="N79" s="126">
        <f>+Actuals!K241</f>
        <v>0</v>
      </c>
      <c r="O79" s="127">
        <f>+Actuals!L241</f>
        <v>0</v>
      </c>
      <c r="P79" s="126">
        <f>+Actuals!M241</f>
        <v>0</v>
      </c>
      <c r="Q79" s="127">
        <f>+Actuals!N241</f>
        <v>0</v>
      </c>
      <c r="R79" s="126">
        <f>+Actuals!O241</f>
        <v>0</v>
      </c>
      <c r="S79" s="127">
        <f>+Actuals!P241</f>
        <v>0</v>
      </c>
      <c r="T79" s="126">
        <f>+Actuals!Q241</f>
        <v>0</v>
      </c>
      <c r="U79" s="127">
        <f>+Actuals!R241</f>
        <v>0</v>
      </c>
      <c r="V79" s="126">
        <f>+Actuals!S241</f>
        <v>0</v>
      </c>
      <c r="W79" s="127">
        <f>+Actuals!T241</f>
        <v>0</v>
      </c>
      <c r="X79" s="126">
        <f>+Actuals!U241</f>
        <v>0</v>
      </c>
      <c r="Y79" s="127">
        <f>+Actuals!V241</f>
        <v>0</v>
      </c>
      <c r="Z79" s="126">
        <f>+Actuals!W241</f>
        <v>0</v>
      </c>
      <c r="AA79" s="127">
        <f>+Actuals!X241</f>
        <v>0</v>
      </c>
      <c r="AB79" s="126">
        <f>+Actuals!Y241</f>
        <v>0</v>
      </c>
      <c r="AC79" s="127">
        <f>+Actuals!Z241</f>
        <v>0</v>
      </c>
      <c r="AD79" s="126">
        <f>+Actuals!AA241</f>
        <v>0</v>
      </c>
      <c r="AE79" s="127">
        <f>+Actuals!AB241</f>
        <v>0</v>
      </c>
      <c r="AF79" s="126">
        <f>+Actuals!AC241</f>
        <v>0</v>
      </c>
      <c r="AG79" s="127">
        <f>+Actuals!AD241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'TIE-OUT'!N80+RECLASS!L80</f>
        <v>0</v>
      </c>
      <c r="G80" s="60">
        <f>'TIE-OUT'!O80+RECLASS!M80</f>
        <v>0</v>
      </c>
      <c r="H80" s="126">
        <f>+Actuals!E242</f>
        <v>0</v>
      </c>
      <c r="I80" s="127">
        <f>+Actuals!F242</f>
        <v>0</v>
      </c>
      <c r="J80" s="126">
        <f>+Actuals!G242</f>
        <v>0</v>
      </c>
      <c r="K80" s="127">
        <f>+Actuals!H242</f>
        <v>0</v>
      </c>
      <c r="L80" s="126">
        <f>+Actuals!I242</f>
        <v>0</v>
      </c>
      <c r="M80" s="127">
        <f>+Actuals!J242</f>
        <v>0</v>
      </c>
      <c r="N80" s="126">
        <f>+Actuals!K242</f>
        <v>0</v>
      </c>
      <c r="O80" s="127">
        <f>+Actuals!L242</f>
        <v>0</v>
      </c>
      <c r="P80" s="126">
        <f>+Actuals!M242</f>
        <v>0</v>
      </c>
      <c r="Q80" s="127">
        <f>+Actuals!N242</f>
        <v>0</v>
      </c>
      <c r="R80" s="126">
        <f>+Actuals!O242</f>
        <v>0</v>
      </c>
      <c r="S80" s="127">
        <f>+Actuals!P242</f>
        <v>0</v>
      </c>
      <c r="T80" s="126">
        <f>+Actuals!Q242</f>
        <v>0</v>
      </c>
      <c r="U80" s="127">
        <f>+Actuals!R242</f>
        <v>0</v>
      </c>
      <c r="V80" s="126">
        <f>+Actuals!S242</f>
        <v>0</v>
      </c>
      <c r="W80" s="127">
        <f>+Actuals!T242</f>
        <v>0</v>
      </c>
      <c r="X80" s="126">
        <f>+Actuals!U242</f>
        <v>0</v>
      </c>
      <c r="Y80" s="127">
        <f>+Actuals!V242</f>
        <v>0</v>
      </c>
      <c r="Z80" s="126">
        <f>+Actuals!W242</f>
        <v>0</v>
      </c>
      <c r="AA80" s="127">
        <f>+Actuals!X242</f>
        <v>0</v>
      </c>
      <c r="AB80" s="126">
        <f>+Actuals!Y242</f>
        <v>0</v>
      </c>
      <c r="AC80" s="127">
        <f>+Actuals!Z242</f>
        <v>0</v>
      </c>
      <c r="AD80" s="126">
        <f>+Actuals!AA242</f>
        <v>0</v>
      </c>
      <c r="AE80" s="127">
        <f>+Actuals!AB242</f>
        <v>0</v>
      </c>
      <c r="AF80" s="126">
        <f>+Actuals!AC242</f>
        <v>0</v>
      </c>
      <c r="AG80" s="127">
        <f>+Actuals!AD242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'TIE-OUT'!N81+RECLASS!L81</f>
        <v>0</v>
      </c>
      <c r="G81" s="60">
        <f>'TIE-OUT'!O81+RECLASS!M81</f>
        <v>0</v>
      </c>
      <c r="H81" s="126">
        <f>+Actuals!E243</f>
        <v>0</v>
      </c>
      <c r="I81" s="127">
        <f>+Actuals!F243</f>
        <v>0</v>
      </c>
      <c r="J81" s="126">
        <f>+Actuals!G243</f>
        <v>0</v>
      </c>
      <c r="K81" s="127">
        <f>+Actuals!H243</f>
        <v>0</v>
      </c>
      <c r="L81" s="126">
        <f>+Actuals!I243</f>
        <v>0</v>
      </c>
      <c r="M81" s="127">
        <f>+Actuals!J243</f>
        <v>0</v>
      </c>
      <c r="N81" s="126">
        <f>+Actuals!K243</f>
        <v>0</v>
      </c>
      <c r="O81" s="127">
        <f>+Actuals!L243</f>
        <v>0</v>
      </c>
      <c r="P81" s="126">
        <f>+Actuals!M243</f>
        <v>0</v>
      </c>
      <c r="Q81" s="127">
        <f>+Actuals!N243</f>
        <v>0</v>
      </c>
      <c r="R81" s="126">
        <f>+Actuals!O243</f>
        <v>0</v>
      </c>
      <c r="S81" s="127">
        <f>+Actuals!P243</f>
        <v>0</v>
      </c>
      <c r="T81" s="126">
        <f>+Actuals!Q243</f>
        <v>0</v>
      </c>
      <c r="U81" s="127">
        <f>+Actuals!R243</f>
        <v>0</v>
      </c>
      <c r="V81" s="126">
        <f>+Actuals!S243</f>
        <v>0</v>
      </c>
      <c r="W81" s="127">
        <f>+Actuals!T243</f>
        <v>0</v>
      </c>
      <c r="X81" s="126">
        <f>+Actuals!U243</f>
        <v>0</v>
      </c>
      <c r="Y81" s="127">
        <f>+Actuals!V243</f>
        <v>0</v>
      </c>
      <c r="Z81" s="126">
        <f>+Actuals!W243</f>
        <v>0</v>
      </c>
      <c r="AA81" s="127">
        <f>+Actuals!X243</f>
        <v>0</v>
      </c>
      <c r="AB81" s="126">
        <f>+Actuals!Y243</f>
        <v>0</v>
      </c>
      <c r="AC81" s="127">
        <f>+Actuals!Z243</f>
        <v>0</v>
      </c>
      <c r="AD81" s="126">
        <f>+Actuals!AA243</f>
        <v>0</v>
      </c>
      <c r="AE81" s="127">
        <f>+Actuals!AB243</f>
        <v>0</v>
      </c>
      <c r="AF81" s="126">
        <f>+Actuals!AC243</f>
        <v>0</v>
      </c>
      <c r="AG81" s="127">
        <f>+Actuals!AD243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333115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333115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Q187"/>
  <sheetViews>
    <sheetView zoomScale="75" workbookViewId="0">
      <pane xSplit="3" ySplit="9" topLeftCell="Y10" activePane="bottomRight" state="frozen"/>
      <selection activeCell="AF9" sqref="AF9"/>
      <selection pane="topRight" activeCell="AF9" sqref="AF9"/>
      <selection pane="bottomLeft" activeCell="AF9" sqref="AF9"/>
      <selection pane="bottomRight" activeCell="AF2" sqref="AF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  <col min="38" max="38" width="0.10937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10511929</v>
      </c>
      <c r="E11" s="38">
        <f t="shared" si="0"/>
        <v>32249441.119999997</v>
      </c>
      <c r="F11" s="60">
        <f>'TIE-OUT'!T11+RECLASS!R11</f>
        <v>0</v>
      </c>
      <c r="G11" s="38">
        <f>'TIE-OUT'!U11+RECLASS!S11</f>
        <v>0</v>
      </c>
      <c r="H11" s="126">
        <f>+Actuals!E244</f>
        <v>10633073</v>
      </c>
      <c r="I11" s="127">
        <f>+Actuals!F244</f>
        <v>32198715.640000001</v>
      </c>
      <c r="J11" s="126">
        <f>+Actuals!G244</f>
        <v>199300</v>
      </c>
      <c r="K11" s="145">
        <f>+Actuals!H244</f>
        <v>2366552.2599999998</v>
      </c>
      <c r="L11" s="126">
        <f>+Actuals!I244</f>
        <v>-3379</v>
      </c>
      <c r="M11" s="127">
        <f>+Actuals!J244</f>
        <v>-2711457.82</v>
      </c>
      <c r="N11" s="126">
        <f>+Actuals!K244</f>
        <v>1379</v>
      </c>
      <c r="O11" s="127">
        <f>+Actuals!L244</f>
        <v>-449.8</v>
      </c>
      <c r="P11" s="126">
        <f>+Actuals!M444</f>
        <v>0</v>
      </c>
      <c r="Q11" s="127">
        <f>+Actuals!N444</f>
        <v>0</v>
      </c>
      <c r="R11" s="126">
        <f>+Actuals!O444</f>
        <v>0</v>
      </c>
      <c r="S11" s="127">
        <f>+Actuals!P444</f>
        <v>0</v>
      </c>
      <c r="T11" s="126">
        <f>+Actuals!Q444</f>
        <v>2</v>
      </c>
      <c r="U11" s="127">
        <f>+Actuals!R444</f>
        <v>7.36</v>
      </c>
      <c r="V11" s="126">
        <f>+Actuals!S444</f>
        <v>-1500</v>
      </c>
      <c r="W11" s="127">
        <f>+Actuals!T444</f>
        <v>-4663.5</v>
      </c>
      <c r="X11" s="126">
        <f>+Actuals!U444</f>
        <v>3366</v>
      </c>
      <c r="Y11" s="127">
        <f>+Actuals!V444</f>
        <v>1345528.46</v>
      </c>
      <c r="Z11" s="126">
        <f>+Actuals!W444</f>
        <v>-320312</v>
      </c>
      <c r="AA11" s="127">
        <f>+Actuals!X444</f>
        <v>-944791.48</v>
      </c>
      <c r="AB11" s="126">
        <f>+Actuals!Y244</f>
        <v>0</v>
      </c>
      <c r="AC11" s="127">
        <f>+Actuals!Z244</f>
        <v>0</v>
      </c>
      <c r="AD11" s="126">
        <f>+Actuals!AA244</f>
        <v>0</v>
      </c>
      <c r="AE11" s="127">
        <f>+Actuals!AB244</f>
        <v>0</v>
      </c>
      <c r="AF11" s="126">
        <f>+Actuals!AC244</f>
        <v>0</v>
      </c>
      <c r="AG11" s="127">
        <f>+Actuals!AD244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1143025.49</v>
      </c>
      <c r="F12" s="60">
        <f>'TIE-OUT'!T12+RECLASS!R12</f>
        <v>0</v>
      </c>
      <c r="G12" s="38">
        <f>'TIE-OUT'!U12+RECLASS!S12</f>
        <v>1143025.49</v>
      </c>
      <c r="H12" s="126">
        <f>+Actuals!E245</f>
        <v>0</v>
      </c>
      <c r="I12" s="127">
        <f>+Actuals!F245</f>
        <v>0</v>
      </c>
      <c r="J12" s="126">
        <f>+Actuals!G245</f>
        <v>0</v>
      </c>
      <c r="K12" s="156">
        <v>0</v>
      </c>
      <c r="L12" s="126">
        <f>+Actuals!I245</f>
        <v>0</v>
      </c>
      <c r="M12" s="127">
        <f>+Actuals!J245</f>
        <v>0</v>
      </c>
      <c r="N12" s="126">
        <f>+Actuals!K245</f>
        <v>0</v>
      </c>
      <c r="O12" s="127">
        <f>+Actuals!L245</f>
        <v>0</v>
      </c>
      <c r="P12" s="126">
        <f>+Actuals!M445</f>
        <v>0</v>
      </c>
      <c r="Q12" s="127">
        <f>+Actuals!N445</f>
        <v>0</v>
      </c>
      <c r="R12" s="126">
        <f>+Actuals!O445</f>
        <v>0</v>
      </c>
      <c r="S12" s="127">
        <f>+Actuals!P445</f>
        <v>0</v>
      </c>
      <c r="T12" s="126">
        <f>+Actuals!Q445</f>
        <v>0</v>
      </c>
      <c r="U12" s="127">
        <f>+Actuals!R445</f>
        <v>0</v>
      </c>
      <c r="V12" s="126">
        <f>+Actuals!S445</f>
        <v>0</v>
      </c>
      <c r="W12" s="127">
        <f>+Actuals!T445</f>
        <v>0</v>
      </c>
      <c r="X12" s="126">
        <f>+Actuals!U445</f>
        <v>0</v>
      </c>
      <c r="Y12" s="127">
        <f>+Actuals!V445</f>
        <v>0</v>
      </c>
      <c r="Z12" s="126">
        <f>+Actuals!W445</f>
        <v>0</v>
      </c>
      <c r="AA12" s="127">
        <f>+Actuals!X445</f>
        <v>0</v>
      </c>
      <c r="AB12" s="126">
        <f>+Actuals!Y245</f>
        <v>0</v>
      </c>
      <c r="AC12" s="127">
        <f>+Actuals!Z245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11336756</v>
      </c>
      <c r="E13" s="38">
        <f t="shared" si="0"/>
        <v>28599508</v>
      </c>
      <c r="F13" s="60">
        <f>'TIE-OUT'!T13+RECLASS!R13</f>
        <v>0</v>
      </c>
      <c r="G13" s="38">
        <f>'TIE-OUT'!U13+RECLASS!S13</f>
        <v>0</v>
      </c>
      <c r="H13" s="126">
        <f>+Actuals!E246</f>
        <v>11336756</v>
      </c>
      <c r="I13" s="127">
        <f>+Actuals!F246</f>
        <v>28599508</v>
      </c>
      <c r="J13" s="126">
        <f>+Actuals!G246</f>
        <v>2000</v>
      </c>
      <c r="K13" s="145">
        <f>+Actuals!H246</f>
        <v>4870</v>
      </c>
      <c r="L13" s="126">
        <f>+Actuals!I246</f>
        <v>2000</v>
      </c>
      <c r="M13" s="127">
        <f>+Actuals!J246</f>
        <v>4870</v>
      </c>
      <c r="N13" s="126">
        <f>+Actuals!K246</f>
        <v>-11338756</v>
      </c>
      <c r="O13" s="127">
        <f>+Actuals!L246</f>
        <v>-28604378</v>
      </c>
      <c r="P13" s="126">
        <f>+Actuals!M446</f>
        <v>11340756</v>
      </c>
      <c r="Q13" s="127">
        <f>+Actuals!N446</f>
        <v>28609248</v>
      </c>
      <c r="R13" s="126">
        <f>+Actuals!O446</f>
        <v>0</v>
      </c>
      <c r="S13" s="127">
        <f>+Actuals!P446</f>
        <v>0</v>
      </c>
      <c r="T13" s="126">
        <f>+Actuals!Q446</f>
        <v>-11340756</v>
      </c>
      <c r="U13" s="127">
        <f>+Actuals!R446</f>
        <v>-28609248</v>
      </c>
      <c r="V13" s="126">
        <f>+Actuals!S446</f>
        <v>0</v>
      </c>
      <c r="W13" s="127">
        <f>+Actuals!T446</f>
        <v>0</v>
      </c>
      <c r="X13" s="126">
        <f>+Actuals!U446</f>
        <v>0</v>
      </c>
      <c r="Y13" s="127">
        <f>+Actuals!V446</f>
        <v>0</v>
      </c>
      <c r="Z13" s="126">
        <f>+Actuals!W446</f>
        <v>11334756</v>
      </c>
      <c r="AA13" s="127">
        <f>+Actuals!X446</f>
        <v>28594638</v>
      </c>
      <c r="AB13" s="126">
        <f>+Actuals!Y246</f>
        <v>0</v>
      </c>
      <c r="AC13" s="127">
        <f>+Actuals!Z246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6">
        <f>+Actuals!E247</f>
        <v>0</v>
      </c>
      <c r="I14" s="127">
        <f>+Actuals!F247</f>
        <v>0</v>
      </c>
      <c r="J14" s="126">
        <f>+Actuals!G247</f>
        <v>0</v>
      </c>
      <c r="K14" s="145">
        <f>+Actuals!H247</f>
        <v>0</v>
      </c>
      <c r="L14" s="126">
        <f>+Actuals!I247</f>
        <v>0</v>
      </c>
      <c r="M14" s="127">
        <f>+Actuals!J247</f>
        <v>0</v>
      </c>
      <c r="N14" s="126">
        <f>+Actuals!K247</f>
        <v>0</v>
      </c>
      <c r="O14" s="127">
        <f>+Actuals!L247</f>
        <v>0</v>
      </c>
      <c r="P14" s="126">
        <f>+Actuals!M447</f>
        <v>0</v>
      </c>
      <c r="Q14" s="127">
        <f>+Actuals!N447</f>
        <v>0</v>
      </c>
      <c r="R14" s="126">
        <f>+Actuals!O447</f>
        <v>0</v>
      </c>
      <c r="S14" s="127">
        <f>+Actuals!P447</f>
        <v>0</v>
      </c>
      <c r="T14" s="126">
        <f>+Actuals!Q447</f>
        <v>0</v>
      </c>
      <c r="U14" s="127">
        <f>+Actuals!R447</f>
        <v>0</v>
      </c>
      <c r="V14" s="126">
        <f>+Actuals!S447</f>
        <v>0</v>
      </c>
      <c r="W14" s="127">
        <f>+Actuals!T447</f>
        <v>0</v>
      </c>
      <c r="X14" s="126">
        <f>+Actuals!U447</f>
        <v>0</v>
      </c>
      <c r="Y14" s="127">
        <f>+Actuals!V447</f>
        <v>0</v>
      </c>
      <c r="Z14" s="126">
        <f>+Actuals!W447</f>
        <v>0</v>
      </c>
      <c r="AA14" s="127">
        <f>+Actuals!X447</f>
        <v>0</v>
      </c>
      <c r="AB14" s="126">
        <f>+Actuals!Y247</f>
        <v>0</v>
      </c>
      <c r="AC14" s="127">
        <f>+Actuals!Z247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6">
        <f>+Actuals!E248</f>
        <v>0</v>
      </c>
      <c r="I15" s="127">
        <f>+Actuals!F248</f>
        <v>0</v>
      </c>
      <c r="J15" s="126">
        <f>+Actuals!G248</f>
        <v>0</v>
      </c>
      <c r="K15" s="145">
        <f>+Actuals!H248</f>
        <v>0</v>
      </c>
      <c r="L15" s="126">
        <f>+Actuals!I248</f>
        <v>0</v>
      </c>
      <c r="M15" s="127">
        <f>+Actuals!J248</f>
        <v>0</v>
      </c>
      <c r="N15" s="126">
        <f>+Actuals!K248</f>
        <v>0</v>
      </c>
      <c r="O15" s="127">
        <f>+Actuals!L248</f>
        <v>0</v>
      </c>
      <c r="P15" s="126">
        <f>+Actuals!M448</f>
        <v>0</v>
      </c>
      <c r="Q15" s="127">
        <f>+Actuals!N448</f>
        <v>0</v>
      </c>
      <c r="R15" s="126">
        <f>+Actuals!O448</f>
        <v>0</v>
      </c>
      <c r="S15" s="127">
        <f>+Actuals!P448</f>
        <v>0</v>
      </c>
      <c r="T15" s="126">
        <f>+Actuals!Q448</f>
        <v>0</v>
      </c>
      <c r="U15" s="127">
        <f>+Actuals!R448</f>
        <v>0</v>
      </c>
      <c r="V15" s="126">
        <f>+Actuals!S448</f>
        <v>0</v>
      </c>
      <c r="W15" s="127">
        <f>+Actuals!T448</f>
        <v>0</v>
      </c>
      <c r="X15" s="126">
        <f>+Actuals!U448</f>
        <v>0</v>
      </c>
      <c r="Y15" s="127">
        <f>+Actuals!V448</f>
        <v>0</v>
      </c>
      <c r="Z15" s="126">
        <f>+Actuals!W448</f>
        <v>0</v>
      </c>
      <c r="AA15" s="127">
        <f>+Actuals!X448</f>
        <v>0</v>
      </c>
      <c r="AB15" s="126">
        <f>+Actuals!Y248</f>
        <v>0</v>
      </c>
      <c r="AC15" s="127">
        <f>+Actuals!Z248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</row>
    <row r="16" spans="1:33" x14ac:dyDescent="0.25">
      <c r="A16" s="9"/>
      <c r="B16" s="7" t="s">
        <v>30</v>
      </c>
      <c r="C16" s="6"/>
      <c r="D16" s="61">
        <f t="shared" ref="D16:AE16" si="1">SUM(D11:D15)</f>
        <v>21848685</v>
      </c>
      <c r="E16" s="39">
        <f t="shared" si="1"/>
        <v>61991974.609999999</v>
      </c>
      <c r="F16" s="61">
        <f t="shared" si="1"/>
        <v>0</v>
      </c>
      <c r="G16" s="39">
        <f t="shared" si="1"/>
        <v>1143025.49</v>
      </c>
      <c r="H16" s="61">
        <f t="shared" si="1"/>
        <v>21969829</v>
      </c>
      <c r="I16" s="39">
        <f t="shared" si="1"/>
        <v>60798223.640000001</v>
      </c>
      <c r="J16" s="61">
        <f t="shared" si="1"/>
        <v>201300</v>
      </c>
      <c r="K16" s="146">
        <f t="shared" si="1"/>
        <v>2371422.2599999998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>SUM(X11:X15)</f>
        <v>3366</v>
      </c>
      <c r="Y16" s="39">
        <f>SUM(Y11:Y15)</f>
        <v>1345528.46</v>
      </c>
      <c r="Z16" s="61">
        <f>SUM(Z11:Z15)</f>
        <v>11014444</v>
      </c>
      <c r="AA16" s="39">
        <f>SUM(AA11:AA15)</f>
        <v>27649846.52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-2134887</v>
      </c>
      <c r="E19" s="38">
        <f t="shared" si="3"/>
        <v>-5164398.57</v>
      </c>
      <c r="F19" s="64">
        <f>'TIE-OUT'!T19+RECLASS!R19</f>
        <v>0</v>
      </c>
      <c r="G19" s="68">
        <f>'TIE-OUT'!U19+RECLASS!S19</f>
        <v>0</v>
      </c>
      <c r="H19" s="126">
        <f>+Actuals!E249</f>
        <v>-2078107</v>
      </c>
      <c r="I19" s="127">
        <f>+Actuals!F249</f>
        <v>-5014705.58</v>
      </c>
      <c r="J19" s="126">
        <f>+Actuals!G249</f>
        <v>-55401</v>
      </c>
      <c r="K19" s="145">
        <f>+Actuals!H249</f>
        <v>-146231.70000000001</v>
      </c>
      <c r="L19" s="126">
        <f>+Actuals!I249</f>
        <v>0</v>
      </c>
      <c r="M19" s="127">
        <f>+Actuals!J249</f>
        <v>0</v>
      </c>
      <c r="N19" s="126">
        <f>+Actuals!K249</f>
        <v>-4785</v>
      </c>
      <c r="O19" s="127">
        <f>+Actuals!L249</f>
        <v>-13229.7</v>
      </c>
      <c r="P19" s="126">
        <f>+Actuals!M449</f>
        <v>3406</v>
      </c>
      <c r="Q19" s="127">
        <f>+Actuals!N449</f>
        <v>9768.41</v>
      </c>
      <c r="R19" s="126">
        <f>+Actuals!O449</f>
        <v>0</v>
      </c>
      <c r="S19" s="127">
        <f>+Actuals!P449</f>
        <v>0</v>
      </c>
      <c r="T19" s="126">
        <f>+Actuals!Q449</f>
        <v>0</v>
      </c>
      <c r="U19" s="127">
        <f>+Actuals!R449</f>
        <v>0</v>
      </c>
      <c r="V19" s="126">
        <f>+Actuals!S449</f>
        <v>0</v>
      </c>
      <c r="W19" s="127">
        <f>+Actuals!T449</f>
        <v>0</v>
      </c>
      <c r="X19" s="126">
        <f>+Actuals!U449</f>
        <v>0</v>
      </c>
      <c r="Y19" s="127">
        <f>+Actuals!V449</f>
        <v>0</v>
      </c>
      <c r="Z19" s="126">
        <f>+Actuals!W449</f>
        <v>0</v>
      </c>
      <c r="AA19" s="127">
        <f>+Actuals!X449</f>
        <v>0</v>
      </c>
      <c r="AB19" s="126">
        <f>+Actuals!Y249</f>
        <v>0</v>
      </c>
      <c r="AC19" s="127">
        <f>+Actuals!Z249</f>
        <v>0</v>
      </c>
      <c r="AD19" s="126">
        <f>+Actuals!AA249</f>
        <v>0</v>
      </c>
      <c r="AE19" s="127">
        <f>+Actuals!AB249</f>
        <v>0</v>
      </c>
      <c r="AF19" s="126">
        <f>+Actuals!AC249</f>
        <v>0</v>
      </c>
      <c r="AG19" s="127">
        <f>+Actuals!AD249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-876659.12</v>
      </c>
      <c r="F20" s="60">
        <f>'TIE-OUT'!T20+RECLASS!R20</f>
        <v>0</v>
      </c>
      <c r="G20" s="38">
        <f>'TIE-OUT'!U20+RECLASS!S20</f>
        <v>-876659.12</v>
      </c>
      <c r="H20" s="126">
        <f>+Actuals!E250</f>
        <v>0</v>
      </c>
      <c r="I20" s="127">
        <f>+Actuals!F250</f>
        <v>0</v>
      </c>
      <c r="J20" s="126">
        <f>+Actuals!G250</f>
        <v>0</v>
      </c>
      <c r="K20" s="145">
        <v>0</v>
      </c>
      <c r="L20" s="126">
        <f>+Actuals!I250</f>
        <v>0</v>
      </c>
      <c r="M20" s="127">
        <f>+Actuals!J250</f>
        <v>0</v>
      </c>
      <c r="N20" s="126">
        <f>+Actuals!K250</f>
        <v>0</v>
      </c>
      <c r="O20" s="127">
        <f>+Actuals!L250</f>
        <v>0</v>
      </c>
      <c r="P20" s="126">
        <f>+Actuals!M450</f>
        <v>0</v>
      </c>
      <c r="Q20" s="153">
        <v>0</v>
      </c>
      <c r="R20" s="126">
        <f>+Actuals!O450</f>
        <v>0</v>
      </c>
      <c r="S20" s="127">
        <v>0</v>
      </c>
      <c r="T20" s="126">
        <f>+Actuals!Q450</f>
        <v>0</v>
      </c>
      <c r="U20" s="127">
        <v>0</v>
      </c>
      <c r="V20" s="126">
        <f>+Actuals!S450</f>
        <v>0</v>
      </c>
      <c r="W20" s="127">
        <v>0</v>
      </c>
      <c r="X20" s="126">
        <f>+Actuals!U450</f>
        <v>0</v>
      </c>
      <c r="Y20" s="127">
        <v>0</v>
      </c>
      <c r="Z20" s="126">
        <f>+Actuals!W450</f>
        <v>0</v>
      </c>
      <c r="AA20" s="127">
        <v>0</v>
      </c>
      <c r="AB20" s="126">
        <f>+Actuals!Y250</f>
        <v>0</v>
      </c>
      <c r="AC20" s="127">
        <f>+Actuals!Z250</f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-11342509</v>
      </c>
      <c r="E21" s="38">
        <f t="shared" si="3"/>
        <v>-28614796</v>
      </c>
      <c r="F21" s="60">
        <f>'TIE-OUT'!T21+RECLASS!R21</f>
        <v>0</v>
      </c>
      <c r="G21" s="38">
        <f>'TIE-OUT'!U21+RECLASS!S21</f>
        <v>0</v>
      </c>
      <c r="H21" s="126">
        <f>+Actuals!E251</f>
        <v>-11342509</v>
      </c>
      <c r="I21" s="127">
        <f>+Actuals!F251</f>
        <v>-28614796</v>
      </c>
      <c r="J21" s="126">
        <f>+Actuals!G251</f>
        <v>-2000</v>
      </c>
      <c r="K21" s="145">
        <f>+Actuals!H251</f>
        <v>-4870</v>
      </c>
      <c r="L21" s="126">
        <f>+Actuals!I251</f>
        <v>-7050</v>
      </c>
      <c r="M21" s="127">
        <f>+Actuals!J251</f>
        <v>-18330</v>
      </c>
      <c r="N21" s="126">
        <f>+Actuals!K251</f>
        <v>11344509</v>
      </c>
      <c r="O21" s="127">
        <f>+Actuals!L251</f>
        <v>28619666</v>
      </c>
      <c r="P21" s="126">
        <f>+Actuals!M451</f>
        <v>-11352399</v>
      </c>
      <c r="Q21" s="127">
        <f>+Actuals!N451</f>
        <v>-28640180</v>
      </c>
      <c r="R21" s="126">
        <f>+Actuals!O451</f>
        <v>0</v>
      </c>
      <c r="S21" s="127">
        <f>+Actuals!P451</f>
        <v>0</v>
      </c>
      <c r="T21" s="126">
        <f>+Actuals!Q451</f>
        <v>11351559</v>
      </c>
      <c r="U21" s="127">
        <f>+Actuals!R451</f>
        <v>28637996</v>
      </c>
      <c r="V21" s="126">
        <f>+Actuals!S451</f>
        <v>0</v>
      </c>
      <c r="W21" s="127">
        <f>+Actuals!T451</f>
        <v>0</v>
      </c>
      <c r="X21" s="126">
        <f>+Actuals!U451</f>
        <v>0</v>
      </c>
      <c r="Y21" s="127">
        <f>+Actuals!V451</f>
        <v>0</v>
      </c>
      <c r="Z21" s="126">
        <f>+Actuals!W451</f>
        <v>-11334619</v>
      </c>
      <c r="AA21" s="127">
        <f>+Actuals!X451</f>
        <v>-28594282</v>
      </c>
      <c r="AB21" s="126">
        <f>+Actuals!Y251</f>
        <v>0</v>
      </c>
      <c r="AC21" s="127">
        <f>+Actuals!Z251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6">
        <f>+Actuals!E252</f>
        <v>0</v>
      </c>
      <c r="I22" s="127">
        <f>+Actuals!F252</f>
        <v>0</v>
      </c>
      <c r="J22" s="126">
        <f>+Actuals!G252</f>
        <v>0</v>
      </c>
      <c r="K22" s="145">
        <f>+Actuals!H252</f>
        <v>0</v>
      </c>
      <c r="L22" s="126">
        <f>+Actuals!I252</f>
        <v>0</v>
      </c>
      <c r="M22" s="127">
        <f>+Actuals!J252</f>
        <v>0</v>
      </c>
      <c r="N22" s="126">
        <f>+Actuals!K252</f>
        <v>0</v>
      </c>
      <c r="O22" s="127">
        <f>+Actuals!L252</f>
        <v>0</v>
      </c>
      <c r="P22" s="126">
        <f>+Actuals!M452</f>
        <v>0</v>
      </c>
      <c r="Q22" s="127">
        <f>+Actuals!N452</f>
        <v>0</v>
      </c>
      <c r="R22" s="126">
        <f>+Actuals!O452</f>
        <v>0</v>
      </c>
      <c r="S22" s="127">
        <f>+Actuals!P452</f>
        <v>0</v>
      </c>
      <c r="T22" s="126">
        <f>+Actuals!Q452</f>
        <v>0</v>
      </c>
      <c r="U22" s="127">
        <f>+Actuals!R452</f>
        <v>0</v>
      </c>
      <c r="V22" s="126">
        <f>+Actuals!S452</f>
        <v>0</v>
      </c>
      <c r="W22" s="127">
        <f>+Actuals!T452</f>
        <v>0</v>
      </c>
      <c r="X22" s="126">
        <f>+Actuals!U452</f>
        <v>0</v>
      </c>
      <c r="Y22" s="127">
        <f>+Actuals!V452</f>
        <v>0</v>
      </c>
      <c r="Z22" s="126">
        <f>+Actuals!W452</f>
        <v>0</v>
      </c>
      <c r="AA22" s="127">
        <f>+Actuals!X452</f>
        <v>0</v>
      </c>
      <c r="AB22" s="126">
        <f>+Actuals!Y252</f>
        <v>0</v>
      </c>
      <c r="AC22" s="127">
        <f>+Actuals!Z252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2436</v>
      </c>
      <c r="E23" s="38">
        <f t="shared" si="3"/>
        <v>6986.4480000000003</v>
      </c>
      <c r="F23" s="81">
        <f>'TIE-OUT'!T23+RECLASS!R23</f>
        <v>0</v>
      </c>
      <c r="G23" s="82">
        <f>'TIE-OUT'!U23+RECLASS!S23</f>
        <v>0</v>
      </c>
      <c r="H23" s="126">
        <f>+Actuals!E253</f>
        <v>-360</v>
      </c>
      <c r="I23" s="127">
        <f>+Actuals!F253</f>
        <v>-1032.48</v>
      </c>
      <c r="J23" s="126">
        <f>+Actuals!G253</f>
        <v>2037</v>
      </c>
      <c r="K23" s="145">
        <f>+Actuals!H253</f>
        <v>5842.116</v>
      </c>
      <c r="L23" s="126">
        <f>+Actuals!I253</f>
        <v>0</v>
      </c>
      <c r="M23" s="127">
        <f>+Actuals!J253</f>
        <v>0</v>
      </c>
      <c r="N23" s="126">
        <f>+Actuals!K253</f>
        <v>0</v>
      </c>
      <c r="O23" s="127">
        <f>+Actuals!L253</f>
        <v>0</v>
      </c>
      <c r="P23" s="126">
        <f>+Actuals!M453</f>
        <v>720</v>
      </c>
      <c r="Q23" s="127">
        <f>+Actuals!N453</f>
        <v>2064.96</v>
      </c>
      <c r="R23" s="126">
        <f>+Actuals!O453</f>
        <v>0</v>
      </c>
      <c r="S23" s="127">
        <f>+Actuals!P453</f>
        <v>0</v>
      </c>
      <c r="T23" s="126">
        <f>+Actuals!Q453</f>
        <v>0</v>
      </c>
      <c r="U23" s="127">
        <f>+Actuals!R453</f>
        <v>0</v>
      </c>
      <c r="V23" s="126">
        <f>+Actuals!S453</f>
        <v>0</v>
      </c>
      <c r="W23" s="127">
        <f>+Actuals!T453</f>
        <v>0</v>
      </c>
      <c r="X23" s="126">
        <f>+Actuals!U453</f>
        <v>0</v>
      </c>
      <c r="Y23" s="127">
        <f>+Actuals!V453</f>
        <v>0</v>
      </c>
      <c r="Z23" s="126">
        <f>+Actuals!W453</f>
        <v>39</v>
      </c>
      <c r="AA23" s="127">
        <f>+Actuals!X453</f>
        <v>111.852</v>
      </c>
      <c r="AB23" s="126">
        <f>+Actuals!Y253</f>
        <v>0</v>
      </c>
      <c r="AC23" s="127">
        <f>+Actuals!Z253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</row>
    <row r="24" spans="1:33" x14ac:dyDescent="0.25">
      <c r="A24" s="9"/>
      <c r="B24" s="7" t="s">
        <v>33</v>
      </c>
      <c r="C24" s="6"/>
      <c r="D24" s="61">
        <f t="shared" ref="D24:AE24" si="4">SUM(D19:D23)</f>
        <v>-13474960</v>
      </c>
      <c r="E24" s="39">
        <f t="shared" si="4"/>
        <v>-34648867.241999999</v>
      </c>
      <c r="F24" s="61">
        <f t="shared" si="4"/>
        <v>0</v>
      </c>
      <c r="G24" s="39">
        <f t="shared" si="4"/>
        <v>-876659.12</v>
      </c>
      <c r="H24" s="61">
        <f t="shared" si="4"/>
        <v>-13420976</v>
      </c>
      <c r="I24" s="39">
        <f t="shared" si="4"/>
        <v>-33630534.059999995</v>
      </c>
      <c r="J24" s="61">
        <f t="shared" si="4"/>
        <v>-55364</v>
      </c>
      <c r="K24" s="146">
        <f t="shared" si="4"/>
        <v>-145259.584</v>
      </c>
      <c r="L24" s="61">
        <f t="shared" si="4"/>
        <v>-7050</v>
      </c>
      <c r="M24" s="39">
        <f t="shared" si="4"/>
        <v>-18330</v>
      </c>
      <c r="N24" s="61">
        <f t="shared" si="4"/>
        <v>11339724</v>
      </c>
      <c r="O24" s="39">
        <f t="shared" si="4"/>
        <v>28606436.300000001</v>
      </c>
      <c r="P24" s="61">
        <f t="shared" si="4"/>
        <v>-11348273</v>
      </c>
      <c r="Q24" s="39">
        <f t="shared" si="4"/>
        <v>-28628346.629999999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11351559</v>
      </c>
      <c r="U24" s="39">
        <f t="shared" si="5"/>
        <v>28637996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-11334580</v>
      </c>
      <c r="AA24" s="39">
        <f>SUM(AA19:AA23)</f>
        <v>-28594170.147999998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5727879</v>
      </c>
      <c r="E27" s="38">
        <f>SUM(G27,I27,K27,M27,O27,Q27,S27,U27,W27,Y27,AA27,AC27,AE27,AG27)</f>
        <v>14596410.34</v>
      </c>
      <c r="F27" s="64">
        <f>'TIE-OUT'!T27+RECLASS!R27</f>
        <v>0</v>
      </c>
      <c r="G27" s="68">
        <f>'TIE-OUT'!U27+RECLASS!S27</f>
        <v>0</v>
      </c>
      <c r="H27" s="126">
        <f>+Actuals!E254</f>
        <v>4635977</v>
      </c>
      <c r="I27" s="127">
        <f>+Actuals!F254</f>
        <v>11795596.720000001</v>
      </c>
      <c r="J27" s="126">
        <f>+Actuals!G254</f>
        <v>1091927</v>
      </c>
      <c r="K27" s="145">
        <f>+Actuals!H254</f>
        <v>2800877.62</v>
      </c>
      <c r="L27" s="126">
        <f>+Actuals!I254</f>
        <v>0</v>
      </c>
      <c r="M27" s="127">
        <f>+Actuals!J254</f>
        <v>0</v>
      </c>
      <c r="N27" s="126">
        <f>+Actuals!K254</f>
        <v>0</v>
      </c>
      <c r="O27" s="127">
        <f>+Actuals!L254</f>
        <v>0</v>
      </c>
      <c r="P27" s="126">
        <f>+Actuals!M454</f>
        <v>0</v>
      </c>
      <c r="Q27" s="127">
        <f>+Actuals!N454</f>
        <v>-2244.96</v>
      </c>
      <c r="R27" s="126">
        <f>+Actuals!O454</f>
        <v>-25</v>
      </c>
      <c r="S27" s="127">
        <f>+Actuals!P454</f>
        <v>2180.96</v>
      </c>
      <c r="T27" s="126">
        <f>+Actuals!Q454</f>
        <v>0</v>
      </c>
      <c r="U27" s="127">
        <f>+Actuals!R454</f>
        <v>0</v>
      </c>
      <c r="V27" s="126">
        <f>+Actuals!S454</f>
        <v>0</v>
      </c>
      <c r="W27" s="127">
        <f>+Actuals!T454</f>
        <v>0</v>
      </c>
      <c r="X27" s="126">
        <f>+Actuals!U454</f>
        <v>0</v>
      </c>
      <c r="Y27" s="127">
        <f>+Actuals!V454</f>
        <v>0</v>
      </c>
      <c r="Z27" s="126">
        <f>+Actuals!W454</f>
        <v>0</v>
      </c>
      <c r="AA27" s="127">
        <f>+Actuals!X454</f>
        <v>0</v>
      </c>
      <c r="AB27" s="126">
        <f>+Actuals!Y254</f>
        <v>0</v>
      </c>
      <c r="AC27" s="127">
        <f>+Actuals!Z254</f>
        <v>0</v>
      </c>
      <c r="AD27" s="126">
        <f>+Actuals!AA254</f>
        <v>0</v>
      </c>
      <c r="AE27" s="127">
        <f>+Actuals!AB254</f>
        <v>0</v>
      </c>
      <c r="AF27" s="126">
        <f>+Actuals!AC254</f>
        <v>0</v>
      </c>
      <c r="AG27" s="127">
        <f>+Actuals!AD254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-14435611</v>
      </c>
      <c r="E28" s="38">
        <f>SUM(G28,I28,K28,M28,O28,Q28,S28,U28,W28,Y28,AA28,AC28,AE28,AG28)</f>
        <v>-37263633.910000011</v>
      </c>
      <c r="F28" s="81">
        <f>'TIE-OUT'!T28+RECLASS!R28</f>
        <v>0</v>
      </c>
      <c r="G28" s="82">
        <f>'TIE-OUT'!U28+RECLASS!S28</f>
        <v>0</v>
      </c>
      <c r="H28" s="126">
        <f>+Actuals!E255</f>
        <v>-8671068</v>
      </c>
      <c r="I28" s="127">
        <f>+Actuals!F255</f>
        <v>-22468455.399999999</v>
      </c>
      <c r="J28" s="126">
        <f>+Actuals!G255</f>
        <v>-5765950</v>
      </c>
      <c r="K28" s="145">
        <f>+Actuals!H255</f>
        <v>-14798788.07</v>
      </c>
      <c r="L28" s="126">
        <f>+Actuals!I255</f>
        <v>598</v>
      </c>
      <c r="M28" s="127">
        <f>+Actuals!J255</f>
        <v>1103.44</v>
      </c>
      <c r="N28" s="126">
        <f>+Actuals!K255</f>
        <v>0</v>
      </c>
      <c r="O28" s="127">
        <f>+Actuals!L255</f>
        <v>0</v>
      </c>
      <c r="P28" s="126">
        <f>+Actuals!M455</f>
        <v>-3406</v>
      </c>
      <c r="Q28" s="127">
        <f>+Actuals!N455</f>
        <v>-6491.95</v>
      </c>
      <c r="R28" s="126">
        <f>+Actuals!O455</f>
        <v>2781</v>
      </c>
      <c r="S28" s="127">
        <f>+Actuals!P455</f>
        <v>5319.36</v>
      </c>
      <c r="T28" s="126">
        <f>+Actuals!Q455</f>
        <v>-2</v>
      </c>
      <c r="U28" s="127">
        <f>+Actuals!R455</f>
        <v>-5.09</v>
      </c>
      <c r="V28" s="126">
        <f>+Actuals!S455</f>
        <v>1500</v>
      </c>
      <c r="W28" s="127">
        <f>+Actuals!T455</f>
        <v>3847</v>
      </c>
      <c r="X28" s="126">
        <f>+Actuals!U455</f>
        <v>-3366</v>
      </c>
      <c r="Y28" s="127">
        <f>+Actuals!V455</f>
        <v>-8633.68</v>
      </c>
      <c r="Z28" s="126">
        <f>+Actuals!W455</f>
        <v>3302</v>
      </c>
      <c r="AA28" s="127">
        <f>+Actuals!X455</f>
        <v>8470.48</v>
      </c>
      <c r="AB28" s="126">
        <f>+Actuals!Y255</f>
        <v>0</v>
      </c>
      <c r="AC28" s="127">
        <f>+Actuals!Z255</f>
        <v>0</v>
      </c>
      <c r="AD28" s="126">
        <f>+Actuals!AA255</f>
        <v>0</v>
      </c>
      <c r="AE28" s="127">
        <f>+Actuals!AB255</f>
        <v>0</v>
      </c>
      <c r="AF28" s="126">
        <f>+Actuals!AC255</f>
        <v>0</v>
      </c>
      <c r="AG28" s="127">
        <f>+Actuals!AD255</f>
        <v>0</v>
      </c>
    </row>
    <row r="29" spans="1:33" x14ac:dyDescent="0.25">
      <c r="A29" s="9"/>
      <c r="B29" s="7" t="s">
        <v>37</v>
      </c>
      <c r="C29" s="18"/>
      <c r="D29" s="61">
        <f t="shared" ref="D29:AE29" si="6">SUM(D27:D28)</f>
        <v>-8707732</v>
      </c>
      <c r="E29" s="39">
        <f t="shared" si="6"/>
        <v>-22667223.570000011</v>
      </c>
      <c r="F29" s="61">
        <f t="shared" si="6"/>
        <v>0</v>
      </c>
      <c r="G29" s="39">
        <f t="shared" si="6"/>
        <v>0</v>
      </c>
      <c r="H29" s="61">
        <f t="shared" si="6"/>
        <v>-4035091</v>
      </c>
      <c r="I29" s="39">
        <f t="shared" si="6"/>
        <v>-10672858.679999998</v>
      </c>
      <c r="J29" s="61">
        <f t="shared" si="6"/>
        <v>-4674023</v>
      </c>
      <c r="K29" s="146">
        <f t="shared" si="6"/>
        <v>-11997910.449999999</v>
      </c>
      <c r="L29" s="61">
        <f t="shared" si="6"/>
        <v>598</v>
      </c>
      <c r="M29" s="39">
        <f t="shared" si="6"/>
        <v>1103.44</v>
      </c>
      <c r="N29" s="61">
        <f t="shared" si="6"/>
        <v>0</v>
      </c>
      <c r="O29" s="39">
        <f t="shared" si="6"/>
        <v>0</v>
      </c>
      <c r="P29" s="61">
        <f t="shared" si="6"/>
        <v>-3406</v>
      </c>
      <c r="Q29" s="39">
        <f t="shared" si="6"/>
        <v>-8736.91</v>
      </c>
      <c r="R29" s="61">
        <f t="shared" ref="R29:W29" si="7">SUM(R27:R28)</f>
        <v>2756</v>
      </c>
      <c r="S29" s="39">
        <f t="shared" si="7"/>
        <v>7500.32</v>
      </c>
      <c r="T29" s="61">
        <f t="shared" si="7"/>
        <v>-2</v>
      </c>
      <c r="U29" s="39">
        <f t="shared" si="7"/>
        <v>-5.09</v>
      </c>
      <c r="V29" s="61">
        <f t="shared" si="7"/>
        <v>1500</v>
      </c>
      <c r="W29" s="39">
        <f t="shared" si="7"/>
        <v>3847</v>
      </c>
      <c r="X29" s="61">
        <f>SUM(X27:X28)</f>
        <v>-3366</v>
      </c>
      <c r="Y29" s="39">
        <f>SUM(Y27:Y28)</f>
        <v>-8633.68</v>
      </c>
      <c r="Z29" s="61">
        <f>SUM(Z27:Z28)</f>
        <v>3302</v>
      </c>
      <c r="AA29" s="39">
        <f>SUM(AA27:AA28)</f>
        <v>8470.48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54495</v>
      </c>
      <c r="E32" s="38">
        <f t="shared" si="8"/>
        <v>156291.35699999973</v>
      </c>
      <c r="F32" s="64">
        <f>'TIE-OUT'!T32+RECLASS!R32</f>
        <v>0</v>
      </c>
      <c r="G32" s="68">
        <f>'TIE-OUT'!U32+RECLASS!S32</f>
        <v>0</v>
      </c>
      <c r="H32" s="126">
        <f>+Actuals!E256</f>
        <v>-4475570</v>
      </c>
      <c r="I32" s="127">
        <f>+Actuals!F256</f>
        <v>-12835934.76</v>
      </c>
      <c r="J32" s="126">
        <f>+Actuals!G256</f>
        <v>4540079</v>
      </c>
      <c r="K32" s="145">
        <f>+Actuals!H256</f>
        <v>13020946.27</v>
      </c>
      <c r="L32" s="126">
        <f>+Actuals!I256</f>
        <v>-324229</v>
      </c>
      <c r="M32" s="127">
        <f>+Actuals!J256</f>
        <v>-929888.777</v>
      </c>
      <c r="N32" s="126">
        <f>+Actuals!K256</f>
        <v>0</v>
      </c>
      <c r="O32" s="127">
        <f>+Actuals!L256</f>
        <v>0</v>
      </c>
      <c r="P32" s="126">
        <f>+Actuals!M456</f>
        <v>0</v>
      </c>
      <c r="Q32" s="127">
        <f>+Actuals!N456</f>
        <v>0</v>
      </c>
      <c r="R32" s="126">
        <f>+Actuals!O456</f>
        <v>-2756</v>
      </c>
      <c r="S32" s="127">
        <f>+Actuals!P456</f>
        <v>-7904.2079999999996</v>
      </c>
      <c r="T32" s="126">
        <f>+Actuals!Q456</f>
        <v>0</v>
      </c>
      <c r="U32" s="127">
        <f>+Actuals!R456</f>
        <v>0</v>
      </c>
      <c r="V32" s="126">
        <f>+Actuals!S456</f>
        <v>0</v>
      </c>
      <c r="W32" s="127">
        <f>+Actuals!T456</f>
        <v>0</v>
      </c>
      <c r="X32" s="126">
        <f>+Actuals!U456</f>
        <v>0</v>
      </c>
      <c r="Y32" s="127">
        <f>+Actuals!V456</f>
        <v>0</v>
      </c>
      <c r="Z32" s="126">
        <f>+Actuals!W456</f>
        <v>297219</v>
      </c>
      <c r="AA32" s="127">
        <f>+Actuals!X456</f>
        <v>852424.09199999995</v>
      </c>
      <c r="AB32" s="126">
        <f>+Actuals!Y256</f>
        <v>0</v>
      </c>
      <c r="AC32" s="127">
        <f>+Actuals!Z256</f>
        <v>0</v>
      </c>
      <c r="AD32" s="126">
        <f>+Actuals!AA256</f>
        <v>0</v>
      </c>
      <c r="AE32" s="127">
        <f>+Actuals!AB256</f>
        <v>0</v>
      </c>
      <c r="AF32" s="126">
        <v>19752</v>
      </c>
      <c r="AG32" s="127">
        <v>56648.74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6">
        <f>+Actuals!E257</f>
        <v>0</v>
      </c>
      <c r="I33" s="127">
        <f>+Actuals!F257</f>
        <v>0</v>
      </c>
      <c r="J33" s="126">
        <f>+Actuals!G257</f>
        <v>0</v>
      </c>
      <c r="K33" s="145">
        <f>+Actuals!H257</f>
        <v>0</v>
      </c>
      <c r="L33" s="126">
        <f>+Actuals!I257</f>
        <v>0</v>
      </c>
      <c r="M33" s="127">
        <f>+Actuals!J257</f>
        <v>0</v>
      </c>
      <c r="N33" s="126">
        <f>+Actuals!K257</f>
        <v>0</v>
      </c>
      <c r="O33" s="127">
        <f>+Actuals!L257</f>
        <v>0</v>
      </c>
      <c r="P33" s="126">
        <f>+Actuals!M457</f>
        <v>0</v>
      </c>
      <c r="Q33" s="127">
        <f>+Actuals!N457</f>
        <v>0</v>
      </c>
      <c r="R33" s="126">
        <f>+Actuals!O457</f>
        <v>0</v>
      </c>
      <c r="S33" s="127">
        <f>+Actuals!P457</f>
        <v>0</v>
      </c>
      <c r="T33" s="126">
        <f>+Actuals!Q457</f>
        <v>0</v>
      </c>
      <c r="U33" s="127">
        <f>+Actuals!R457</f>
        <v>0</v>
      </c>
      <c r="V33" s="126">
        <f>+Actuals!S457</f>
        <v>0</v>
      </c>
      <c r="W33" s="127">
        <f>+Actuals!T457</f>
        <v>0</v>
      </c>
      <c r="X33" s="126">
        <f>+Actuals!U457</f>
        <v>0</v>
      </c>
      <c r="Y33" s="127">
        <f>+Actuals!V457</f>
        <v>0</v>
      </c>
      <c r="Z33" s="126">
        <f>+Actuals!W457</f>
        <v>0</v>
      </c>
      <c r="AA33" s="127">
        <f>+Actuals!X457</f>
        <v>0</v>
      </c>
      <c r="AB33" s="126">
        <f>+Actuals!Y257</f>
        <v>0</v>
      </c>
      <c r="AC33" s="127">
        <f>+Actuals!Z257</f>
        <v>0</v>
      </c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6">
        <f>+Actuals!E258</f>
        <v>0</v>
      </c>
      <c r="I34" s="127">
        <f>+Actuals!F258</f>
        <v>0</v>
      </c>
      <c r="J34" s="126">
        <f>+Actuals!G258</f>
        <v>0</v>
      </c>
      <c r="K34" s="145">
        <f>+Actuals!H258</f>
        <v>0</v>
      </c>
      <c r="L34" s="126">
        <f>+Actuals!I258</f>
        <v>0</v>
      </c>
      <c r="M34" s="127">
        <f>+Actuals!J258</f>
        <v>0</v>
      </c>
      <c r="N34" s="126">
        <f>+Actuals!K258</f>
        <v>0</v>
      </c>
      <c r="O34" s="127">
        <f>+Actuals!L258</f>
        <v>0</v>
      </c>
      <c r="P34" s="126">
        <f>+Actuals!M458</f>
        <v>0</v>
      </c>
      <c r="Q34" s="127">
        <f>+Actuals!N458</f>
        <v>0</v>
      </c>
      <c r="R34" s="126">
        <f>+Actuals!O458</f>
        <v>0</v>
      </c>
      <c r="S34" s="127">
        <f>+Actuals!P458</f>
        <v>0</v>
      </c>
      <c r="T34" s="126">
        <f>+Actuals!Q458</f>
        <v>0</v>
      </c>
      <c r="U34" s="127">
        <f>+Actuals!R458</f>
        <v>0</v>
      </c>
      <c r="V34" s="126">
        <f>+Actuals!S458</f>
        <v>0</v>
      </c>
      <c r="W34" s="127">
        <f>+Actuals!T458</f>
        <v>0</v>
      </c>
      <c r="X34" s="126">
        <f>+Actuals!U458</f>
        <v>0</v>
      </c>
      <c r="Y34" s="127">
        <f>+Actuals!V458</f>
        <v>0</v>
      </c>
      <c r="Z34" s="126">
        <f>+Actuals!W458</f>
        <v>0</v>
      </c>
      <c r="AA34" s="127">
        <f>+Actuals!X458</f>
        <v>0</v>
      </c>
      <c r="AB34" s="126">
        <f>+Actuals!Y258</f>
        <v>0</v>
      </c>
      <c r="AC34" s="127">
        <f>+Actuals!Z258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6">
        <f>+Actuals!E259</f>
        <v>0</v>
      </c>
      <c r="I35" s="127">
        <f>+Actuals!F259</f>
        <v>0</v>
      </c>
      <c r="J35" s="126">
        <f>+Actuals!G259</f>
        <v>0</v>
      </c>
      <c r="K35" s="145">
        <f>+Actuals!H259</f>
        <v>0</v>
      </c>
      <c r="L35" s="126">
        <f>+Actuals!I259</f>
        <v>0</v>
      </c>
      <c r="M35" s="127">
        <f>+Actuals!J259</f>
        <v>0</v>
      </c>
      <c r="N35" s="126">
        <f>+Actuals!K259</f>
        <v>0</v>
      </c>
      <c r="O35" s="127">
        <f>+Actuals!L259</f>
        <v>0</v>
      </c>
      <c r="P35" s="126">
        <f>+Actuals!M459</f>
        <v>0</v>
      </c>
      <c r="Q35" s="127">
        <f>+Actuals!N459</f>
        <v>0</v>
      </c>
      <c r="R35" s="126">
        <f>+Actuals!O459</f>
        <v>0</v>
      </c>
      <c r="S35" s="127">
        <f>+Actuals!P459</f>
        <v>0</v>
      </c>
      <c r="T35" s="126">
        <f>+Actuals!Q459</f>
        <v>0</v>
      </c>
      <c r="U35" s="127">
        <f>+Actuals!R459</f>
        <v>0</v>
      </c>
      <c r="V35" s="126">
        <f>+Actuals!S459</f>
        <v>0</v>
      </c>
      <c r="W35" s="127">
        <f>+Actuals!T459</f>
        <v>0</v>
      </c>
      <c r="X35" s="126">
        <f>+Actuals!U459</f>
        <v>0</v>
      </c>
      <c r="Y35" s="127">
        <f>+Actuals!V459</f>
        <v>0</v>
      </c>
      <c r="Z35" s="126">
        <f>+Actuals!W459</f>
        <v>0</v>
      </c>
      <c r="AA35" s="127">
        <f>+Actuals!X459</f>
        <v>0</v>
      </c>
      <c r="AB35" s="126">
        <f>+Actuals!Y259</f>
        <v>0</v>
      </c>
      <c r="AC35" s="127">
        <f>+Actuals!Z259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</row>
    <row r="36" spans="1:33" x14ac:dyDescent="0.25">
      <c r="A36" s="9"/>
      <c r="B36" s="7" t="s">
        <v>43</v>
      </c>
      <c r="C36" s="6"/>
      <c r="D36" s="61">
        <f t="shared" ref="D36:AE36" si="9">SUM(D32:D35)</f>
        <v>54495</v>
      </c>
      <c r="E36" s="39">
        <f t="shared" si="9"/>
        <v>156291.35699999973</v>
      </c>
      <c r="F36" s="61">
        <f t="shared" si="9"/>
        <v>0</v>
      </c>
      <c r="G36" s="39">
        <f t="shared" si="9"/>
        <v>0</v>
      </c>
      <c r="H36" s="61">
        <f t="shared" si="9"/>
        <v>-4475570</v>
      </c>
      <c r="I36" s="39">
        <f t="shared" si="9"/>
        <v>-12835934.76</v>
      </c>
      <c r="J36" s="61">
        <f t="shared" si="9"/>
        <v>4540079</v>
      </c>
      <c r="K36" s="146">
        <f t="shared" si="9"/>
        <v>13020946.27</v>
      </c>
      <c r="L36" s="61">
        <f t="shared" si="9"/>
        <v>-324229</v>
      </c>
      <c r="M36" s="39">
        <f t="shared" si="9"/>
        <v>-929888.777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-2756</v>
      </c>
      <c r="S36" s="39">
        <f t="shared" si="10"/>
        <v>-7904.2079999999996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297219</v>
      </c>
      <c r="AA36" s="39">
        <f>SUM(AA32:AA35)</f>
        <v>852424.09199999995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19752</v>
      </c>
      <c r="AG36" s="39">
        <f>SUM(AG32:AG35)</f>
        <v>56648.74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317010</v>
      </c>
      <c r="E39" s="38">
        <f t="shared" si="11"/>
        <v>936574.34</v>
      </c>
      <c r="F39" s="64">
        <f>'TIE-OUT'!T39+RECLASS!R39</f>
        <v>0</v>
      </c>
      <c r="G39" s="68">
        <f>'TIE-OUT'!U39+RECLASS!S39</f>
        <v>0</v>
      </c>
      <c r="H39" s="126">
        <f>+Actuals!E260</f>
        <v>0</v>
      </c>
      <c r="I39" s="127">
        <f>+Actuals!F260</f>
        <v>0</v>
      </c>
      <c r="J39" s="126">
        <f>+Actuals!G260</f>
        <v>317010</v>
      </c>
      <c r="K39" s="145">
        <f>+Actuals!H260</f>
        <v>936574.34</v>
      </c>
      <c r="L39" s="126">
        <f>+Actuals!I260</f>
        <v>0</v>
      </c>
      <c r="M39" s="127">
        <f>+Actuals!J260</f>
        <v>0</v>
      </c>
      <c r="N39" s="126">
        <f>+Actuals!K260</f>
        <v>0</v>
      </c>
      <c r="O39" s="127">
        <f>+Actuals!L260</f>
        <v>0</v>
      </c>
      <c r="P39" s="126">
        <f>+Actuals!M460</f>
        <v>0</v>
      </c>
      <c r="Q39" s="127">
        <f>+Actuals!N460</f>
        <v>0</v>
      </c>
      <c r="R39" s="126">
        <f>+Actuals!O460</f>
        <v>0</v>
      </c>
      <c r="S39" s="127">
        <f>+Actuals!P460</f>
        <v>0</v>
      </c>
      <c r="T39" s="126">
        <f>+Actuals!Q460</f>
        <v>0</v>
      </c>
      <c r="U39" s="127">
        <f>+Actuals!R460</f>
        <v>0</v>
      </c>
      <c r="V39" s="126">
        <f>+Actuals!S460</f>
        <v>0</v>
      </c>
      <c r="W39" s="127">
        <f>+Actuals!T460</f>
        <v>0</v>
      </c>
      <c r="X39" s="126">
        <f>+Actuals!U460</f>
        <v>0</v>
      </c>
      <c r="Y39" s="127">
        <f>+Actuals!V460</f>
        <v>0</v>
      </c>
      <c r="Z39" s="126">
        <f>+Actuals!W460</f>
        <v>0</v>
      </c>
      <c r="AA39" s="127">
        <f>+Actuals!X460</f>
        <v>0</v>
      </c>
      <c r="AB39" s="126">
        <f>+Actuals!Y260</f>
        <v>0</v>
      </c>
      <c r="AC39" s="127">
        <f>+Actuals!Z260</f>
        <v>0</v>
      </c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-35300</v>
      </c>
      <c r="E40" s="38">
        <f t="shared" si="11"/>
        <v>-75080.170000000013</v>
      </c>
      <c r="F40" s="60">
        <f>'TIE-OUT'!T40+RECLASS!R40</f>
        <v>0</v>
      </c>
      <c r="G40" s="38">
        <f>'TIE-OUT'!U40+RECLASS!S40</f>
        <v>0</v>
      </c>
      <c r="H40" s="126">
        <f>+Actuals!E261</f>
        <v>-35300</v>
      </c>
      <c r="I40" s="127">
        <f>+Actuals!F261</f>
        <v>-75073.55</v>
      </c>
      <c r="J40" s="126">
        <f>+Actuals!G261</f>
        <v>-300</v>
      </c>
      <c r="K40" s="145">
        <f>+Actuals!H261</f>
        <v>-638.02</v>
      </c>
      <c r="L40" s="126">
        <f>+Actuals!I261</f>
        <v>600</v>
      </c>
      <c r="M40" s="127">
        <f>+Actuals!J261</f>
        <v>1276.04</v>
      </c>
      <c r="N40" s="126">
        <f>+Actuals!K261</f>
        <v>0</v>
      </c>
      <c r="O40" s="127">
        <f>+Actuals!L261</f>
        <v>0</v>
      </c>
      <c r="P40" s="126">
        <f>+Actuals!M461</f>
        <v>2000</v>
      </c>
      <c r="Q40" s="127">
        <f>+Actuals!N461</f>
        <v>4253.46</v>
      </c>
      <c r="R40" s="126">
        <f>+Actuals!O461</f>
        <v>-2000</v>
      </c>
      <c r="S40" s="127">
        <f>+Actuals!P461</f>
        <v>-4260</v>
      </c>
      <c r="T40" s="126">
        <f>+Actuals!Q461</f>
        <v>-300</v>
      </c>
      <c r="U40" s="127">
        <f>+Actuals!R461</f>
        <v>-638.1</v>
      </c>
      <c r="V40" s="126">
        <f>+Actuals!S461</f>
        <v>0</v>
      </c>
      <c r="W40" s="127">
        <f>+Actuals!T461</f>
        <v>0</v>
      </c>
      <c r="X40" s="126">
        <f>+Actuals!U461</f>
        <v>0</v>
      </c>
      <c r="Y40" s="127">
        <f>+Actuals!V461</f>
        <v>0</v>
      </c>
      <c r="Z40" s="126">
        <f>+Actuals!W461</f>
        <v>0</v>
      </c>
      <c r="AA40" s="127">
        <f>+Actuals!X461</f>
        <v>0</v>
      </c>
      <c r="AB40" s="126">
        <f>+Actuals!Y261</f>
        <v>0</v>
      </c>
      <c r="AC40" s="127">
        <f>+Actuals!Z261</f>
        <v>0</v>
      </c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-30605</v>
      </c>
      <c r="F41" s="81">
        <f>'TIE-OUT'!T41+RECLASS!R41</f>
        <v>0</v>
      </c>
      <c r="G41" s="82">
        <f>'TIE-OUT'!U41+RECLASS!S41</f>
        <v>-30605</v>
      </c>
      <c r="H41" s="126">
        <f>+Actuals!E262</f>
        <v>0</v>
      </c>
      <c r="I41" s="127">
        <f>+Actuals!F262</f>
        <v>0</v>
      </c>
      <c r="J41" s="126">
        <f>+Actuals!G262</f>
        <v>0</v>
      </c>
      <c r="K41" s="145">
        <f>+Actuals!H262</f>
        <v>0</v>
      </c>
      <c r="L41" s="126">
        <f>+Actuals!I262</f>
        <v>0</v>
      </c>
      <c r="M41" s="127">
        <f>+Actuals!J262</f>
        <v>0</v>
      </c>
      <c r="N41" s="126">
        <f>+Actuals!K262</f>
        <v>0</v>
      </c>
      <c r="O41" s="127">
        <f>+Actuals!L262</f>
        <v>0</v>
      </c>
      <c r="P41" s="126">
        <f>+Actuals!M462</f>
        <v>0</v>
      </c>
      <c r="Q41" s="127">
        <f>+Actuals!N462</f>
        <v>0</v>
      </c>
      <c r="R41" s="126">
        <f>+Actuals!O462</f>
        <v>0</v>
      </c>
      <c r="S41" s="127">
        <f>+Actuals!P462</f>
        <v>0</v>
      </c>
      <c r="T41" s="126">
        <f>+Actuals!Q462</f>
        <v>0</v>
      </c>
      <c r="U41" s="127">
        <f>+Actuals!R462</f>
        <v>0</v>
      </c>
      <c r="V41" s="126">
        <f>+Actuals!S462</f>
        <v>0</v>
      </c>
      <c r="W41" s="127">
        <f>+Actuals!T462</f>
        <v>0</v>
      </c>
      <c r="X41" s="126">
        <f>+Actuals!U462</f>
        <v>0</v>
      </c>
      <c r="Y41" s="127">
        <f>+Actuals!V462</f>
        <v>0</v>
      </c>
      <c r="Z41" s="126">
        <f>+Actuals!W462</f>
        <v>0</v>
      </c>
      <c r="AA41" s="127">
        <f>+Actuals!X462</f>
        <v>0</v>
      </c>
      <c r="AB41" s="126">
        <f>+Actuals!Y262</f>
        <v>0</v>
      </c>
      <c r="AC41" s="127">
        <f>+Actuals!Z262</f>
        <v>0</v>
      </c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</row>
    <row r="42" spans="1:33" x14ac:dyDescent="0.25">
      <c r="A42" s="9"/>
      <c r="B42" s="7"/>
      <c r="C42" s="53" t="s">
        <v>48</v>
      </c>
      <c r="D42" s="61">
        <f t="shared" ref="D42:AE42" si="12">SUM(D40:D41)</f>
        <v>-35300</v>
      </c>
      <c r="E42" s="39">
        <f t="shared" si="12"/>
        <v>-105685.17000000001</v>
      </c>
      <c r="F42" s="61">
        <f t="shared" si="12"/>
        <v>0</v>
      </c>
      <c r="G42" s="39">
        <f t="shared" si="12"/>
        <v>-30605</v>
      </c>
      <c r="H42" s="61">
        <f t="shared" si="12"/>
        <v>-35300</v>
      </c>
      <c r="I42" s="39">
        <f t="shared" si="12"/>
        <v>-75073.55</v>
      </c>
      <c r="J42" s="61">
        <f t="shared" si="12"/>
        <v>-300</v>
      </c>
      <c r="K42" s="146">
        <f t="shared" si="12"/>
        <v>-638.02</v>
      </c>
      <c r="L42" s="61">
        <f t="shared" si="12"/>
        <v>600</v>
      </c>
      <c r="M42" s="39">
        <f t="shared" si="12"/>
        <v>1276.04</v>
      </c>
      <c r="N42" s="61">
        <f t="shared" si="12"/>
        <v>0</v>
      </c>
      <c r="O42" s="39">
        <f t="shared" si="12"/>
        <v>0</v>
      </c>
      <c r="P42" s="61">
        <f t="shared" si="12"/>
        <v>2000</v>
      </c>
      <c r="Q42" s="39">
        <f t="shared" si="12"/>
        <v>4253.46</v>
      </c>
      <c r="R42" s="61">
        <f t="shared" ref="R42:W42" si="13">SUM(R40:R41)</f>
        <v>-2000</v>
      </c>
      <c r="S42" s="39">
        <f t="shared" si="13"/>
        <v>-4260</v>
      </c>
      <c r="T42" s="61">
        <f t="shared" si="13"/>
        <v>-300</v>
      </c>
      <c r="U42" s="39">
        <f t="shared" si="13"/>
        <v>-638.1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AE43" si="14">D42+D39</f>
        <v>281710</v>
      </c>
      <c r="E43" s="39">
        <f t="shared" si="14"/>
        <v>830889.16999999993</v>
      </c>
      <c r="F43" s="61">
        <f t="shared" si="14"/>
        <v>0</v>
      </c>
      <c r="G43" s="39">
        <f t="shared" si="14"/>
        <v>-30605</v>
      </c>
      <c r="H43" s="61">
        <f t="shared" si="14"/>
        <v>-35300</v>
      </c>
      <c r="I43" s="39">
        <f t="shared" si="14"/>
        <v>-75073.55</v>
      </c>
      <c r="J43" s="61">
        <f t="shared" si="14"/>
        <v>316710</v>
      </c>
      <c r="K43" s="146">
        <f t="shared" si="14"/>
        <v>935936.32</v>
      </c>
      <c r="L43" s="61">
        <f t="shared" si="14"/>
        <v>600</v>
      </c>
      <c r="M43" s="39">
        <f t="shared" si="14"/>
        <v>1276.04</v>
      </c>
      <c r="N43" s="61">
        <f t="shared" si="14"/>
        <v>0</v>
      </c>
      <c r="O43" s="39">
        <f t="shared" si="14"/>
        <v>0</v>
      </c>
      <c r="P43" s="61">
        <f t="shared" si="14"/>
        <v>2000</v>
      </c>
      <c r="Q43" s="39">
        <f t="shared" si="14"/>
        <v>4253.46</v>
      </c>
      <c r="R43" s="61">
        <f t="shared" ref="R43:W43" si="15">R42+R39</f>
        <v>-2000</v>
      </c>
      <c r="S43" s="39">
        <f t="shared" si="15"/>
        <v>-4260</v>
      </c>
      <c r="T43" s="61">
        <f t="shared" si="15"/>
        <v>-300</v>
      </c>
      <c r="U43" s="39">
        <f t="shared" si="15"/>
        <v>-638.1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'TIE-OUT'!T45+RECLASS!R45</f>
        <v>0</v>
      </c>
      <c r="G45" s="68">
        <f>'TIE-OUT'!U45+RECLASS!S45</f>
        <v>0</v>
      </c>
      <c r="H45" s="126">
        <f>+Actuals!E263</f>
        <v>0</v>
      </c>
      <c r="I45" s="127">
        <f>+Actuals!F263</f>
        <v>0</v>
      </c>
      <c r="J45" s="126">
        <f>+Actuals!G263</f>
        <v>0</v>
      </c>
      <c r="K45" s="145">
        <f>+Actuals!H263</f>
        <v>0</v>
      </c>
      <c r="L45" s="126">
        <f>+Actuals!I263</f>
        <v>0</v>
      </c>
      <c r="M45" s="127">
        <f>+Actuals!J263</f>
        <v>0</v>
      </c>
      <c r="N45" s="126">
        <f>+Actuals!K263</f>
        <v>0</v>
      </c>
      <c r="O45" s="127">
        <f>+Actuals!L263</f>
        <v>0</v>
      </c>
      <c r="P45" s="126">
        <f>+Actuals!M463</f>
        <v>0</v>
      </c>
      <c r="Q45" s="127">
        <f>+Actuals!N463</f>
        <v>0</v>
      </c>
      <c r="R45" s="126">
        <f>+Actuals!O463</f>
        <v>0</v>
      </c>
      <c r="S45" s="127">
        <f>+Actuals!P463</f>
        <v>0</v>
      </c>
      <c r="T45" s="126">
        <f>+Actuals!Q463</f>
        <v>0</v>
      </c>
      <c r="U45" s="127">
        <f>+Actuals!R463</f>
        <v>0</v>
      </c>
      <c r="V45" s="126">
        <f>+Actuals!S463</f>
        <v>0</v>
      </c>
      <c r="W45" s="127">
        <f>+Actuals!T463</f>
        <v>0</v>
      </c>
      <c r="X45" s="126">
        <f>+Actuals!U463</f>
        <v>0</v>
      </c>
      <c r="Y45" s="127">
        <f>+Actuals!V463</f>
        <v>0</v>
      </c>
      <c r="Z45" s="126">
        <f>+Actuals!W463</f>
        <v>0</v>
      </c>
      <c r="AA45" s="127">
        <f>+Actuals!X463</f>
        <v>0</v>
      </c>
      <c r="AB45" s="126">
        <f>+Actuals!Y263</f>
        <v>0</v>
      </c>
      <c r="AC45" s="127">
        <f>+Actuals!Z263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'TIE-OUT'!T47+RECLASS!R47</f>
        <v>0</v>
      </c>
      <c r="G47" s="38">
        <f>'TIE-OUT'!U47+RECLASS!S47</f>
        <v>0</v>
      </c>
      <c r="H47" s="126">
        <f>+Actuals!E264</f>
        <v>0</v>
      </c>
      <c r="I47" s="127">
        <f>+Actuals!F264</f>
        <v>0</v>
      </c>
      <c r="J47" s="126">
        <f>+Actuals!G264</f>
        <v>0</v>
      </c>
      <c r="K47" s="145">
        <f>+Actuals!H264</f>
        <v>0</v>
      </c>
      <c r="L47" s="126">
        <f>+Actuals!I264</f>
        <v>0</v>
      </c>
      <c r="M47" s="127">
        <f>+Actuals!J264</f>
        <v>0</v>
      </c>
      <c r="N47" s="126">
        <f>+Actuals!K264</f>
        <v>0</v>
      </c>
      <c r="O47" s="127">
        <f>+Actuals!L264</f>
        <v>0</v>
      </c>
      <c r="P47" s="126">
        <f>+Actuals!M464</f>
        <v>0</v>
      </c>
      <c r="Q47" s="127">
        <f>+Actuals!N464</f>
        <v>0</v>
      </c>
      <c r="R47" s="126">
        <f>+Actuals!O464</f>
        <v>0</v>
      </c>
      <c r="S47" s="127">
        <f>+Actuals!P464</f>
        <v>0</v>
      </c>
      <c r="T47" s="126">
        <f>+Actuals!Q464</f>
        <v>0</v>
      </c>
      <c r="U47" s="127">
        <f>+Actuals!R464</f>
        <v>0</v>
      </c>
      <c r="V47" s="126">
        <f>+Actuals!S464</f>
        <v>0</v>
      </c>
      <c r="W47" s="127">
        <f>+Actuals!T464</f>
        <v>0</v>
      </c>
      <c r="X47" s="126">
        <f>+Actuals!U464</f>
        <v>0</v>
      </c>
      <c r="Y47" s="127">
        <f>+Actuals!V464</f>
        <v>0</v>
      </c>
      <c r="Z47" s="126">
        <f>+Actuals!W464</f>
        <v>0</v>
      </c>
      <c r="AA47" s="127">
        <f>+Actuals!X464</f>
        <v>0</v>
      </c>
      <c r="AB47" s="126">
        <f>+Actuals!Y264</f>
        <v>0</v>
      </c>
      <c r="AC47" s="127">
        <f>+Actuals!Z264</f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-2198</v>
      </c>
      <c r="E49" s="38">
        <f>SUM(G49,I49,K49,M49,O49,Q49,S49,U49,W49,Y49,AA49,AC49,AE49,AG49)</f>
        <v>-6303.8679999999149</v>
      </c>
      <c r="F49" s="60">
        <f>'TIE-OUT'!T49+RECLASS!R49</f>
        <v>0</v>
      </c>
      <c r="G49" s="38">
        <f>'TIE-OUT'!U49+RECLASS!S49</f>
        <v>0</v>
      </c>
      <c r="H49" s="126">
        <f>+Actuals!E265</f>
        <v>-2892</v>
      </c>
      <c r="I49" s="127">
        <f>+Actuals!F265</f>
        <v>-8294.2559999999994</v>
      </c>
      <c r="J49" s="126">
        <f>+Actuals!G265</f>
        <v>-328702</v>
      </c>
      <c r="K49" s="145">
        <f>+Actuals!H265</f>
        <v>-942717.33599999989</v>
      </c>
      <c r="L49" s="126">
        <f>+Actuals!I265</f>
        <v>331460</v>
      </c>
      <c r="M49" s="127">
        <f>+Actuals!J265</f>
        <v>950627.28</v>
      </c>
      <c r="N49" s="126">
        <f>+Actuals!K265</f>
        <v>-2347</v>
      </c>
      <c r="O49" s="127">
        <f>+Actuals!L265</f>
        <v>-6731.1959999999999</v>
      </c>
      <c r="P49" s="126">
        <f>+Actuals!M465</f>
        <v>8923</v>
      </c>
      <c r="Q49" s="127">
        <f>+Actuals!N465</f>
        <v>25591.164000000001</v>
      </c>
      <c r="R49" s="126">
        <f>+Actuals!O465</f>
        <v>2000</v>
      </c>
      <c r="S49" s="127">
        <f>+Actuals!P465</f>
        <v>5736</v>
      </c>
      <c r="T49" s="126">
        <f>+Actuals!Q465</f>
        <v>-10503</v>
      </c>
      <c r="U49" s="127">
        <f>+Actuals!R465</f>
        <v>-30122.603999999999</v>
      </c>
      <c r="V49" s="126">
        <f>+Actuals!S465</f>
        <v>0</v>
      </c>
      <c r="W49" s="127">
        <f>+Actuals!T465</f>
        <v>0</v>
      </c>
      <c r="X49" s="126">
        <f>+Actuals!U465</f>
        <v>0</v>
      </c>
      <c r="Y49" s="127">
        <f>+Actuals!V465</f>
        <v>0</v>
      </c>
      <c r="Z49" s="126">
        <f>+Actuals!W465</f>
        <v>19615</v>
      </c>
      <c r="AA49" s="127">
        <f>+Actuals!X465</f>
        <v>56255.82</v>
      </c>
      <c r="AB49" s="126">
        <f>+Actuals!Y265</f>
        <v>0</v>
      </c>
      <c r="AC49" s="127">
        <f>+Actuals!Z265</f>
        <v>0</v>
      </c>
      <c r="AD49" s="126">
        <f>+Actuals!AA265</f>
        <v>0</v>
      </c>
      <c r="AE49" s="127">
        <f>+Actuals!AB265</f>
        <v>0</v>
      </c>
      <c r="AF49" s="126">
        <v>-19752</v>
      </c>
      <c r="AG49" s="127">
        <v>-56648.74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-2436</v>
      </c>
      <c r="E51" s="38">
        <f>SUM(G51,I51,K51,M51,O51,Q51,S51,U51,W51,Y51,AA51,AC51,AE51,AG51)</f>
        <v>-6986.4480000000003</v>
      </c>
      <c r="F51" s="60">
        <f>'TIE-OUT'!T51+RECLASS!R51</f>
        <v>0</v>
      </c>
      <c r="G51" s="38">
        <f>'TIE-OUT'!U51+RECLASS!S51</f>
        <v>0</v>
      </c>
      <c r="H51" s="126">
        <f>+Actuals!E266</f>
        <v>360</v>
      </c>
      <c r="I51" s="127">
        <f>+Actuals!F266</f>
        <v>1032.48</v>
      </c>
      <c r="J51" s="126">
        <f>+Actuals!G266</f>
        <v>-2037</v>
      </c>
      <c r="K51" s="145">
        <f>+Actuals!H266</f>
        <v>-5842.116</v>
      </c>
      <c r="L51" s="126">
        <f>+Actuals!I266</f>
        <v>0</v>
      </c>
      <c r="M51" s="127">
        <f>+Actuals!J266</f>
        <v>0</v>
      </c>
      <c r="N51" s="126">
        <f>+Actuals!K266</f>
        <v>0</v>
      </c>
      <c r="O51" s="127">
        <f>+Actuals!L266</f>
        <v>0</v>
      </c>
      <c r="P51" s="126">
        <f>+Actuals!M466</f>
        <v>-720</v>
      </c>
      <c r="Q51" s="127">
        <f>+Actuals!N466</f>
        <v>-2064.96</v>
      </c>
      <c r="R51" s="126">
        <f>+Actuals!O466</f>
        <v>0</v>
      </c>
      <c r="S51" s="127">
        <f>+Actuals!P466</f>
        <v>0</v>
      </c>
      <c r="T51" s="126">
        <f>+Actuals!Q466</f>
        <v>0</v>
      </c>
      <c r="U51" s="127">
        <f>+Actuals!R466</f>
        <v>0</v>
      </c>
      <c r="V51" s="126">
        <f>+Actuals!S466</f>
        <v>0</v>
      </c>
      <c r="W51" s="127">
        <f>+Actuals!T466</f>
        <v>0</v>
      </c>
      <c r="X51" s="126">
        <f>+Actuals!U466</f>
        <v>0</v>
      </c>
      <c r="Y51" s="127">
        <f>+Actuals!V466</f>
        <v>0</v>
      </c>
      <c r="Z51" s="126">
        <f>+Actuals!W466</f>
        <v>-39</v>
      </c>
      <c r="AA51" s="127">
        <f>+Actuals!X466</f>
        <v>-111.852</v>
      </c>
      <c r="AB51" s="126">
        <f>+Actuals!Y266</f>
        <v>0</v>
      </c>
      <c r="AC51" s="127">
        <f>+Actuals!Z266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-15615830</v>
      </c>
      <c r="E54" s="38">
        <f>SUM(G54,I54,K54,M54,O54,Q54,S54,U54,W54,Y54,AA54,AC54,AE54,AG54)</f>
        <v>-531074.93000000005</v>
      </c>
      <c r="F54" s="64">
        <f>'TIE-OUT'!T54+RECLASS!R54</f>
        <v>0</v>
      </c>
      <c r="G54" s="68">
        <f>'TIE-OUT'!U54+RECLASS!S54</f>
        <v>0</v>
      </c>
      <c r="H54" s="126">
        <f>+Actuals!E267</f>
        <v>-9777875</v>
      </c>
      <c r="I54" s="127">
        <f>+Actuals!F267</f>
        <v>-525119.56999999995</v>
      </c>
      <c r="J54" s="126">
        <f>+Actuals!G267</f>
        <v>-5653160</v>
      </c>
      <c r="K54" s="145">
        <f>+Actuals!H267</f>
        <v>3389.19</v>
      </c>
      <c r="L54" s="126">
        <f>+Actuals!I267</f>
        <v>-18540</v>
      </c>
      <c r="M54" s="127">
        <f>+Actuals!J267</f>
        <v>-7055.03</v>
      </c>
      <c r="N54" s="126">
        <f>+Actuals!K267</f>
        <v>341331</v>
      </c>
      <c r="O54" s="127">
        <f>+Actuals!L267</f>
        <v>13317.62</v>
      </c>
      <c r="P54" s="126">
        <f>+Actuals!M467</f>
        <v>-9291</v>
      </c>
      <c r="Q54" s="127">
        <f>+Actuals!N467</f>
        <v>-514.88</v>
      </c>
      <c r="R54" s="126">
        <f>+Actuals!O467</f>
        <v>5000</v>
      </c>
      <c r="S54" s="127">
        <f>+Actuals!P467</f>
        <v>45.95</v>
      </c>
      <c r="T54" s="126">
        <f>+Actuals!Q467</f>
        <v>-37403</v>
      </c>
      <c r="U54" s="127">
        <f>+Actuals!R467</f>
        <v>-14530.83</v>
      </c>
      <c r="V54" s="126">
        <f>+Actuals!S467</f>
        <v>1500</v>
      </c>
      <c r="W54" s="127">
        <f>+Actuals!T467</f>
        <v>269.98</v>
      </c>
      <c r="X54" s="126">
        <f>+Actuals!U467</f>
        <v>-3368</v>
      </c>
      <c r="Y54" s="127">
        <f>+Actuals!V467</f>
        <v>0</v>
      </c>
      <c r="Z54" s="126">
        <f>+Actuals!W467</f>
        <v>-405780</v>
      </c>
      <c r="AA54" s="127">
        <f>+Actuals!X467</f>
        <v>0</v>
      </c>
      <c r="AB54" s="126">
        <v>-42284</v>
      </c>
      <c r="AC54" s="127">
        <v>-642.30999999999995</v>
      </c>
      <c r="AD54" s="126">
        <v>-15960</v>
      </c>
      <c r="AE54" s="127">
        <f>+Actuals!AB267</f>
        <v>0</v>
      </c>
      <c r="AF54" s="126">
        <v>0</v>
      </c>
      <c r="AG54" s="127">
        <v>-235.05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-41961.3</v>
      </c>
      <c r="F55" s="81">
        <f>'TIE-OUT'!T55+RECLASS!R55</f>
        <v>0</v>
      </c>
      <c r="G55" s="82">
        <f>'TIE-OUT'!U55+RECLASS!S55</f>
        <v>0</v>
      </c>
      <c r="H55" s="126">
        <f>+Actuals!E268</f>
        <v>0</v>
      </c>
      <c r="I55" s="127">
        <f>+Actuals!F268</f>
        <v>-40884</v>
      </c>
      <c r="J55" s="126">
        <f>+Actuals!G268</f>
        <v>0</v>
      </c>
      <c r="K55" s="145">
        <f>+Actuals!H268</f>
        <v>0</v>
      </c>
      <c r="L55" s="126">
        <f>+Actuals!I268</f>
        <v>0</v>
      </c>
      <c r="M55" s="127">
        <f>+Actuals!J268</f>
        <v>0</v>
      </c>
      <c r="N55" s="126">
        <f>+Actuals!K268</f>
        <v>0</v>
      </c>
      <c r="O55" s="127">
        <f>+Actuals!L268</f>
        <v>-93300</v>
      </c>
      <c r="P55" s="126">
        <f>+Actuals!M468</f>
        <v>0</v>
      </c>
      <c r="Q55" s="127">
        <f>+Actuals!N468</f>
        <v>92916</v>
      </c>
      <c r="R55" s="126">
        <f>+Actuals!O468</f>
        <v>0</v>
      </c>
      <c r="S55" s="127">
        <f>+Actuals!P468</f>
        <v>0</v>
      </c>
      <c r="T55" s="126">
        <f>+Actuals!Q468</f>
        <v>0</v>
      </c>
      <c r="U55" s="127">
        <f>+Actuals!R468</f>
        <v>-693.3</v>
      </c>
      <c r="V55" s="126">
        <f>+Actuals!S468</f>
        <v>0</v>
      </c>
      <c r="W55" s="127">
        <f>+Actuals!T468</f>
        <v>0</v>
      </c>
      <c r="X55" s="126">
        <f>+Actuals!U468</f>
        <v>0</v>
      </c>
      <c r="Y55" s="127">
        <f>+Actuals!V468</f>
        <v>0</v>
      </c>
      <c r="Z55" s="126">
        <f>+Actuals!W468</f>
        <v>0</v>
      </c>
      <c r="AA55" s="127">
        <f>+Actuals!X468</f>
        <v>0</v>
      </c>
      <c r="AB55" s="126">
        <f>+Actuals!Y268</f>
        <v>0</v>
      </c>
      <c r="AC55" s="127">
        <f>+Actuals!Z268</f>
        <v>0</v>
      </c>
      <c r="AD55" s="126">
        <f>+Actuals!AA268</f>
        <v>0</v>
      </c>
      <c r="AE55" s="127">
        <f>+Actuals!AB268</f>
        <v>0</v>
      </c>
      <c r="AF55" s="126">
        <f>+Actuals!AC268</f>
        <v>0</v>
      </c>
      <c r="AG55" s="127">
        <f>+Actuals!AD268</f>
        <v>0</v>
      </c>
    </row>
    <row r="56" spans="1:33" x14ac:dyDescent="0.25">
      <c r="A56" s="9"/>
      <c r="B56" s="7" t="s">
        <v>57</v>
      </c>
      <c r="C56" s="6"/>
      <c r="D56" s="61">
        <f t="shared" ref="D56:AE56" si="16">SUM(D54:D55)</f>
        <v>-15615830</v>
      </c>
      <c r="E56" s="39">
        <f t="shared" si="16"/>
        <v>-573036.2300000001</v>
      </c>
      <c r="F56" s="61">
        <f t="shared" si="16"/>
        <v>0</v>
      </c>
      <c r="G56" s="39">
        <f t="shared" si="16"/>
        <v>0</v>
      </c>
      <c r="H56" s="61">
        <f t="shared" si="16"/>
        <v>-9777875</v>
      </c>
      <c r="I56" s="39">
        <f t="shared" si="16"/>
        <v>-566003.56999999995</v>
      </c>
      <c r="J56" s="61">
        <f t="shared" si="16"/>
        <v>-5653160</v>
      </c>
      <c r="K56" s="146">
        <f t="shared" si="16"/>
        <v>3389.19</v>
      </c>
      <c r="L56" s="61">
        <f t="shared" si="16"/>
        <v>-18540</v>
      </c>
      <c r="M56" s="39">
        <f t="shared" si="16"/>
        <v>-7055.03</v>
      </c>
      <c r="N56" s="61">
        <f t="shared" si="16"/>
        <v>341331</v>
      </c>
      <c r="O56" s="39">
        <f t="shared" si="16"/>
        <v>-79982.38</v>
      </c>
      <c r="P56" s="61">
        <f t="shared" si="16"/>
        <v>-9291</v>
      </c>
      <c r="Q56" s="39">
        <f t="shared" si="16"/>
        <v>92401.12</v>
      </c>
      <c r="R56" s="61">
        <f t="shared" ref="R56:W56" si="17">SUM(R54:R55)</f>
        <v>5000</v>
      </c>
      <c r="S56" s="39">
        <f t="shared" si="17"/>
        <v>45.95</v>
      </c>
      <c r="T56" s="61">
        <f t="shared" si="17"/>
        <v>-37403</v>
      </c>
      <c r="U56" s="39">
        <f t="shared" si="17"/>
        <v>-15224.13</v>
      </c>
      <c r="V56" s="61">
        <f t="shared" si="17"/>
        <v>1500</v>
      </c>
      <c r="W56" s="39">
        <f t="shared" si="17"/>
        <v>269.98</v>
      </c>
      <c r="X56" s="61">
        <f>SUM(X54:X55)</f>
        <v>-3368</v>
      </c>
      <c r="Y56" s="39">
        <f>SUM(Y54:Y55)</f>
        <v>0</v>
      </c>
      <c r="Z56" s="61">
        <f>SUM(Z54:Z55)</f>
        <v>-405780</v>
      </c>
      <c r="AA56" s="39">
        <f>SUM(AA54:AA55)</f>
        <v>0</v>
      </c>
      <c r="AB56" s="61">
        <f t="shared" si="16"/>
        <v>-42284</v>
      </c>
      <c r="AC56" s="39">
        <f t="shared" si="16"/>
        <v>-642.30999999999995</v>
      </c>
      <c r="AD56" s="61">
        <f t="shared" si="16"/>
        <v>-15960</v>
      </c>
      <c r="AE56" s="39">
        <f t="shared" si="16"/>
        <v>0</v>
      </c>
      <c r="AF56" s="61">
        <f>SUM(AF54:AF55)</f>
        <v>0</v>
      </c>
      <c r="AG56" s="39">
        <f>SUM(AG54:AG55)</f>
        <v>-235.05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'TIE-OUT'!T59+RECLASS!R59</f>
        <v>0</v>
      </c>
      <c r="G59" s="68">
        <f>'TIE-OUT'!U59+RECLASS!S59</f>
        <v>0</v>
      </c>
      <c r="H59" s="126">
        <f>+Actuals!E269</f>
        <v>0</v>
      </c>
      <c r="I59" s="127">
        <f>+Actuals!F269</f>
        <v>0</v>
      </c>
      <c r="J59" s="126">
        <f>+Actuals!G269</f>
        <v>0</v>
      </c>
      <c r="K59" s="145">
        <f>+Actuals!H269</f>
        <v>0</v>
      </c>
      <c r="L59" s="126">
        <f>+Actuals!I269</f>
        <v>0</v>
      </c>
      <c r="M59" s="127">
        <f>+Actuals!J269</f>
        <v>0</v>
      </c>
      <c r="N59" s="126">
        <f>+Actuals!K269</f>
        <v>0</v>
      </c>
      <c r="O59" s="127">
        <f>+Actuals!L269</f>
        <v>0</v>
      </c>
      <c r="P59" s="126">
        <f>+Actuals!M469</f>
        <v>0</v>
      </c>
      <c r="Q59" s="127">
        <f>+Actuals!N469</f>
        <v>0</v>
      </c>
      <c r="R59" s="126">
        <f>+Actuals!O469</f>
        <v>0</v>
      </c>
      <c r="S59" s="127">
        <f>+Actuals!P469</f>
        <v>0</v>
      </c>
      <c r="T59" s="126">
        <f>+Actuals!Q469</f>
        <v>0</v>
      </c>
      <c r="U59" s="127">
        <f>+Actuals!R469</f>
        <v>0</v>
      </c>
      <c r="V59" s="126">
        <f>+Actuals!S469</f>
        <v>0</v>
      </c>
      <c r="W59" s="127">
        <f>+Actuals!T469</f>
        <v>0</v>
      </c>
      <c r="X59" s="126">
        <f>+Actuals!U469</f>
        <v>0</v>
      </c>
      <c r="Y59" s="127">
        <f>+Actuals!V469</f>
        <v>0</v>
      </c>
      <c r="Z59" s="126">
        <f>+Actuals!W469</f>
        <v>0</v>
      </c>
      <c r="AA59" s="127">
        <f>+Actuals!X469</f>
        <v>0</v>
      </c>
      <c r="AB59" s="126">
        <f>+Actuals!Y269</f>
        <v>0</v>
      </c>
      <c r="AC59" s="127">
        <f>+Actuals!Z269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'TIE-OUT'!T60+RECLASS!R60</f>
        <v>0</v>
      </c>
      <c r="G60" s="82">
        <f>'TIE-OUT'!U60+RECLASS!S60</f>
        <v>0</v>
      </c>
      <c r="H60" s="126">
        <f>+Actuals!E270</f>
        <v>0</v>
      </c>
      <c r="I60" s="127">
        <f>+Actuals!F270</f>
        <v>0</v>
      </c>
      <c r="J60" s="126">
        <f>+Actuals!G270</f>
        <v>0</v>
      </c>
      <c r="K60" s="145">
        <f>+Actuals!H270</f>
        <v>0</v>
      </c>
      <c r="L60" s="126">
        <f>+Actuals!I270</f>
        <v>0</v>
      </c>
      <c r="M60" s="127">
        <f>+Actuals!J270</f>
        <v>0</v>
      </c>
      <c r="N60" s="126">
        <f>+Actuals!K270</f>
        <v>0</v>
      </c>
      <c r="O60" s="127">
        <f>+Actuals!L270</f>
        <v>0</v>
      </c>
      <c r="P60" s="126">
        <f>+Actuals!M470</f>
        <v>0</v>
      </c>
      <c r="Q60" s="127">
        <f>+Actuals!N470</f>
        <v>0</v>
      </c>
      <c r="R60" s="126">
        <f>+Actuals!O470</f>
        <v>0</v>
      </c>
      <c r="S60" s="127">
        <f>+Actuals!P470</f>
        <v>0</v>
      </c>
      <c r="T60" s="126">
        <f>+Actuals!Q470</f>
        <v>0</v>
      </c>
      <c r="U60" s="127">
        <f>+Actuals!R470</f>
        <v>0</v>
      </c>
      <c r="V60" s="126">
        <f>+Actuals!S470</f>
        <v>0</v>
      </c>
      <c r="W60" s="127">
        <f>+Actuals!T470</f>
        <v>0</v>
      </c>
      <c r="X60" s="126">
        <f>+Actuals!U470</f>
        <v>0</v>
      </c>
      <c r="Y60" s="127">
        <f>+Actuals!V470</f>
        <v>0</v>
      </c>
      <c r="Z60" s="126">
        <f>+Actuals!W470</f>
        <v>0</v>
      </c>
      <c r="AA60" s="127">
        <f>+Actuals!X470</f>
        <v>0</v>
      </c>
      <c r="AB60" s="126">
        <f>+Actuals!Y270</f>
        <v>0</v>
      </c>
      <c r="AC60" s="127">
        <f>+Actuals!Z270</f>
        <v>0</v>
      </c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</row>
    <row r="61" spans="1:33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-317010</v>
      </c>
      <c r="E64" s="38">
        <f>SUM(G64,I64,K64,M64,O64,Q64,S64,U64,W64,Y64,AA64,AC64,AE64,AG64)</f>
        <v>-67632.930000000008</v>
      </c>
      <c r="F64" s="64">
        <f>'TIE-OUT'!T64+RECLASS!R64</f>
        <v>0</v>
      </c>
      <c r="G64" s="68">
        <f>'TIE-OUT'!U64+RECLASS!S64</f>
        <v>0</v>
      </c>
      <c r="H64" s="126">
        <f>+Actuals!E271</f>
        <v>0</v>
      </c>
      <c r="I64" s="127">
        <f>+Actuals!F271</f>
        <v>-60000</v>
      </c>
      <c r="J64" s="126">
        <f>+Actuals!G271</f>
        <v>-317010</v>
      </c>
      <c r="K64" s="145">
        <f>+Actuals!H271</f>
        <v>-479.29</v>
      </c>
      <c r="L64" s="126">
        <f>+Actuals!I271</f>
        <v>0</v>
      </c>
      <c r="M64" s="127">
        <f>+Actuals!J271</f>
        <v>0</v>
      </c>
      <c r="N64" s="126">
        <f>+Actuals!K271</f>
        <v>0</v>
      </c>
      <c r="O64" s="127">
        <f>+Actuals!L271</f>
        <v>0</v>
      </c>
      <c r="P64" s="126">
        <f>+Actuals!M471</f>
        <v>0</v>
      </c>
      <c r="Q64" s="127">
        <f>+Actuals!N471</f>
        <v>0</v>
      </c>
      <c r="R64" s="126">
        <f>+Actuals!O471</f>
        <v>0</v>
      </c>
      <c r="S64" s="127">
        <f>+Actuals!P471</f>
        <v>0</v>
      </c>
      <c r="T64" s="126">
        <f>+Actuals!Q471</f>
        <v>0</v>
      </c>
      <c r="U64" s="127">
        <f>+Actuals!R471</f>
        <v>0</v>
      </c>
      <c r="V64" s="126">
        <f>+Actuals!S471</f>
        <v>0</v>
      </c>
      <c r="W64" s="127">
        <f>+Actuals!T471</f>
        <v>0</v>
      </c>
      <c r="X64" s="126">
        <f>+Actuals!U471</f>
        <v>0</v>
      </c>
      <c r="Y64" s="127">
        <f>+Actuals!V471</f>
        <v>0</v>
      </c>
      <c r="Z64" s="126">
        <f>+Actuals!W471</f>
        <v>0</v>
      </c>
      <c r="AA64" s="127">
        <f>+Actuals!X471</f>
        <v>-7153.64</v>
      </c>
      <c r="AB64" s="126">
        <f>+Actuals!Y271</f>
        <v>0</v>
      </c>
      <c r="AC64" s="127">
        <f>+Actuals!Z271</f>
        <v>0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'TIE-OUT'!T65+RECLASS!R65</f>
        <v>0</v>
      </c>
      <c r="G65" s="82">
        <f>'TIE-OUT'!U65+RECLASS!S65</f>
        <v>0</v>
      </c>
      <c r="H65" s="126">
        <f>+Actuals!E272</f>
        <v>0</v>
      </c>
      <c r="I65" s="127">
        <f>+Actuals!F272</f>
        <v>0</v>
      </c>
      <c r="J65" s="126">
        <f>+Actuals!G272</f>
        <v>0</v>
      </c>
      <c r="K65" s="156">
        <f>+Actuals!H272</f>
        <v>0</v>
      </c>
      <c r="L65" s="126">
        <f>+Actuals!I272</f>
        <v>0</v>
      </c>
      <c r="M65" s="127">
        <f>+Actuals!J272</f>
        <v>0</v>
      </c>
      <c r="N65" s="126">
        <f>+Actuals!K272</f>
        <v>0</v>
      </c>
      <c r="O65" s="127">
        <f>+Actuals!L272</f>
        <v>0</v>
      </c>
      <c r="P65" s="126">
        <f>+Actuals!M472</f>
        <v>0</v>
      </c>
      <c r="Q65" s="127">
        <f>+Actuals!N472</f>
        <v>0</v>
      </c>
      <c r="R65" s="126">
        <f>+Actuals!O472</f>
        <v>0</v>
      </c>
      <c r="S65" s="127">
        <f>+Actuals!P472</f>
        <v>0</v>
      </c>
      <c r="T65" s="126">
        <f>+Actuals!Q472</f>
        <v>0</v>
      </c>
      <c r="U65" s="127">
        <f>+Actuals!R472</f>
        <v>0</v>
      </c>
      <c r="V65" s="126">
        <f>+Actuals!S472</f>
        <v>0</v>
      </c>
      <c r="W65" s="127">
        <f>+Actuals!T472</f>
        <v>0</v>
      </c>
      <c r="X65" s="126">
        <f>+Actuals!U472</f>
        <v>0</v>
      </c>
      <c r="Y65" s="127">
        <f>+Actuals!V472</f>
        <v>0</v>
      </c>
      <c r="Z65" s="126">
        <f>+Actuals!W472</f>
        <v>0</v>
      </c>
      <c r="AA65" s="127">
        <f>+Actuals!X472</f>
        <v>0</v>
      </c>
      <c r="AB65" s="126">
        <f>+Actuals!Y272</f>
        <v>0</v>
      </c>
      <c r="AC65" s="127">
        <f>+Actuals!Z272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</row>
    <row r="66" spans="1:33" x14ac:dyDescent="0.25">
      <c r="A66" s="9"/>
      <c r="B66" s="7" t="s">
        <v>64</v>
      </c>
      <c r="C66" s="6"/>
      <c r="D66" s="61">
        <f t="shared" ref="D66:AE66" si="20">SUM(D64:D65)</f>
        <v>-317010</v>
      </c>
      <c r="E66" s="39">
        <f t="shared" si="20"/>
        <v>-67632.930000000008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-317010</v>
      </c>
      <c r="K66" s="146">
        <f t="shared" si="20"/>
        <v>-479.29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-7153.64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-1525317.93</v>
      </c>
      <c r="F70" s="64">
        <f>'TIE-OUT'!T70+RECLASS!R70</f>
        <v>0</v>
      </c>
      <c r="G70" s="68">
        <f>'TIE-OUT'!U70+RECLASS!S70</f>
        <v>-1489400.93</v>
      </c>
      <c r="H70" s="126">
        <f>+Actuals!E273</f>
        <v>0</v>
      </c>
      <c r="I70" s="127">
        <f>+Actuals!F273</f>
        <v>0</v>
      </c>
      <c r="J70" s="126">
        <f>+Actuals!G273</f>
        <v>0</v>
      </c>
      <c r="K70" s="145">
        <f>+Actuals!H273</f>
        <v>0</v>
      </c>
      <c r="L70" s="126">
        <f>+Actuals!I273</f>
        <v>0</v>
      </c>
      <c r="M70" s="153">
        <v>-35917</v>
      </c>
      <c r="N70" s="126">
        <f>+Actuals!K273</f>
        <v>0</v>
      </c>
      <c r="O70" s="127">
        <f>+Actuals!L273</f>
        <v>0</v>
      </c>
      <c r="P70" s="126">
        <f>+Actuals!M473</f>
        <v>0</v>
      </c>
      <c r="Q70" s="127">
        <f>+Actuals!N473</f>
        <v>0</v>
      </c>
      <c r="R70" s="126">
        <f>+Actuals!O473</f>
        <v>0</v>
      </c>
      <c r="S70" s="127">
        <f>+Actuals!P473</f>
        <v>0</v>
      </c>
      <c r="T70" s="126">
        <f>+Actuals!Q473</f>
        <v>0</v>
      </c>
      <c r="U70" s="127">
        <f>+Actuals!R473</f>
        <v>0</v>
      </c>
      <c r="V70" s="126">
        <f>+Actuals!S473</f>
        <v>0</v>
      </c>
      <c r="W70" s="127">
        <f>+Actuals!T473</f>
        <v>0</v>
      </c>
      <c r="X70" s="126">
        <f>+Actuals!U473</f>
        <v>0</v>
      </c>
      <c r="Y70" s="127">
        <f>+Actuals!V473</f>
        <v>0</v>
      </c>
      <c r="Z70" s="126">
        <f>+Actuals!W473</f>
        <v>0</v>
      </c>
      <c r="AA70" s="127">
        <f>+Actuals!X473</f>
        <v>0</v>
      </c>
      <c r="AB70" s="126">
        <f>+Actuals!Y273</f>
        <v>0</v>
      </c>
      <c r="AC70" s="127">
        <f>+Actuals!Z273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2659621.73</v>
      </c>
      <c r="F71" s="81">
        <f>'TIE-OUT'!T71+RECLASS!R71</f>
        <v>0</v>
      </c>
      <c r="G71" s="82">
        <f>'TIE-OUT'!U71+RECLASS!S71</f>
        <v>2659621.73</v>
      </c>
      <c r="H71" s="126">
        <f>+Actuals!E274</f>
        <v>0</v>
      </c>
      <c r="I71" s="127">
        <f>+Actuals!F274</f>
        <v>0</v>
      </c>
      <c r="J71" s="126">
        <f>+Actuals!G274</f>
        <v>0</v>
      </c>
      <c r="K71" s="145">
        <f>+Actuals!H274</f>
        <v>0</v>
      </c>
      <c r="L71" s="126">
        <f>+Actuals!I274</f>
        <v>0</v>
      </c>
      <c r="M71" s="127">
        <f>+Actuals!J274</f>
        <v>0</v>
      </c>
      <c r="N71" s="126">
        <f>+Actuals!K274</f>
        <v>0</v>
      </c>
      <c r="O71" s="127">
        <f>+Actuals!L274</f>
        <v>0</v>
      </c>
      <c r="P71" s="126">
        <f>+Actuals!M474</f>
        <v>0</v>
      </c>
      <c r="Q71" s="127">
        <f>+Actuals!N474</f>
        <v>0</v>
      </c>
      <c r="R71" s="126">
        <f>+Actuals!O474</f>
        <v>0</v>
      </c>
      <c r="S71" s="127">
        <f>+Actuals!P474</f>
        <v>0</v>
      </c>
      <c r="T71" s="126">
        <f>+Actuals!Q474</f>
        <v>0</v>
      </c>
      <c r="U71" s="127">
        <f>+Actuals!R474</f>
        <v>0</v>
      </c>
      <c r="V71" s="126">
        <f>+Actuals!S474</f>
        <v>0</v>
      </c>
      <c r="W71" s="127">
        <f>+Actuals!T474</f>
        <v>0</v>
      </c>
      <c r="X71" s="126">
        <f>+Actuals!U474</f>
        <v>0</v>
      </c>
      <c r="Y71" s="127">
        <f>+Actuals!V474</f>
        <v>0</v>
      </c>
      <c r="Z71" s="126">
        <f>+Actuals!W474</f>
        <v>0</v>
      </c>
      <c r="AA71" s="127">
        <f>+Actuals!X474</f>
        <v>0</v>
      </c>
      <c r="AB71" s="126">
        <f>+Actuals!Y274</f>
        <v>0</v>
      </c>
      <c r="AC71" s="127">
        <f>+Actuals!Z274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</row>
    <row r="72" spans="1:33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1134303.8</v>
      </c>
      <c r="F72" s="61">
        <f t="shared" si="22"/>
        <v>0</v>
      </c>
      <c r="G72" s="39">
        <f t="shared" si="22"/>
        <v>1170220.8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-35917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'TIE-OUT'!T73+RECLASS!R73</f>
        <v>0</v>
      </c>
      <c r="G73" s="60">
        <f>'TIE-OUT'!U73+RECLASS!S73</f>
        <v>0</v>
      </c>
      <c r="H73" s="126">
        <f>+Actuals!E275</f>
        <v>0</v>
      </c>
      <c r="I73" s="127">
        <f>+Actuals!F275</f>
        <v>0</v>
      </c>
      <c r="J73" s="126">
        <f>+Actuals!G275</f>
        <v>0</v>
      </c>
      <c r="K73" s="145">
        <f>+Actuals!H275</f>
        <v>0</v>
      </c>
      <c r="L73" s="126">
        <f>+Actuals!I275</f>
        <v>0</v>
      </c>
      <c r="M73" s="127">
        <f>+Actuals!J275</f>
        <v>0</v>
      </c>
      <c r="N73" s="126">
        <f>+Actuals!K275</f>
        <v>0</v>
      </c>
      <c r="O73" s="127">
        <f>+Actuals!L275</f>
        <v>0</v>
      </c>
      <c r="P73" s="126">
        <f>+Actuals!M475</f>
        <v>0</v>
      </c>
      <c r="Q73" s="127">
        <f>+Actuals!N475</f>
        <v>0</v>
      </c>
      <c r="R73" s="126">
        <f>+Actuals!O475</f>
        <v>0</v>
      </c>
      <c r="S73" s="127">
        <f>+Actuals!P475</f>
        <v>0</v>
      </c>
      <c r="T73" s="126">
        <f>+Actuals!Q475</f>
        <v>0</v>
      </c>
      <c r="U73" s="127">
        <f>+Actuals!R475</f>
        <v>0</v>
      </c>
      <c r="V73" s="126">
        <f>+Actuals!S475</f>
        <v>0</v>
      </c>
      <c r="W73" s="127">
        <f>+Actuals!T475</f>
        <v>0</v>
      </c>
      <c r="X73" s="126">
        <f>+Actuals!U475</f>
        <v>0</v>
      </c>
      <c r="Y73" s="127">
        <f>+Actuals!V475</f>
        <v>0</v>
      </c>
      <c r="Z73" s="126">
        <f>+Actuals!W475</f>
        <v>0</v>
      </c>
      <c r="AA73" s="127">
        <f>+Actuals!X475</f>
        <v>0</v>
      </c>
      <c r="AB73" s="126">
        <f>+Actuals!Y275</f>
        <v>0</v>
      </c>
      <c r="AC73" s="127">
        <f>+Actuals!Z275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-1078000</v>
      </c>
      <c r="F74" s="60">
        <f>'TIE-OUT'!T74+RECLASS!R74</f>
        <v>0</v>
      </c>
      <c r="G74" s="60">
        <f>'TIE-OUT'!U74+RECLASS!S74</f>
        <v>-100000</v>
      </c>
      <c r="H74" s="126">
        <f>+Actuals!E276</f>
        <v>0</v>
      </c>
      <c r="I74" s="127">
        <f>+Actuals!F276</f>
        <v>0</v>
      </c>
      <c r="J74" s="126">
        <f>+Actuals!G276</f>
        <v>0</v>
      </c>
      <c r="K74" s="156">
        <v>-978000</v>
      </c>
      <c r="L74" s="126">
        <f>+Actuals!I276</f>
        <v>0</v>
      </c>
      <c r="M74" s="127">
        <f>+Actuals!J276</f>
        <v>0</v>
      </c>
      <c r="N74" s="126">
        <f>+Actuals!K276</f>
        <v>0</v>
      </c>
      <c r="O74" s="127">
        <f>+Actuals!L276</f>
        <v>0</v>
      </c>
      <c r="P74" s="126">
        <f>+Actuals!M476</f>
        <v>0</v>
      </c>
      <c r="Q74" s="127">
        <f>+Actuals!N476</f>
        <v>0</v>
      </c>
      <c r="R74" s="126">
        <f>+Actuals!O476</f>
        <v>0</v>
      </c>
      <c r="S74" s="127">
        <f>+Actuals!P476</f>
        <v>0</v>
      </c>
      <c r="T74" s="126">
        <f>+Actuals!Q476</f>
        <v>0</v>
      </c>
      <c r="U74" s="127">
        <f>+Actuals!R476</f>
        <v>0</v>
      </c>
      <c r="V74" s="126">
        <f>+Actuals!S476</f>
        <v>0</v>
      </c>
      <c r="W74" s="127">
        <f>+Actuals!T476</f>
        <v>0</v>
      </c>
      <c r="X74" s="126">
        <f>+Actuals!U476</f>
        <v>0</v>
      </c>
      <c r="Y74" s="127">
        <f>+Actuals!V476</f>
        <v>0</v>
      </c>
      <c r="Z74" s="126">
        <f>+Actuals!W476</f>
        <v>0</v>
      </c>
      <c r="AA74" s="127">
        <f>+Actuals!X476</f>
        <v>0</v>
      </c>
      <c r="AB74" s="126">
        <f>+Actuals!Y276</f>
        <v>0</v>
      </c>
      <c r="AC74" s="127">
        <f>+Actuals!Z276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900</v>
      </c>
      <c r="F75" s="60">
        <f>'TIE-OUT'!T75+RECLASS!R75</f>
        <v>0</v>
      </c>
      <c r="G75" s="60">
        <f>'TIE-OUT'!U75+RECLASS!S75</f>
        <v>900</v>
      </c>
      <c r="H75" s="126">
        <f>+Actuals!E277</f>
        <v>0</v>
      </c>
      <c r="I75" s="127">
        <f>+Actuals!F277</f>
        <v>0</v>
      </c>
      <c r="J75" s="126">
        <f>+Actuals!G277</f>
        <v>0</v>
      </c>
      <c r="K75" s="145">
        <f>+Actuals!H277</f>
        <v>0</v>
      </c>
      <c r="L75" s="126">
        <f>+Actuals!I277</f>
        <v>0</v>
      </c>
      <c r="M75" s="127">
        <f>+Actuals!J277</f>
        <v>0</v>
      </c>
      <c r="N75" s="126">
        <f>+Actuals!K277</f>
        <v>0</v>
      </c>
      <c r="O75" s="127">
        <f>+Actuals!L277</f>
        <v>0</v>
      </c>
      <c r="P75" s="126">
        <f>+Actuals!M477</f>
        <v>0</v>
      </c>
      <c r="Q75" s="127">
        <f>+Actuals!N477</f>
        <v>0</v>
      </c>
      <c r="R75" s="126">
        <f>+Actuals!O477</f>
        <v>0</v>
      </c>
      <c r="S75" s="127">
        <f>+Actuals!P477</f>
        <v>0</v>
      </c>
      <c r="T75" s="126">
        <f>+Actuals!Q477</f>
        <v>0</v>
      </c>
      <c r="U75" s="127">
        <f>+Actuals!R477</f>
        <v>0</v>
      </c>
      <c r="V75" s="126">
        <f>+Actuals!S477</f>
        <v>0</v>
      </c>
      <c r="W75" s="127">
        <f>+Actuals!T477</f>
        <v>0</v>
      </c>
      <c r="X75" s="126">
        <f>+Actuals!U477</f>
        <v>0</v>
      </c>
      <c r="Y75" s="127">
        <f>+Actuals!V477</f>
        <v>0</v>
      </c>
      <c r="Z75" s="126">
        <f>+Actuals!W477</f>
        <v>0</v>
      </c>
      <c r="AA75" s="127">
        <f>+Actuals!X477</f>
        <v>0</v>
      </c>
      <c r="AB75" s="126">
        <f>+Actuals!Y277</f>
        <v>0</v>
      </c>
      <c r="AC75" s="127">
        <f>+Actuals!Z277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-2466.0200000000004</v>
      </c>
      <c r="F76" s="60">
        <f>'TIE-OUT'!T76+RECLASS!R76</f>
        <v>0</v>
      </c>
      <c r="G76" s="60">
        <f>'TIE-OUT'!U76+RECLASS!S76</f>
        <v>0</v>
      </c>
      <c r="H76" s="126">
        <f>+Actuals!E278</f>
        <v>0</v>
      </c>
      <c r="I76" s="127">
        <f>+Actuals!F278</f>
        <v>-2466.02</v>
      </c>
      <c r="J76" s="126">
        <f>+Actuals!G278</f>
        <v>0</v>
      </c>
      <c r="K76" s="145">
        <f>+Actuals!H278</f>
        <v>-1967.5</v>
      </c>
      <c r="L76" s="126">
        <f>+Actuals!I278</f>
        <v>0</v>
      </c>
      <c r="M76" s="127">
        <f>+Actuals!J278</f>
        <v>1967.5</v>
      </c>
      <c r="N76" s="126">
        <f>+Actuals!K278</f>
        <v>0</v>
      </c>
      <c r="O76" s="127">
        <f>+Actuals!L278</f>
        <v>0</v>
      </c>
      <c r="P76" s="126">
        <f>+Actuals!M478</f>
        <v>0</v>
      </c>
      <c r="Q76" s="127">
        <f>+Actuals!N478</f>
        <v>0</v>
      </c>
      <c r="R76" s="126">
        <f>+Actuals!O478</f>
        <v>0</v>
      </c>
      <c r="S76" s="127">
        <f>+Actuals!P478</f>
        <v>0</v>
      </c>
      <c r="T76" s="126">
        <f>+Actuals!Q478</f>
        <v>0</v>
      </c>
      <c r="U76" s="127">
        <f>+Actuals!R478</f>
        <v>0</v>
      </c>
      <c r="V76" s="126">
        <f>+Actuals!S478</f>
        <v>0</v>
      </c>
      <c r="W76" s="127">
        <f>+Actuals!T478</f>
        <v>0</v>
      </c>
      <c r="X76" s="126">
        <f>+Actuals!U478</f>
        <v>0</v>
      </c>
      <c r="Y76" s="127">
        <f>+Actuals!V478</f>
        <v>0</v>
      </c>
      <c r="Z76" s="126">
        <f>+Actuals!W478</f>
        <v>0</v>
      </c>
      <c r="AA76" s="127">
        <f>+Actuals!X478</f>
        <v>0</v>
      </c>
      <c r="AB76" s="126">
        <f>+Actuals!Y278</f>
        <v>0</v>
      </c>
      <c r="AC76" s="127">
        <f>+Actuals!Z278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'TIE-OUT'!T77+RECLASS!R77</f>
        <v>0</v>
      </c>
      <c r="G77" s="60">
        <f>'TIE-OUT'!U77+RECLASS!S77</f>
        <v>0</v>
      </c>
      <c r="H77" s="126">
        <f>+Actuals!E279</f>
        <v>0</v>
      </c>
      <c r="I77" s="127">
        <f>+Actuals!F279</f>
        <v>0</v>
      </c>
      <c r="J77" s="126">
        <f>+Actuals!G279</f>
        <v>0</v>
      </c>
      <c r="K77" s="145">
        <f>+Actuals!H279</f>
        <v>0</v>
      </c>
      <c r="L77" s="126">
        <f>+Actuals!I279</f>
        <v>0</v>
      </c>
      <c r="M77" s="127">
        <f>+Actuals!J279</f>
        <v>0</v>
      </c>
      <c r="N77" s="126">
        <f>+Actuals!K279</f>
        <v>0</v>
      </c>
      <c r="O77" s="127">
        <f>+Actuals!L279</f>
        <v>0</v>
      </c>
      <c r="P77" s="126">
        <f>+Actuals!M479</f>
        <v>0</v>
      </c>
      <c r="Q77" s="127">
        <f>+Actuals!N479</f>
        <v>0</v>
      </c>
      <c r="R77" s="126">
        <f>+Actuals!O479</f>
        <v>0</v>
      </c>
      <c r="S77" s="127">
        <f>+Actuals!P479</f>
        <v>0</v>
      </c>
      <c r="T77" s="126">
        <f>+Actuals!Q479</f>
        <v>0</v>
      </c>
      <c r="U77" s="127">
        <f>+Actuals!R479</f>
        <v>0</v>
      </c>
      <c r="V77" s="126">
        <f>+Actuals!S479</f>
        <v>0</v>
      </c>
      <c r="W77" s="127">
        <f>+Actuals!T479</f>
        <v>0</v>
      </c>
      <c r="X77" s="126">
        <f>+Actuals!U479</f>
        <v>0</v>
      </c>
      <c r="Y77" s="127">
        <f>+Actuals!V479</f>
        <v>0</v>
      </c>
      <c r="Z77" s="126">
        <f>+Actuals!W479</f>
        <v>0</v>
      </c>
      <c r="AA77" s="127">
        <f>+Actuals!X479</f>
        <v>0</v>
      </c>
      <c r="AB77" s="126">
        <f>+Actuals!Y279</f>
        <v>0</v>
      </c>
      <c r="AC77" s="127">
        <f>+Actuals!Z279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'TIE-OUT'!T78+RECLASS!R78</f>
        <v>0</v>
      </c>
      <c r="G78" s="60">
        <f>'TIE-OUT'!U78+RECLASS!S78</f>
        <v>0</v>
      </c>
      <c r="H78" s="126">
        <f>+Actuals!E280</f>
        <v>0</v>
      </c>
      <c r="I78" s="127">
        <f>+Actuals!F280</f>
        <v>0</v>
      </c>
      <c r="J78" s="126">
        <f>+Actuals!G280</f>
        <v>0</v>
      </c>
      <c r="K78" s="145">
        <f>+Actuals!H280</f>
        <v>0</v>
      </c>
      <c r="L78" s="126">
        <f>+Actuals!I280</f>
        <v>0</v>
      </c>
      <c r="M78" s="127">
        <f>+Actuals!J280</f>
        <v>0</v>
      </c>
      <c r="N78" s="126">
        <f>+Actuals!K280</f>
        <v>0</v>
      </c>
      <c r="O78" s="127">
        <f>+Actuals!L280</f>
        <v>0</v>
      </c>
      <c r="P78" s="126">
        <f>+Actuals!M480</f>
        <v>0</v>
      </c>
      <c r="Q78" s="127">
        <f>+Actuals!N480</f>
        <v>0</v>
      </c>
      <c r="R78" s="126">
        <f>+Actuals!O480</f>
        <v>0</v>
      </c>
      <c r="S78" s="127">
        <f>+Actuals!P480</f>
        <v>0</v>
      </c>
      <c r="T78" s="126">
        <f>+Actuals!Q480</f>
        <v>0</v>
      </c>
      <c r="U78" s="127">
        <f>+Actuals!R480</f>
        <v>0</v>
      </c>
      <c r="V78" s="126">
        <f>+Actuals!S480</f>
        <v>0</v>
      </c>
      <c r="W78" s="127">
        <f>+Actuals!T480</f>
        <v>0</v>
      </c>
      <c r="X78" s="126">
        <f>+Actuals!U480</f>
        <v>0</v>
      </c>
      <c r="Y78" s="127">
        <f>+Actuals!V480</f>
        <v>0</v>
      </c>
      <c r="Z78" s="126">
        <f>+Actuals!W480</f>
        <v>0</v>
      </c>
      <c r="AA78" s="127">
        <f>+Actuals!X480</f>
        <v>0</v>
      </c>
      <c r="AB78" s="126">
        <f>+Actuals!Y280</f>
        <v>0</v>
      </c>
      <c r="AC78" s="127">
        <f>+Actuals!Z280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'TIE-OUT'!T79+RECLASS!R79</f>
        <v>0</v>
      </c>
      <c r="G79" s="60">
        <f>'TIE-OUT'!U79+RECLASS!S79</f>
        <v>0</v>
      </c>
      <c r="H79" s="126">
        <f>+Actuals!E281</f>
        <v>0</v>
      </c>
      <c r="I79" s="127">
        <f>+Actuals!F281</f>
        <v>0</v>
      </c>
      <c r="J79" s="126">
        <f>+Actuals!G281</f>
        <v>0</v>
      </c>
      <c r="K79" s="145">
        <f>+Actuals!H281</f>
        <v>0</v>
      </c>
      <c r="L79" s="126">
        <f>+Actuals!I281</f>
        <v>0</v>
      </c>
      <c r="M79" s="127">
        <f>+Actuals!J281</f>
        <v>0</v>
      </c>
      <c r="N79" s="126">
        <f>+Actuals!K281</f>
        <v>0</v>
      </c>
      <c r="O79" s="127">
        <f>+Actuals!L281</f>
        <v>0</v>
      </c>
      <c r="P79" s="126">
        <f>+Actuals!M481</f>
        <v>0</v>
      </c>
      <c r="Q79" s="127">
        <f>+Actuals!N481</f>
        <v>0</v>
      </c>
      <c r="R79" s="126">
        <f>+Actuals!O481</f>
        <v>0</v>
      </c>
      <c r="S79" s="127">
        <f>+Actuals!P481</f>
        <v>0</v>
      </c>
      <c r="T79" s="126">
        <f>+Actuals!Q481</f>
        <v>0</v>
      </c>
      <c r="U79" s="127">
        <f>+Actuals!R481</f>
        <v>0</v>
      </c>
      <c r="V79" s="126">
        <f>+Actuals!S481</f>
        <v>0</v>
      </c>
      <c r="W79" s="127">
        <f>+Actuals!T481</f>
        <v>0</v>
      </c>
      <c r="X79" s="126">
        <f>+Actuals!U481</f>
        <v>0</v>
      </c>
      <c r="Y79" s="127">
        <f>+Actuals!V481</f>
        <v>0</v>
      </c>
      <c r="Z79" s="126">
        <f>+Actuals!W481</f>
        <v>0</v>
      </c>
      <c r="AA79" s="127">
        <f>+Actuals!X481</f>
        <v>0</v>
      </c>
      <c r="AB79" s="126">
        <f>+Actuals!Y281</f>
        <v>0</v>
      </c>
      <c r="AC79" s="127">
        <f>+Actuals!Z281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'TIE-OUT'!T80+RECLASS!R80</f>
        <v>0</v>
      </c>
      <c r="G80" s="60">
        <f>'TIE-OUT'!U80+RECLASS!S80</f>
        <v>0</v>
      </c>
      <c r="H80" s="126">
        <f>+Actuals!E282</f>
        <v>0</v>
      </c>
      <c r="I80" s="127">
        <f>+Actuals!F282</f>
        <v>0</v>
      </c>
      <c r="J80" s="126">
        <f>+Actuals!G282</f>
        <v>0</v>
      </c>
      <c r="K80" s="145">
        <f>+Actuals!H282</f>
        <v>0</v>
      </c>
      <c r="L80" s="126">
        <f>+Actuals!I282</f>
        <v>0</v>
      </c>
      <c r="M80" s="127">
        <f>+Actuals!J282</f>
        <v>0</v>
      </c>
      <c r="N80" s="126">
        <f>+Actuals!K282</f>
        <v>0</v>
      </c>
      <c r="O80" s="127">
        <f>+Actuals!L282</f>
        <v>0</v>
      </c>
      <c r="P80" s="126">
        <f>+Actuals!M482</f>
        <v>0</v>
      </c>
      <c r="Q80" s="127">
        <f>+Actuals!N482</f>
        <v>0</v>
      </c>
      <c r="R80" s="126">
        <f>+Actuals!O482</f>
        <v>0</v>
      </c>
      <c r="S80" s="127">
        <f>+Actuals!P482</f>
        <v>0</v>
      </c>
      <c r="T80" s="126">
        <f>+Actuals!Q482</f>
        <v>0</v>
      </c>
      <c r="U80" s="127">
        <f>+Actuals!R482</f>
        <v>0</v>
      </c>
      <c r="V80" s="126">
        <f>+Actuals!S482</f>
        <v>0</v>
      </c>
      <c r="W80" s="127">
        <f>+Actuals!T482</f>
        <v>0</v>
      </c>
      <c r="X80" s="126">
        <f>+Actuals!U482</f>
        <v>0</v>
      </c>
      <c r="Y80" s="127">
        <f>+Actuals!V482</f>
        <v>0</v>
      </c>
      <c r="Z80" s="126">
        <f>+Actuals!W482</f>
        <v>0</v>
      </c>
      <c r="AA80" s="127">
        <f>+Actuals!X482</f>
        <v>0</v>
      </c>
      <c r="AB80" s="126">
        <f>+Actuals!Y282</f>
        <v>0</v>
      </c>
      <c r="AC80" s="127">
        <f>+Actuals!Z282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</row>
    <row r="81" spans="1:69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'TIE-OUT'!T81+RECLASS!R81</f>
        <v>0</v>
      </c>
      <c r="G81" s="60">
        <f>'TIE-OUT'!U81+RECLASS!S81</f>
        <v>0</v>
      </c>
      <c r="H81" s="126">
        <f>+Actuals!E283</f>
        <v>0</v>
      </c>
      <c r="I81" s="127">
        <f>+Actuals!F283</f>
        <v>0</v>
      </c>
      <c r="J81" s="126">
        <f>+Actuals!G283</f>
        <v>0</v>
      </c>
      <c r="K81" s="145">
        <f>+Actuals!H283</f>
        <v>0</v>
      </c>
      <c r="L81" s="126">
        <f>+Actuals!I283</f>
        <v>0</v>
      </c>
      <c r="M81" s="127">
        <f>+Actuals!J283</f>
        <v>0</v>
      </c>
      <c r="N81" s="126">
        <f>+Actuals!K283</f>
        <v>0</v>
      </c>
      <c r="O81" s="127">
        <f>+Actuals!L283</f>
        <v>0</v>
      </c>
      <c r="P81" s="126">
        <f>+Actuals!M483</f>
        <v>0</v>
      </c>
      <c r="Q81" s="127">
        <f>+Actuals!N483</f>
        <v>0</v>
      </c>
      <c r="R81" s="126">
        <f>+Actuals!O483</f>
        <v>0</v>
      </c>
      <c r="S81" s="127">
        <f>+Actuals!P483</f>
        <v>0</v>
      </c>
      <c r="T81" s="126">
        <f>+Actuals!Q483</f>
        <v>0</v>
      </c>
      <c r="U81" s="127">
        <f>+Actuals!R483</f>
        <v>0</v>
      </c>
      <c r="V81" s="126">
        <f>+Actuals!S483</f>
        <v>0</v>
      </c>
      <c r="W81" s="127">
        <f>+Actuals!T483</f>
        <v>0</v>
      </c>
      <c r="X81" s="126">
        <f>+Actuals!U483</f>
        <v>0</v>
      </c>
      <c r="Y81" s="127">
        <f>+Actuals!V483</f>
        <v>0</v>
      </c>
      <c r="Z81" s="126">
        <f>+Actuals!W483</f>
        <v>0</v>
      </c>
      <c r="AA81" s="127">
        <f>+Actuals!X483</f>
        <v>0</v>
      </c>
      <c r="AB81" s="126">
        <f>+Actuals!Y283</f>
        <v>0</v>
      </c>
      <c r="AC81" s="127">
        <f>+Actuals!Z283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</row>
    <row r="82" spans="1:69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5063842.6289999904</v>
      </c>
      <c r="F82" s="91">
        <f>F16+F24+F29+F36+F43+F45+F47+F49</f>
        <v>0</v>
      </c>
      <c r="G82" s="92">
        <f>SUM(G72:G81)+G16+G24+G29+G36+G43+G45+G47+G49+G51+G56+G61+G66</f>
        <v>1306882.17</v>
      </c>
      <c r="H82" s="91">
        <f>H16+H24+H29+H36+H43+H45+H47+H49</f>
        <v>0</v>
      </c>
      <c r="I82" s="92">
        <f>SUM(I72:I81)+I16+I24+I29+I36+I43+I45+I47+I49+I51+I56+I61+I66</f>
        <v>2948091.2240000051</v>
      </c>
      <c r="J82" s="91">
        <f>J16+J24+J29+J36+J43+J45+J47+J49</f>
        <v>0</v>
      </c>
      <c r="K82" s="159">
        <f>SUM(K72:K81)+K16+K24+K29+K36+K43+K45+K47+K49+K51+K56+K61+K66</f>
        <v>2259517.7639999995</v>
      </c>
      <c r="L82" s="91">
        <f>L16+L24+L29+L36+L43+L45+L47+L49</f>
        <v>0</v>
      </c>
      <c r="M82" s="92">
        <f>SUM(M72:M81)+M16+M24+M29+M36+M43+M45+M47+M49+M51+M56+M61+M66</f>
        <v>-2742804.3669999992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1336894.78</v>
      </c>
      <c r="Z82" s="91">
        <f>Z16+Z24+Z29+Z36+Z43+Z45+Z47+Z49</f>
        <v>0</v>
      </c>
      <c r="AA82" s="92">
        <f>SUM(AA72:AA81)+AA16+AA24+AA29+AA36+AA43+AA45+AA47+AA49+AA51+AA56+AA61+AA66</f>
        <v>-34438.7279999987</v>
      </c>
      <c r="AB82" s="91">
        <f>AB16+AB24+AB29+AB36+AB43+AB45+AB47+AB49</f>
        <v>0</v>
      </c>
      <c r="AC82" s="92">
        <f>SUM(AC72:AC81)+AC16+AC24+AC29+AC36+AC43+AC45+AC47+AC49+AC51+AC56+AC61+AC66</f>
        <v>-642.30999999999995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-235.05</v>
      </c>
    </row>
    <row r="83" spans="1:69" ht="13.8" thickTop="1" x14ac:dyDescent="0.25">
      <c r="A83" s="4"/>
      <c r="B83" s="3"/>
    </row>
    <row r="84" spans="1:69" x14ac:dyDescent="0.25">
      <c r="A84" s="4"/>
      <c r="B84" s="3"/>
      <c r="I84" s="45"/>
    </row>
    <row r="85" spans="1:69" x14ac:dyDescent="0.25">
      <c r="A85" s="4" t="s">
        <v>171</v>
      </c>
      <c r="B85" s="3"/>
      <c r="F85" s="31"/>
      <c r="G85" s="31"/>
      <c r="H85" s="31"/>
      <c r="I85" s="31"/>
      <c r="K85"/>
      <c r="L85" s="45"/>
    </row>
    <row r="86" spans="1:69" s="3" customFormat="1" x14ac:dyDescent="0.25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0</v>
      </c>
      <c r="F86" s="167">
        <f>'TIE-OUT'!T86+RECLASS!R86</f>
        <v>0</v>
      </c>
      <c r="G86" s="167">
        <f>'TIE-OUT'!U86+RECLASS!S86</f>
        <v>0</v>
      </c>
      <c r="H86" s="167">
        <v>0</v>
      </c>
      <c r="I86" s="167">
        <v>0</v>
      </c>
      <c r="J86" s="167">
        <v>0</v>
      </c>
      <c r="K86" s="167"/>
      <c r="L86" s="167">
        <v>0</v>
      </c>
      <c r="M86" s="167">
        <v>0</v>
      </c>
      <c r="N86" s="167">
        <v>0</v>
      </c>
      <c r="O86" s="167">
        <v>0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7">
        <v>0</v>
      </c>
      <c r="W86" s="167">
        <v>0</v>
      </c>
      <c r="X86" s="167">
        <v>0</v>
      </c>
      <c r="Y86" s="167">
        <v>0</v>
      </c>
      <c r="Z86" s="167">
        <v>0</v>
      </c>
      <c r="AA86" s="167">
        <v>0</v>
      </c>
      <c r="AB86" s="167">
        <v>0</v>
      </c>
      <c r="AC86" s="167">
        <v>0</v>
      </c>
      <c r="AD86" s="167">
        <v>0</v>
      </c>
      <c r="AE86" s="167">
        <v>0</v>
      </c>
      <c r="AF86" s="167">
        <v>0</v>
      </c>
      <c r="AG86" s="167">
        <v>0</v>
      </c>
    </row>
    <row r="87" spans="1:69" s="3" customFormat="1" x14ac:dyDescent="0.25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'TIE-OUT'!T87+RECLASS!R87</f>
        <v>0</v>
      </c>
      <c r="G87" s="168">
        <f>'TIE-OUT'!U87+RECLASS!S87</f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v>0</v>
      </c>
      <c r="V87" s="168">
        <v>0</v>
      </c>
      <c r="W87" s="168">
        <v>0</v>
      </c>
      <c r="X87" s="168">
        <v>0</v>
      </c>
      <c r="Y87" s="168">
        <v>0</v>
      </c>
      <c r="Z87" s="168">
        <v>0</v>
      </c>
      <c r="AA87" s="168">
        <v>0</v>
      </c>
      <c r="AB87" s="168">
        <v>0</v>
      </c>
      <c r="AC87" s="168">
        <v>0</v>
      </c>
      <c r="AD87" s="168">
        <v>0</v>
      </c>
      <c r="AE87" s="168">
        <v>0</v>
      </c>
      <c r="AF87" s="168">
        <v>0</v>
      </c>
      <c r="AG87" s="168">
        <v>0</v>
      </c>
    </row>
    <row r="88" spans="1:69" s="3" customFormat="1" x14ac:dyDescent="0.25">
      <c r="A88" s="166"/>
      <c r="C88" s="10" t="s">
        <v>72</v>
      </c>
      <c r="D88" s="169">
        <f t="shared" si="26"/>
        <v>0</v>
      </c>
      <c r="E88" s="169">
        <f t="shared" si="26"/>
        <v>0</v>
      </c>
      <c r="F88" s="169">
        <f>'TIE-OUT'!T88+RECLASS!R88</f>
        <v>0</v>
      </c>
      <c r="G88" s="169">
        <f>'TIE-OUT'!U88+RECLASS!S88</f>
        <v>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</row>
    <row r="89" spans="1:69" s="44" customFormat="1" ht="20.25" customHeight="1" x14ac:dyDescent="0.25">
      <c r="A89" s="173"/>
      <c r="B89" s="174"/>
      <c r="C89" s="179" t="s">
        <v>170</v>
      </c>
      <c r="D89" s="177">
        <f>SUM(D86:D88)</f>
        <v>0</v>
      </c>
      <c r="E89" s="177">
        <f t="shared" ref="E89:M89" si="27">SUM(E86:E88)</f>
        <v>0</v>
      </c>
      <c r="F89" s="177">
        <f t="shared" si="27"/>
        <v>0</v>
      </c>
      <c r="G89" s="177">
        <f t="shared" si="27"/>
        <v>0</v>
      </c>
      <c r="H89" s="177">
        <f t="shared" si="27"/>
        <v>0</v>
      </c>
      <c r="I89" s="177">
        <f t="shared" si="27"/>
        <v>0</v>
      </c>
      <c r="J89" s="177">
        <f t="shared" si="27"/>
        <v>0</v>
      </c>
      <c r="K89" s="177">
        <f t="shared" si="27"/>
        <v>0</v>
      </c>
      <c r="L89" s="177">
        <f t="shared" si="27"/>
        <v>0</v>
      </c>
      <c r="M89" s="177">
        <f t="shared" si="27"/>
        <v>0</v>
      </c>
      <c r="N89" s="177">
        <f t="shared" ref="N89:AE89" si="28">SUM(N86:N88)</f>
        <v>0</v>
      </c>
      <c r="O89" s="177">
        <f t="shared" si="28"/>
        <v>0</v>
      </c>
      <c r="P89" s="177">
        <f t="shared" si="28"/>
        <v>0</v>
      </c>
      <c r="Q89" s="177">
        <f t="shared" si="28"/>
        <v>0</v>
      </c>
      <c r="R89" s="177">
        <f t="shared" si="28"/>
        <v>0</v>
      </c>
      <c r="S89" s="177">
        <f t="shared" si="28"/>
        <v>0</v>
      </c>
      <c r="T89" s="177">
        <f t="shared" si="28"/>
        <v>0</v>
      </c>
      <c r="U89" s="177">
        <f t="shared" si="28"/>
        <v>0</v>
      </c>
      <c r="V89" s="177">
        <f t="shared" si="28"/>
        <v>0</v>
      </c>
      <c r="W89" s="177">
        <f t="shared" si="28"/>
        <v>0</v>
      </c>
      <c r="X89" s="177">
        <f t="shared" si="28"/>
        <v>0</v>
      </c>
      <c r="Y89" s="177">
        <f t="shared" si="28"/>
        <v>0</v>
      </c>
      <c r="Z89" s="177">
        <f>SUM(Z86:Z88)</f>
        <v>0</v>
      </c>
      <c r="AA89" s="177">
        <f>SUM(AA86:AA88)</f>
        <v>0</v>
      </c>
      <c r="AB89" s="177">
        <f t="shared" si="28"/>
        <v>0</v>
      </c>
      <c r="AC89" s="177">
        <f t="shared" si="28"/>
        <v>0</v>
      </c>
      <c r="AD89" s="177">
        <f t="shared" si="28"/>
        <v>0</v>
      </c>
      <c r="AE89" s="177">
        <f t="shared" si="28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5">
      <c r="A90" s="4"/>
      <c r="B90" s="3"/>
      <c r="F90" s="31"/>
      <c r="G90" s="31"/>
      <c r="H90" s="31"/>
      <c r="I90" s="31"/>
      <c r="K90"/>
    </row>
    <row r="91" spans="1:69" s="44" customFormat="1" ht="20.25" customHeight="1" x14ac:dyDescent="0.25">
      <c r="A91" s="173"/>
      <c r="B91" s="174"/>
      <c r="C91" s="179" t="s">
        <v>173</v>
      </c>
      <c r="D91" s="177">
        <f>+D82+D89</f>
        <v>0</v>
      </c>
      <c r="E91" s="177">
        <f t="shared" ref="E91:M91" si="29">+E82+E89</f>
        <v>5063842.6289999904</v>
      </c>
      <c r="F91" s="177">
        <f t="shared" si="29"/>
        <v>0</v>
      </c>
      <c r="G91" s="177">
        <f t="shared" si="29"/>
        <v>1306882.17</v>
      </c>
      <c r="H91" s="177">
        <f t="shared" si="29"/>
        <v>0</v>
      </c>
      <c r="I91" s="177">
        <f t="shared" si="29"/>
        <v>2948091.2240000051</v>
      </c>
      <c r="J91" s="177">
        <f t="shared" si="29"/>
        <v>0</v>
      </c>
      <c r="K91" s="177">
        <f t="shared" si="29"/>
        <v>2259517.7639999995</v>
      </c>
      <c r="L91" s="177">
        <f t="shared" si="29"/>
        <v>0</v>
      </c>
      <c r="M91" s="177">
        <f t="shared" si="29"/>
        <v>-2742804.3669999992</v>
      </c>
      <c r="N91" s="177">
        <f t="shared" ref="N91:AE91" si="30">+N82+N89</f>
        <v>0</v>
      </c>
      <c r="O91" s="177">
        <f t="shared" si="30"/>
        <v>-85105.076000000001</v>
      </c>
      <c r="P91" s="177">
        <f t="shared" si="30"/>
        <v>0</v>
      </c>
      <c r="Q91" s="177">
        <f t="shared" si="30"/>
        <v>92345.244000001039</v>
      </c>
      <c r="R91" s="177">
        <f t="shared" si="30"/>
        <v>0</v>
      </c>
      <c r="S91" s="177">
        <f t="shared" si="30"/>
        <v>1118.0620000000001</v>
      </c>
      <c r="T91" s="177">
        <f t="shared" si="30"/>
        <v>0</v>
      </c>
      <c r="U91" s="177">
        <f t="shared" si="30"/>
        <v>-17234.564000000595</v>
      </c>
      <c r="V91" s="177">
        <f t="shared" si="30"/>
        <v>0</v>
      </c>
      <c r="W91" s="177">
        <f t="shared" si="30"/>
        <v>-546.52</v>
      </c>
      <c r="X91" s="177">
        <f t="shared" si="30"/>
        <v>0</v>
      </c>
      <c r="Y91" s="177">
        <f t="shared" si="30"/>
        <v>1336894.78</v>
      </c>
      <c r="Z91" s="177">
        <f>+Z82+Z89</f>
        <v>0</v>
      </c>
      <c r="AA91" s="177">
        <f>+AA82+AA89</f>
        <v>-34438.7279999987</v>
      </c>
      <c r="AB91" s="177">
        <f t="shared" si="30"/>
        <v>0</v>
      </c>
      <c r="AC91" s="177">
        <f t="shared" si="30"/>
        <v>-642.30999999999995</v>
      </c>
      <c r="AD91" s="177">
        <f t="shared" si="30"/>
        <v>0</v>
      </c>
      <c r="AE91" s="177">
        <f t="shared" si="30"/>
        <v>0</v>
      </c>
      <c r="AF91" s="177">
        <f>+AF82+AF89</f>
        <v>0</v>
      </c>
      <c r="AG91" s="177">
        <f>+AG82+AG89</f>
        <v>-235.05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</row>
    <row r="92" spans="1:69" x14ac:dyDescent="0.25">
      <c r="A92" s="4"/>
      <c r="B92" s="3"/>
    </row>
    <row r="93" spans="1:69" x14ac:dyDescent="0.25">
      <c r="A93" s="4"/>
      <c r="B93" s="3"/>
    </row>
    <row r="94" spans="1:69" x14ac:dyDescent="0.25">
      <c r="A94" s="4"/>
      <c r="B94" s="3"/>
    </row>
    <row r="95" spans="1:69" x14ac:dyDescent="0.25">
      <c r="A95" s="4"/>
      <c r="B95" s="3"/>
    </row>
    <row r="96" spans="1:6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G176"/>
  <sheetViews>
    <sheetView zoomScale="75" workbookViewId="0">
      <pane xSplit="3" ySplit="9" topLeftCell="Y19" activePane="bottomRight" state="frozen"/>
      <selection activeCell="AF9" sqref="AF9"/>
      <selection pane="topRight" activeCell="AF9" sqref="AF9"/>
      <selection pane="bottomLeft" activeCell="AF9" sqref="AF9"/>
      <selection pane="bottomRight" activeCell="AF32" sqref="AF32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536578</v>
      </c>
      <c r="E11" s="38">
        <f t="shared" si="0"/>
        <v>1208990.1199999999</v>
      </c>
      <c r="F11" s="60">
        <f>'TIE-OUT'!R11+RECLASS!P11</f>
        <v>0</v>
      </c>
      <c r="G11" s="38">
        <f>'TIE-OUT'!S11+RECLASS!Q11</f>
        <v>0</v>
      </c>
      <c r="H11" s="126">
        <f>+Actuals!E4</f>
        <v>535551</v>
      </c>
      <c r="I11" s="127">
        <f>+Actuals!F4</f>
        <v>1205979.98</v>
      </c>
      <c r="J11" s="126">
        <f>+Actuals!G4</f>
        <v>1027</v>
      </c>
      <c r="K11" s="145">
        <f>+Actuals!H4</f>
        <v>3010.14</v>
      </c>
      <c r="L11" s="126">
        <f>+Actuals!I4</f>
        <v>0</v>
      </c>
      <c r="M11" s="127">
        <f>+Actuals!J4</f>
        <v>0</v>
      </c>
      <c r="N11" s="126">
        <f>+Actuals!K4</f>
        <v>0</v>
      </c>
      <c r="O11" s="127">
        <f>+Actuals!L4</f>
        <v>0</v>
      </c>
      <c r="P11" s="126">
        <f>+Actuals!M4</f>
        <v>0</v>
      </c>
      <c r="Q11" s="127">
        <f>+Actuals!N4</f>
        <v>0</v>
      </c>
      <c r="R11" s="126">
        <f>+Actuals!O4</f>
        <v>0</v>
      </c>
      <c r="S11" s="127">
        <f>+Actuals!P4</f>
        <v>0</v>
      </c>
      <c r="T11" s="126">
        <f>+Actuals!Q4</f>
        <v>0</v>
      </c>
      <c r="U11" s="127">
        <f>+Actuals!R4</f>
        <v>0</v>
      </c>
      <c r="V11" s="126">
        <f>+Actuals!S4</f>
        <v>0</v>
      </c>
      <c r="W11" s="127">
        <f>+Actuals!T4</f>
        <v>0</v>
      </c>
      <c r="X11" s="126">
        <f>+Actuals!U4</f>
        <v>0</v>
      </c>
      <c r="Y11" s="127">
        <f>+Actuals!V4</f>
        <v>0</v>
      </c>
      <c r="Z11" s="126">
        <f>+Actuals!W4</f>
        <v>0</v>
      </c>
      <c r="AA11" s="127">
        <f>+Actuals!X4</f>
        <v>0</v>
      </c>
      <c r="AB11" s="126">
        <f>+Actuals!Y4</f>
        <v>0</v>
      </c>
      <c r="AC11" s="127">
        <f>+Actuals!Z4</f>
        <v>0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'TIE-OUT'!R12+RECLASS!P12</f>
        <v>0</v>
      </c>
      <c r="G12" s="38">
        <f>'TIE-OUT'!S12+RECLASS!Q12</f>
        <v>0</v>
      </c>
      <c r="H12" s="126">
        <f>+Actuals!E5</f>
        <v>0</v>
      </c>
      <c r="I12" s="127">
        <f>+Actuals!F5</f>
        <v>0</v>
      </c>
      <c r="J12" s="126">
        <f>+Actuals!G5</f>
        <v>0</v>
      </c>
      <c r="K12" s="156">
        <f>+Actuals!H5</f>
        <v>0</v>
      </c>
      <c r="L12" s="126">
        <f>+Actuals!I5</f>
        <v>0</v>
      </c>
      <c r="M12" s="127">
        <f>+Actuals!J5</f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6">
        <f>+Actuals!E6</f>
        <v>0</v>
      </c>
      <c r="I13" s="127">
        <f>+Actuals!F6</f>
        <v>0</v>
      </c>
      <c r="J13" s="126">
        <f>+Actuals!G6</f>
        <v>0</v>
      </c>
      <c r="K13" s="145">
        <f>+Actuals!H6</f>
        <v>0</v>
      </c>
      <c r="L13" s="126">
        <f>+Actuals!I6</f>
        <v>0</v>
      </c>
      <c r="M13" s="127">
        <f>+Actuals!J6</f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6">
        <f>+Actuals!E7</f>
        <v>0</v>
      </c>
      <c r="I14" s="127">
        <f>+Actuals!F7</f>
        <v>0</v>
      </c>
      <c r="J14" s="126">
        <f>+Actuals!G7</f>
        <v>0</v>
      </c>
      <c r="K14" s="145">
        <f>+Actuals!H7</f>
        <v>0</v>
      </c>
      <c r="L14" s="126">
        <f>+Actuals!I7</f>
        <v>0</v>
      </c>
      <c r="M14" s="127">
        <f>+Actuals!J7</f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6">
        <f>+Actuals!E8</f>
        <v>0</v>
      </c>
      <c r="I15" s="127">
        <f>+Actuals!F8</f>
        <v>0</v>
      </c>
      <c r="J15" s="126">
        <f>+Actuals!G8</f>
        <v>0</v>
      </c>
      <c r="K15" s="145">
        <f>+Actuals!H8</f>
        <v>0</v>
      </c>
      <c r="L15" s="126">
        <f>+Actuals!I8</f>
        <v>0</v>
      </c>
      <c r="M15" s="127">
        <f>+Actuals!J8</f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</row>
    <row r="16" spans="1:33" x14ac:dyDescent="0.25">
      <c r="A16" s="9"/>
      <c r="B16" s="7" t="s">
        <v>30</v>
      </c>
      <c r="C16" s="6"/>
      <c r="D16" s="61">
        <f>SUM(D11:D15)</f>
        <v>536578</v>
      </c>
      <c r="E16" s="39">
        <f>SUM(E11:E15)</f>
        <v>1208990.1199999999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535551</v>
      </c>
      <c r="I16" s="39">
        <f t="shared" si="1"/>
        <v>1205979.98</v>
      </c>
      <c r="J16" s="61">
        <f t="shared" si="1"/>
        <v>1027</v>
      </c>
      <c r="K16" s="146">
        <f t="shared" si="1"/>
        <v>3010.14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-420000</v>
      </c>
      <c r="E19" s="38">
        <f t="shared" si="3"/>
        <v>-1201200.04</v>
      </c>
      <c r="F19" s="64">
        <f>'TIE-OUT'!R19+RECLASS!P19</f>
        <v>0</v>
      </c>
      <c r="G19" s="68">
        <f>'TIE-OUT'!S19+RECLASS!Q19</f>
        <v>0</v>
      </c>
      <c r="H19" s="126">
        <f>+Actuals!E9</f>
        <v>-418748</v>
      </c>
      <c r="I19" s="127">
        <f>+Actuals!F9</f>
        <v>-1197609.3</v>
      </c>
      <c r="J19" s="126">
        <f>+Actuals!G9</f>
        <v>-1252</v>
      </c>
      <c r="K19" s="145">
        <f>+Actuals!H9</f>
        <v>-3590.74</v>
      </c>
      <c r="L19" s="126">
        <f>+Actuals!I9</f>
        <v>0</v>
      </c>
      <c r="M19" s="127">
        <f>+Actuals!J9</f>
        <v>0</v>
      </c>
      <c r="N19" s="126">
        <f>+Actuals!K9</f>
        <v>0</v>
      </c>
      <c r="O19" s="127">
        <f>+Actuals!L9</f>
        <v>0</v>
      </c>
      <c r="P19" s="126">
        <f>+Actuals!M9</f>
        <v>0</v>
      </c>
      <c r="Q19" s="127">
        <f>+Actuals!N9</f>
        <v>0</v>
      </c>
      <c r="R19" s="126">
        <f>+Actuals!O9</f>
        <v>0</v>
      </c>
      <c r="S19" s="127">
        <f>+Actuals!P9</f>
        <v>0</v>
      </c>
      <c r="T19" s="126">
        <f>+Actuals!Q9</f>
        <v>0</v>
      </c>
      <c r="U19" s="127">
        <f>+Actuals!R9</f>
        <v>0</v>
      </c>
      <c r="V19" s="126">
        <f>+Actuals!S9</f>
        <v>0</v>
      </c>
      <c r="W19" s="127">
        <f>+Actuals!T9</f>
        <v>0</v>
      </c>
      <c r="X19" s="126">
        <f>+Actuals!U9</f>
        <v>0</v>
      </c>
      <c r="Y19" s="127">
        <f>+Actuals!V9</f>
        <v>0</v>
      </c>
      <c r="Z19" s="126">
        <f>+Actuals!W9</f>
        <v>0</v>
      </c>
      <c r="AA19" s="127">
        <f>+Actuals!X9</f>
        <v>0</v>
      </c>
      <c r="AB19" s="126">
        <f>+Actuals!Y9</f>
        <v>0</v>
      </c>
      <c r="AC19" s="127">
        <f>+Actuals!Z9</f>
        <v>0</v>
      </c>
      <c r="AD19" s="126">
        <f>+Actuals!AA9</f>
        <v>0</v>
      </c>
      <c r="AE19" s="127">
        <f>+Actuals!AB9</f>
        <v>0</v>
      </c>
      <c r="AF19" s="126">
        <f>+Actuals!AC9</f>
        <v>0</v>
      </c>
      <c r="AG19" s="127">
        <f>+Actuals!AD9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6">
        <f>+Actuals!E10</f>
        <v>0</v>
      </c>
      <c r="I20" s="127">
        <f>+Actuals!F10</f>
        <v>0</v>
      </c>
      <c r="J20" s="126">
        <f>+Actuals!G10</f>
        <v>0</v>
      </c>
      <c r="K20" s="145">
        <f>+Actuals!H10</f>
        <v>0</v>
      </c>
      <c r="L20" s="126">
        <f>+Actuals!I10</f>
        <v>0</v>
      </c>
      <c r="M20" s="127">
        <f>+Actuals!J10</f>
        <v>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6">
        <f>+Actuals!E11</f>
        <v>0</v>
      </c>
      <c r="I21" s="127">
        <f>+Actuals!F11</f>
        <v>0</v>
      </c>
      <c r="J21" s="126">
        <f>+Actuals!G11</f>
        <v>0</v>
      </c>
      <c r="K21" s="145">
        <f>+Actuals!H11</f>
        <v>0</v>
      </c>
      <c r="L21" s="126">
        <f>+Actuals!I11</f>
        <v>0</v>
      </c>
      <c r="M21" s="127">
        <f>+Actuals!J11</f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6">
        <f>+Actuals!E12</f>
        <v>0</v>
      </c>
      <c r="I22" s="127">
        <f>+Actuals!F12</f>
        <v>0</v>
      </c>
      <c r="J22" s="126">
        <f>+Actuals!G12</f>
        <v>0</v>
      </c>
      <c r="K22" s="145">
        <f>+Actuals!H12</f>
        <v>0</v>
      </c>
      <c r="L22" s="126">
        <f>+Actuals!I12</f>
        <v>0</v>
      </c>
      <c r="M22" s="127">
        <f>+Actuals!J12</f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6">
        <f>+Actuals!E13</f>
        <v>0</v>
      </c>
      <c r="I23" s="127">
        <f>+Actuals!F13</f>
        <v>0</v>
      </c>
      <c r="J23" s="126">
        <f>+Actuals!G13</f>
        <v>0</v>
      </c>
      <c r="K23" s="145">
        <f>+Actuals!H13</f>
        <v>0</v>
      </c>
      <c r="L23" s="126">
        <f>+Actuals!I13</f>
        <v>0</v>
      </c>
      <c r="M23" s="127">
        <f>+Actuals!J13</f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</row>
    <row r="24" spans="1:33" x14ac:dyDescent="0.25">
      <c r="A24" s="9"/>
      <c r="B24" s="7" t="s">
        <v>33</v>
      </c>
      <c r="C24" s="6"/>
      <c r="D24" s="61">
        <f>SUM(D19:D23)</f>
        <v>-420000</v>
      </c>
      <c r="E24" s="39">
        <f>SUM(E19:E23)</f>
        <v>-1201200.04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-418748</v>
      </c>
      <c r="I24" s="39">
        <f t="shared" si="4"/>
        <v>-1197609.3</v>
      </c>
      <c r="J24" s="61">
        <f t="shared" si="4"/>
        <v>-1252</v>
      </c>
      <c r="K24" s="146">
        <f t="shared" si="4"/>
        <v>-3590.74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892</v>
      </c>
      <c r="E27" s="38">
        <f>SUM(G27,I27,K27,M27,O27,Q27,S27,U27,W27,Y27,AA27,AC27,AE27,AG27)</f>
        <v>1558783.91</v>
      </c>
      <c r="F27" s="64">
        <f>'TIE-OUT'!R27+RECLASS!P27</f>
        <v>0</v>
      </c>
      <c r="G27" s="68">
        <f>'TIE-OUT'!S27+RECLASS!Q27</f>
        <v>0</v>
      </c>
      <c r="H27" s="126">
        <f>+Actuals!E14</f>
        <v>0</v>
      </c>
      <c r="I27" s="127">
        <f>+Actuals!F14</f>
        <v>0</v>
      </c>
      <c r="J27" s="126">
        <f>+Actuals!G14</f>
        <v>892</v>
      </c>
      <c r="K27" s="145">
        <f>+Actuals!H14</f>
        <v>2595.7199999999998</v>
      </c>
      <c r="L27" s="126">
        <f>+Actuals!I14</f>
        <v>0</v>
      </c>
      <c r="M27" s="127">
        <f>+Actuals!J14</f>
        <v>0</v>
      </c>
      <c r="N27" s="126">
        <f>+Actuals!K14</f>
        <v>0</v>
      </c>
      <c r="O27" s="127">
        <f>+Actuals!L14</f>
        <v>1556188.19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f>+Actuals!Q14</f>
        <v>0</v>
      </c>
      <c r="U27" s="127">
        <f>+Actuals!R14</f>
        <v>0</v>
      </c>
      <c r="V27" s="126">
        <f>+Actuals!S14</f>
        <v>0</v>
      </c>
      <c r="W27" s="127">
        <f>+Actuals!T14</f>
        <v>0</v>
      </c>
      <c r="X27" s="126">
        <f>+Actuals!U14</f>
        <v>0</v>
      </c>
      <c r="Y27" s="127">
        <f>+Actuals!V14</f>
        <v>0</v>
      </c>
      <c r="Z27" s="126">
        <f>+Actuals!W14</f>
        <v>0</v>
      </c>
      <c r="AA27" s="127">
        <f>+Actuals!X14</f>
        <v>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-117470</v>
      </c>
      <c r="E28" s="38">
        <f>SUM(G28,I28,K28,M28,O28,Q28,S28,U28,W28,Y28,AA28,AC28,AE28,AG28)</f>
        <v>-1897423.69</v>
      </c>
      <c r="F28" s="81">
        <f>'TIE-OUT'!R28+RECLASS!P28</f>
        <v>0</v>
      </c>
      <c r="G28" s="82">
        <f>'TIE-OUT'!S28+RECLASS!Q28</f>
        <v>0</v>
      </c>
      <c r="H28" s="126">
        <f>+Actuals!E15</f>
        <v>-116803</v>
      </c>
      <c r="I28" s="127">
        <f>+Actuals!F15</f>
        <v>-339068.34</v>
      </c>
      <c r="J28" s="126">
        <f>+Actuals!G15</f>
        <v>-667</v>
      </c>
      <c r="K28" s="145">
        <f>+Actuals!H15</f>
        <v>-2167.16</v>
      </c>
      <c r="L28" s="126">
        <f>+Actuals!I15</f>
        <v>0</v>
      </c>
      <c r="M28" s="127">
        <f>+Actuals!J15</f>
        <v>0</v>
      </c>
      <c r="N28" s="126">
        <f>+Actuals!K15</f>
        <v>0</v>
      </c>
      <c r="O28" s="127">
        <f>+Actuals!L15</f>
        <v>-1556188.19</v>
      </c>
      <c r="P28" s="126">
        <f>+Actuals!M15</f>
        <v>0</v>
      </c>
      <c r="Q28" s="127">
        <f>+Actuals!N15</f>
        <v>0</v>
      </c>
      <c r="R28" s="126">
        <f>+Actuals!O15</f>
        <v>0</v>
      </c>
      <c r="S28" s="127">
        <f>+Actuals!P15</f>
        <v>0</v>
      </c>
      <c r="T28" s="126">
        <f>+Actuals!Q15</f>
        <v>0</v>
      </c>
      <c r="U28" s="127">
        <f>+Actuals!R15</f>
        <v>0</v>
      </c>
      <c r="V28" s="126">
        <f>+Actuals!S15</f>
        <v>0</v>
      </c>
      <c r="W28" s="127">
        <f>+Actuals!T15</f>
        <v>0</v>
      </c>
      <c r="X28" s="126">
        <f>+Actuals!U15</f>
        <v>0</v>
      </c>
      <c r="Y28" s="127">
        <f>+Actuals!V15</f>
        <v>0</v>
      </c>
      <c r="Z28" s="126">
        <f>+Actuals!W15</f>
        <v>0</v>
      </c>
      <c r="AA28" s="127">
        <f>+Actuals!X15</f>
        <v>0</v>
      </c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f>+Actuals!AC15</f>
        <v>0</v>
      </c>
      <c r="AG28" s="127">
        <f>+Actuals!AD15</f>
        <v>0</v>
      </c>
    </row>
    <row r="29" spans="1:33" x14ac:dyDescent="0.25">
      <c r="A29" s="9"/>
      <c r="B29" s="7" t="s">
        <v>37</v>
      </c>
      <c r="C29" s="18"/>
      <c r="D29" s="61">
        <f>SUM(D27:D28)</f>
        <v>-116578</v>
      </c>
      <c r="E29" s="39">
        <f>SUM(E27:E28)</f>
        <v>-338639.78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-116803</v>
      </c>
      <c r="I29" s="39">
        <f t="shared" si="6"/>
        <v>-339068.34</v>
      </c>
      <c r="J29" s="61">
        <f t="shared" si="6"/>
        <v>225</v>
      </c>
      <c r="K29" s="146">
        <f t="shared" si="6"/>
        <v>428.55999999999995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6">
        <f>+Actuals!E16</f>
        <v>0</v>
      </c>
      <c r="I32" s="127">
        <f>+Actuals!F16</f>
        <v>0</v>
      </c>
      <c r="J32" s="126">
        <f>+Actuals!G16</f>
        <v>0</v>
      </c>
      <c r="K32" s="145">
        <f>+Actuals!H16</f>
        <v>0</v>
      </c>
      <c r="L32" s="126">
        <f>+Actuals!I16</f>
        <v>0</v>
      </c>
      <c r="M32" s="127">
        <f>+Actuals!J16</f>
        <v>0</v>
      </c>
      <c r="N32" s="126">
        <f>+Actuals!K16</f>
        <v>0</v>
      </c>
      <c r="O32" s="127">
        <f>+Actuals!L16</f>
        <v>0</v>
      </c>
      <c r="P32" s="126">
        <f>+Actuals!M16</f>
        <v>0</v>
      </c>
      <c r="Q32" s="127">
        <f>+Actuals!N16</f>
        <v>0</v>
      </c>
      <c r="R32" s="126">
        <f>+Actuals!O16</f>
        <v>0</v>
      </c>
      <c r="S32" s="127">
        <f>+Actuals!P16</f>
        <v>0</v>
      </c>
      <c r="T32" s="126">
        <f>+Actuals!Q16</f>
        <v>0</v>
      </c>
      <c r="U32" s="127">
        <f>+Actuals!R16</f>
        <v>0</v>
      </c>
      <c r="V32" s="126">
        <f>+Actuals!S16</f>
        <v>0</v>
      </c>
      <c r="W32" s="127">
        <f>+Actuals!T16</f>
        <v>0</v>
      </c>
      <c r="X32" s="126">
        <f>+Actuals!U16</f>
        <v>0</v>
      </c>
      <c r="Y32" s="127">
        <f>+Actuals!V16</f>
        <v>0</v>
      </c>
      <c r="Z32" s="126">
        <f>+Actuals!W16</f>
        <v>0</v>
      </c>
      <c r="AA32" s="127">
        <f>+Actuals!X16</f>
        <v>0</v>
      </c>
      <c r="AB32" s="126">
        <f>+Actuals!Y16</f>
        <v>0</v>
      </c>
      <c r="AC32" s="127">
        <f>+Actuals!Z16</f>
        <v>0</v>
      </c>
      <c r="AD32" s="126">
        <f>+Actuals!AA16</f>
        <v>0</v>
      </c>
      <c r="AE32" s="127">
        <f>+Actuals!AB16</f>
        <v>0</v>
      </c>
      <c r="AF32" s="126">
        <f>+Actuals!AC16</f>
        <v>0</v>
      </c>
      <c r="AG32" s="127">
        <f>+Actuals!AD16</f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6">
        <f>+Actuals!E17</f>
        <v>0</v>
      </c>
      <c r="I33" s="127">
        <f>+Actuals!F17</f>
        <v>0</v>
      </c>
      <c r="J33" s="126">
        <f>+Actuals!G17</f>
        <v>0</v>
      </c>
      <c r="K33" s="145">
        <f>+Actuals!H17</f>
        <v>0</v>
      </c>
      <c r="L33" s="126">
        <f>+Actuals!I17</f>
        <v>0</v>
      </c>
      <c r="M33" s="127">
        <f>+Actuals!J17</f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>
        <f>+Actuals!Q17</f>
        <v>0</v>
      </c>
      <c r="U33" s="127">
        <f>+Actuals!R17</f>
        <v>0</v>
      </c>
      <c r="V33" s="126">
        <f>+Actuals!S17</f>
        <v>0</v>
      </c>
      <c r="W33" s="127">
        <f>+Actuals!T17</f>
        <v>0</v>
      </c>
      <c r="X33" s="126">
        <f>+Actuals!U17</f>
        <v>0</v>
      </c>
      <c r="Y33" s="127">
        <f>+Actuals!V17</f>
        <v>0</v>
      </c>
      <c r="Z33" s="126">
        <f>+Actuals!W17</f>
        <v>0</v>
      </c>
      <c r="AA33" s="127">
        <f>+Actuals!X17</f>
        <v>0</v>
      </c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6">
        <f>+Actuals!E18</f>
        <v>0</v>
      </c>
      <c r="I34" s="127">
        <f>+Actuals!F18</f>
        <v>0</v>
      </c>
      <c r="J34" s="126">
        <f>+Actuals!G18</f>
        <v>0</v>
      </c>
      <c r="K34" s="145">
        <f>+Actuals!H18</f>
        <v>0</v>
      </c>
      <c r="L34" s="126">
        <f>+Actuals!I18</f>
        <v>0</v>
      </c>
      <c r="M34" s="127">
        <f>+Actuals!J18</f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6">
        <f>+Actuals!E19</f>
        <v>0</v>
      </c>
      <c r="I35" s="127">
        <f>+Actuals!F19</f>
        <v>0</v>
      </c>
      <c r="J35" s="126">
        <f>+Actuals!G19</f>
        <v>0</v>
      </c>
      <c r="K35" s="145">
        <f>+Actuals!H19</f>
        <v>0</v>
      </c>
      <c r="L35" s="126">
        <f>+Actuals!I19</f>
        <v>0</v>
      </c>
      <c r="M35" s="127">
        <f>+Actuals!J19</f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</row>
    <row r="36" spans="1:33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6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6">
        <f>+Actuals!E20</f>
        <v>0</v>
      </c>
      <c r="I39" s="127">
        <f>+Actuals!F20</f>
        <v>0</v>
      </c>
      <c r="J39" s="126">
        <f>+Actuals!G20</f>
        <v>0</v>
      </c>
      <c r="K39" s="145">
        <f>+Actuals!H20</f>
        <v>0</v>
      </c>
      <c r="L39" s="126">
        <f>+Actuals!I20</f>
        <v>0</v>
      </c>
      <c r="M39" s="127">
        <f>+Actuals!J20</f>
        <v>0</v>
      </c>
      <c r="N39" s="126">
        <f>+Actuals!K20</f>
        <v>0</v>
      </c>
      <c r="O39" s="127">
        <f>+Actuals!L20</f>
        <v>0</v>
      </c>
      <c r="P39" s="126">
        <f>+Actuals!M20</f>
        <v>0</v>
      </c>
      <c r="Q39" s="127">
        <f>+Actuals!N20</f>
        <v>0</v>
      </c>
      <c r="R39" s="126">
        <f>+Actuals!O20</f>
        <v>0</v>
      </c>
      <c r="S39" s="127">
        <f>+Actuals!P20</f>
        <v>0</v>
      </c>
      <c r="T39" s="126">
        <f>+Actuals!Q20</f>
        <v>0</v>
      </c>
      <c r="U39" s="127">
        <f>+Actuals!R20</f>
        <v>0</v>
      </c>
      <c r="V39" s="126">
        <f>+Actuals!S20</f>
        <v>0</v>
      </c>
      <c r="W39" s="127">
        <f>+Actuals!T20</f>
        <v>0</v>
      </c>
      <c r="X39" s="126">
        <f>+Actuals!U20</f>
        <v>0</v>
      </c>
      <c r="Y39" s="127">
        <f>+Actuals!V20</f>
        <v>0</v>
      </c>
      <c r="Z39" s="126">
        <f>+Actuals!W20</f>
        <v>0</v>
      </c>
      <c r="AA39" s="127">
        <f>+Actuals!X20</f>
        <v>0</v>
      </c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6">
        <f>+Actuals!E21</f>
        <v>0</v>
      </c>
      <c r="I40" s="127">
        <f>+Actuals!F21</f>
        <v>0</v>
      </c>
      <c r="J40" s="126">
        <f>+Actuals!G21</f>
        <v>0</v>
      </c>
      <c r="K40" s="145">
        <f>+Actuals!H21</f>
        <v>0</v>
      </c>
      <c r="L40" s="126">
        <f>+Actuals!I21</f>
        <v>0</v>
      </c>
      <c r="M40" s="127">
        <f>+Actuals!J21</f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6">
        <f>+Actuals!E22</f>
        <v>0</v>
      </c>
      <c r="I41" s="127">
        <f>+Actuals!F22</f>
        <v>0</v>
      </c>
      <c r="J41" s="126">
        <f>+Actuals!G22</f>
        <v>0</v>
      </c>
      <c r="K41" s="145">
        <f>+Actuals!H22</f>
        <v>0</v>
      </c>
      <c r="L41" s="126">
        <f>+Actuals!I22</f>
        <v>0</v>
      </c>
      <c r="M41" s="127">
        <f>+Actuals!J22</f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27">
        <f>+Actuals!T22</f>
        <v>0</v>
      </c>
      <c r="X41" s="126">
        <f>+Actuals!U22</f>
        <v>0</v>
      </c>
      <c r="Y41" s="127">
        <f>+Actuals!V22</f>
        <v>0</v>
      </c>
      <c r="Z41" s="126">
        <f>+Actuals!W22</f>
        <v>0</v>
      </c>
      <c r="AA41" s="127">
        <f>+Actuals!X22</f>
        <v>0</v>
      </c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</row>
    <row r="42" spans="1:3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6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'TIE-OUT'!R45+RECLASS!P45</f>
        <v>0</v>
      </c>
      <c r="G45" s="68">
        <f>'TIE-OUT'!S45+RECLASS!Q45</f>
        <v>0</v>
      </c>
      <c r="H45" s="126">
        <f>+Actuals!E23</f>
        <v>0</v>
      </c>
      <c r="I45" s="127">
        <f>+Actuals!F23</f>
        <v>0</v>
      </c>
      <c r="J45" s="126">
        <f>+Actuals!G23</f>
        <v>0</v>
      </c>
      <c r="K45" s="145">
        <f>+Actuals!H23</f>
        <v>0</v>
      </c>
      <c r="L45" s="126">
        <f>+Actuals!I23</f>
        <v>0</v>
      </c>
      <c r="M45" s="127">
        <f>+Actuals!J23</f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-0.62000000000080036</v>
      </c>
      <c r="F47" s="60">
        <f>'TIE-OUT'!R47+RECLASS!P47</f>
        <v>0</v>
      </c>
      <c r="G47" s="38">
        <f>'TIE-OUT'!S47+RECLASS!Q47</f>
        <v>0</v>
      </c>
      <c r="H47" s="126">
        <f>+Actuals!E24</f>
        <v>0</v>
      </c>
      <c r="I47" s="127">
        <f>+Actuals!F24</f>
        <v>0</v>
      </c>
      <c r="J47" s="126">
        <f>+Actuals!G24</f>
        <v>0</v>
      </c>
      <c r="K47" s="145">
        <f>+Actuals!H24</f>
        <v>0</v>
      </c>
      <c r="L47" s="126">
        <f>+Actuals!I24</f>
        <v>0</v>
      </c>
      <c r="M47" s="127">
        <f>+Actuals!J24-9718</f>
        <v>-0.44000000000050932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+Actuals!V24-5417</f>
        <v>-0.18000000000029104</v>
      </c>
      <c r="Z47" s="126">
        <f>+Actuals!W24</f>
        <v>0</v>
      </c>
      <c r="AA47" s="127">
        <f>+Actuals!X24</f>
        <v>0</v>
      </c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'TIE-OUT'!R49+RECLASS!P49</f>
        <v>0</v>
      </c>
      <c r="G49" s="38">
        <f>'TIE-OUT'!S49+RECLASS!Q49</f>
        <v>0</v>
      </c>
      <c r="H49" s="126">
        <f>+Actuals!E25</f>
        <v>0</v>
      </c>
      <c r="I49" s="127">
        <f>+Actuals!F25</f>
        <v>0</v>
      </c>
      <c r="J49" s="126">
        <f>+Actuals!G25</f>
        <v>0</v>
      </c>
      <c r="K49" s="145">
        <f>+Actuals!H25</f>
        <v>0</v>
      </c>
      <c r="L49" s="126">
        <f>+Actuals!I25</f>
        <v>0</v>
      </c>
      <c r="M49" s="127">
        <f>+Actuals!J25</f>
        <v>0</v>
      </c>
      <c r="N49" s="126">
        <f>+Actuals!K25</f>
        <v>0</v>
      </c>
      <c r="O49" s="127">
        <f>+Actuals!L25</f>
        <v>0</v>
      </c>
      <c r="P49" s="126">
        <f>+Actuals!M25</f>
        <v>0</v>
      </c>
      <c r="Q49" s="127">
        <f>+Actuals!N25</f>
        <v>0</v>
      </c>
      <c r="R49" s="126">
        <f>+Actuals!O25</f>
        <v>0</v>
      </c>
      <c r="S49" s="127">
        <f>+Actuals!P25</f>
        <v>0</v>
      </c>
      <c r="T49" s="126">
        <f>+Actuals!Q25</f>
        <v>0</v>
      </c>
      <c r="U49" s="127">
        <f>+Actuals!R25</f>
        <v>0</v>
      </c>
      <c r="V49" s="126">
        <f>+Actuals!S25</f>
        <v>0</v>
      </c>
      <c r="W49" s="127">
        <f>+Actuals!T25</f>
        <v>0</v>
      </c>
      <c r="X49" s="126">
        <f>+Actuals!U25</f>
        <v>0</v>
      </c>
      <c r="Y49" s="127">
        <f>+Actuals!V25</f>
        <v>0</v>
      </c>
      <c r="Z49" s="126">
        <f>+Actuals!W25</f>
        <v>0</v>
      </c>
      <c r="AA49" s="127">
        <f>+Actuals!X25</f>
        <v>0</v>
      </c>
      <c r="AB49" s="126">
        <f>+Actuals!Y25</f>
        <v>0</v>
      </c>
      <c r="AC49" s="127">
        <f>+Actuals!Z25</f>
        <v>0</v>
      </c>
      <c r="AD49" s="126">
        <f>+Actuals!AA25</f>
        <v>0</v>
      </c>
      <c r="AE49" s="127">
        <f>+Actuals!AB25</f>
        <v>0</v>
      </c>
      <c r="AF49" s="126">
        <f>+Actuals!AC25</f>
        <v>0</v>
      </c>
      <c r="AG49" s="127">
        <f>+Actuals!AD25</f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'TIE-OUT'!R51+RECLASS!P51</f>
        <v>0</v>
      </c>
      <c r="G51" s="38">
        <f>'TIE-OUT'!S51+RECLASS!Q51</f>
        <v>0</v>
      </c>
      <c r="H51" s="126">
        <f>+Actuals!E26</f>
        <v>0</v>
      </c>
      <c r="I51" s="127">
        <f>+Actuals!F26</f>
        <v>0</v>
      </c>
      <c r="J51" s="126">
        <f>+Actuals!G26</f>
        <v>0</v>
      </c>
      <c r="K51" s="145">
        <f>+Actuals!H26</f>
        <v>0</v>
      </c>
      <c r="L51" s="126">
        <f>+Actuals!I26</f>
        <v>0</v>
      </c>
      <c r="M51" s="127">
        <f>+Actuals!J26</f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'TIE-OUT'!R54+RECLASS!P54</f>
        <v>0</v>
      </c>
      <c r="G54" s="68">
        <f>'TIE-OUT'!S54+RECLASS!Q54</f>
        <v>0</v>
      </c>
      <c r="H54" s="126">
        <f>+Actuals!E27</f>
        <v>0</v>
      </c>
      <c r="I54" s="127">
        <f>+Actuals!F27</f>
        <v>0</v>
      </c>
      <c r="J54" s="126">
        <f>+Actuals!G27</f>
        <v>0</v>
      </c>
      <c r="K54" s="145">
        <f>+Actuals!H27</f>
        <v>0</v>
      </c>
      <c r="L54" s="126">
        <f>+Actuals!I27</f>
        <v>0</v>
      </c>
      <c r="M54" s="127">
        <f>+Actuals!J27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27">
        <f>+Actuals!X27</f>
        <v>0</v>
      </c>
      <c r="AB54" s="126">
        <f>+Actuals!Y27</f>
        <v>0</v>
      </c>
      <c r="AC54" s="127">
        <f>+Actuals!Z27</f>
        <v>0</v>
      </c>
      <c r="AD54" s="126">
        <f>+Actuals!AA27</f>
        <v>0</v>
      </c>
      <c r="AE54" s="127">
        <f>+Actuals!AB27</f>
        <v>0</v>
      </c>
      <c r="AF54" s="126">
        <f>+Actuals!AC27</f>
        <v>0</v>
      </c>
      <c r="AG54" s="127">
        <f>+Actuals!AD27</f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'TIE-OUT'!R55+RECLASS!P55</f>
        <v>0</v>
      </c>
      <c r="G55" s="82">
        <f>'TIE-OUT'!S55+RECLASS!Q55</f>
        <v>0</v>
      </c>
      <c r="H55" s="126">
        <f>+Actuals!E28</f>
        <v>0</v>
      </c>
      <c r="I55" s="127">
        <f>+Actuals!F28</f>
        <v>0</v>
      </c>
      <c r="J55" s="126">
        <f>+Actuals!G28</f>
        <v>0</v>
      </c>
      <c r="K55" s="145">
        <f>+Actuals!H28</f>
        <v>0</v>
      </c>
      <c r="L55" s="126">
        <f>+Actuals!I28</f>
        <v>0</v>
      </c>
      <c r="M55" s="127">
        <f>+Actuals!J28</f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</row>
    <row r="56" spans="1:33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6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'TIE-OUT'!R59+RECLASS!P59</f>
        <v>0</v>
      </c>
      <c r="G59" s="68">
        <f>'TIE-OUT'!S59+RECLASS!Q59</f>
        <v>0</v>
      </c>
      <c r="H59" s="126">
        <f>+Actuals!E29</f>
        <v>0</v>
      </c>
      <c r="I59" s="127">
        <f>+Actuals!F29</f>
        <v>0</v>
      </c>
      <c r="J59" s="126">
        <f>+Actuals!G29</f>
        <v>0</v>
      </c>
      <c r="K59" s="145">
        <f>+Actuals!H29</f>
        <v>0</v>
      </c>
      <c r="L59" s="126">
        <f>+Actuals!I29</f>
        <v>0</v>
      </c>
      <c r="M59" s="127">
        <f>+Actuals!J29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'TIE-OUT'!R60+RECLASS!P60</f>
        <v>0</v>
      </c>
      <c r="G60" s="82">
        <f>'TIE-OUT'!S60+RECLASS!Q60</f>
        <v>0</v>
      </c>
      <c r="H60" s="126">
        <f>+Actuals!E30</f>
        <v>0</v>
      </c>
      <c r="I60" s="127">
        <f>+Actuals!F30</f>
        <v>0</v>
      </c>
      <c r="J60" s="126">
        <f>+Actuals!G30</f>
        <v>0</v>
      </c>
      <c r="K60" s="145">
        <f>+Actuals!H30</f>
        <v>0</v>
      </c>
      <c r="L60" s="126">
        <f>+Actuals!I30</f>
        <v>0</v>
      </c>
      <c r="M60" s="127">
        <f>+Actuals!J30</f>
        <v>0</v>
      </c>
      <c r="N60" s="126">
        <f>+Actuals!K30</f>
        <v>0</v>
      </c>
      <c r="O60" s="127">
        <f>+Actuals!L30</f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</row>
    <row r="61" spans="1:33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-1219</v>
      </c>
      <c r="E64" s="38">
        <f>SUM(G64,I64,K64,M64,O64,Q64,S64,U64,W64,Y64,AA64,AC64,AE64,AG64)</f>
        <v>-58.28</v>
      </c>
      <c r="F64" s="64">
        <f>'TIE-OUT'!R64+RECLASS!P64</f>
        <v>0</v>
      </c>
      <c r="G64" s="68">
        <f>'TIE-OUT'!S64+RECLASS!Q64</f>
        <v>0</v>
      </c>
      <c r="H64" s="126">
        <f>+Actuals!E31</f>
        <v>-1152</v>
      </c>
      <c r="I64" s="127">
        <f>+Actuals!F31</f>
        <v>-53.64</v>
      </c>
      <c r="J64" s="126">
        <f>+Actuals!G31</f>
        <v>-67</v>
      </c>
      <c r="K64" s="145">
        <f>+Actuals!H31</f>
        <v>-4.6399999999999997</v>
      </c>
      <c r="L64" s="126">
        <f>+Actuals!I31</f>
        <v>0</v>
      </c>
      <c r="M64" s="127">
        <f>+Actuals!J31</f>
        <v>0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'TIE-OUT'!R65+RECLASS!P65</f>
        <v>0</v>
      </c>
      <c r="G65" s="82">
        <f>'TIE-OUT'!S65+RECLASS!Q65</f>
        <v>0</v>
      </c>
      <c r="H65" s="126">
        <f>+Actuals!E32</f>
        <v>0</v>
      </c>
      <c r="I65" s="127">
        <f>+Actuals!F32</f>
        <v>0</v>
      </c>
      <c r="J65" s="126">
        <f>+Actuals!G32</f>
        <v>0</v>
      </c>
      <c r="K65" s="156">
        <f>+Actuals!H32</f>
        <v>0</v>
      </c>
      <c r="L65" s="126">
        <f>+Actuals!I32</f>
        <v>0</v>
      </c>
      <c r="M65" s="127">
        <f>+Actuals!J32</f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</row>
    <row r="66" spans="1:33" x14ac:dyDescent="0.25">
      <c r="A66" s="9"/>
      <c r="B66" s="7" t="s">
        <v>64</v>
      </c>
      <c r="C66" s="6"/>
      <c r="D66" s="61">
        <f>SUM(D64:D65)</f>
        <v>-1219</v>
      </c>
      <c r="E66" s="39">
        <f>SUM(E64:E65)</f>
        <v>-58.28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-1152</v>
      </c>
      <c r="I66" s="39">
        <f t="shared" si="20"/>
        <v>-53.64</v>
      </c>
      <c r="J66" s="61">
        <f t="shared" si="20"/>
        <v>-67</v>
      </c>
      <c r="K66" s="146">
        <f t="shared" si="20"/>
        <v>-4.6399999999999997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'TIE-OUT'!R70+RECLASS!P70</f>
        <v>0</v>
      </c>
      <c r="G70" s="68">
        <f>'TIE-OUT'!S70+RECLASS!Q70</f>
        <v>0</v>
      </c>
      <c r="H70" s="126">
        <f>+Actuals!E33</f>
        <v>0</v>
      </c>
      <c r="I70" s="127">
        <f>+Actuals!F33</f>
        <v>0</v>
      </c>
      <c r="J70" s="126">
        <f>+Actuals!G33</f>
        <v>0</v>
      </c>
      <c r="K70" s="145">
        <f>+Actuals!H33</f>
        <v>0</v>
      </c>
      <c r="L70" s="126">
        <f>+Actuals!I33</f>
        <v>0</v>
      </c>
      <c r="M70" s="127">
        <f>+Actuals!J33</f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'TIE-OUT'!R71+RECLASS!P71</f>
        <v>0</v>
      </c>
      <c r="G71" s="82">
        <f>'TIE-OUT'!S71+RECLASS!Q71</f>
        <v>0</v>
      </c>
      <c r="H71" s="126">
        <f>+Actuals!E34</f>
        <v>0</v>
      </c>
      <c r="I71" s="127">
        <f>+Actuals!F34</f>
        <v>0</v>
      </c>
      <c r="J71" s="126">
        <f>+Actuals!G34</f>
        <v>0</v>
      </c>
      <c r="K71" s="145">
        <f>+Actuals!H34</f>
        <v>0</v>
      </c>
      <c r="L71" s="126">
        <f>+Actuals!I34</f>
        <v>0</v>
      </c>
      <c r="M71" s="127">
        <f>+Actuals!J34</f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'TIE-OUT'!R73+RECLASS!P73</f>
        <v>0</v>
      </c>
      <c r="G73" s="60">
        <f>'TIE-OUT'!S73+RECLASS!Q73</f>
        <v>0</v>
      </c>
      <c r="H73" s="126">
        <f>+Actuals!E35</f>
        <v>0</v>
      </c>
      <c r="I73" s="127">
        <f>+Actuals!F35</f>
        <v>0</v>
      </c>
      <c r="J73" s="126">
        <f>+Actuals!G35</f>
        <v>0</v>
      </c>
      <c r="K73" s="145">
        <f>+Actuals!H35</f>
        <v>0</v>
      </c>
      <c r="L73" s="126">
        <f>+Actuals!I35</f>
        <v>0</v>
      </c>
      <c r="M73" s="127">
        <f>+Actuals!J35</f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'TIE-OUT'!R74+RECLASS!P74</f>
        <v>0</v>
      </c>
      <c r="G74" s="60">
        <f>'TIE-OUT'!S74+RECLASS!Q74</f>
        <v>0</v>
      </c>
      <c r="H74" s="126">
        <f>+Actuals!E36</f>
        <v>0</v>
      </c>
      <c r="I74" s="127">
        <f>+Actuals!F36</f>
        <v>0</v>
      </c>
      <c r="J74" s="126">
        <f>+Actuals!G36</f>
        <v>0</v>
      </c>
      <c r="K74" s="145">
        <f>+Actuals!H36</f>
        <v>0</v>
      </c>
      <c r="L74" s="126">
        <f>+Actuals!I36</f>
        <v>0</v>
      </c>
      <c r="M74" s="127">
        <f>+Actuals!J36</f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'TIE-OUT'!R75+RECLASS!P75</f>
        <v>0</v>
      </c>
      <c r="G75" s="60">
        <f>'TIE-OUT'!S75+RECLASS!Q75</f>
        <v>0</v>
      </c>
      <c r="H75" s="126">
        <f>+Actuals!E37</f>
        <v>0</v>
      </c>
      <c r="I75" s="127">
        <f>+Actuals!F37</f>
        <v>0</v>
      </c>
      <c r="J75" s="126">
        <f>+Actuals!G37</f>
        <v>0</v>
      </c>
      <c r="K75" s="145">
        <f>+Actuals!H37</f>
        <v>0</v>
      </c>
      <c r="L75" s="126">
        <f>+Actuals!I37</f>
        <v>0</v>
      </c>
      <c r="M75" s="127">
        <f>+Actuals!J37</f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'TIE-OUT'!R76+RECLASS!P76</f>
        <v>0</v>
      </c>
      <c r="G76" s="60">
        <f>'TIE-OUT'!S76+RECLASS!Q76</f>
        <v>0</v>
      </c>
      <c r="H76" s="126">
        <f>+Actuals!E38</f>
        <v>0</v>
      </c>
      <c r="I76" s="127">
        <f>+Actuals!F38</f>
        <v>0</v>
      </c>
      <c r="J76" s="126">
        <f>+Actuals!G38</f>
        <v>0</v>
      </c>
      <c r="K76" s="145">
        <f>+Actuals!H38</f>
        <v>0</v>
      </c>
      <c r="L76" s="126">
        <f>+Actuals!I38</f>
        <v>0</v>
      </c>
      <c r="M76" s="127">
        <f>+Actuals!J38</f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'TIE-OUT'!R77+RECLASS!P77</f>
        <v>0</v>
      </c>
      <c r="G77" s="60">
        <f>'TIE-OUT'!S77+RECLASS!Q77</f>
        <v>0</v>
      </c>
      <c r="H77" s="126">
        <f>+Actuals!E39</f>
        <v>0</v>
      </c>
      <c r="I77" s="127">
        <f>+Actuals!F39</f>
        <v>0</v>
      </c>
      <c r="J77" s="126">
        <f>+Actuals!G39</f>
        <v>0</v>
      </c>
      <c r="K77" s="145">
        <f>+Actuals!H39</f>
        <v>0</v>
      </c>
      <c r="L77" s="126">
        <f>+Actuals!I39</f>
        <v>0</v>
      </c>
      <c r="M77" s="127">
        <f>+Actuals!J39</f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'TIE-OUT'!R78+RECLASS!P78</f>
        <v>0</v>
      </c>
      <c r="G78" s="60">
        <f>'TIE-OUT'!S78+RECLASS!Q78</f>
        <v>0</v>
      </c>
      <c r="H78" s="126">
        <f>+Actuals!E40</f>
        <v>0</v>
      </c>
      <c r="I78" s="127">
        <f>+Actuals!F40</f>
        <v>0</v>
      </c>
      <c r="J78" s="126">
        <f>+Actuals!G40</f>
        <v>0</v>
      </c>
      <c r="K78" s="145">
        <f>+Actuals!H40</f>
        <v>0</v>
      </c>
      <c r="L78" s="126">
        <f>+Actuals!I40</f>
        <v>0</v>
      </c>
      <c r="M78" s="127">
        <f>+Actuals!J40</f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'TIE-OUT'!R79+RECLASS!P79</f>
        <v>0</v>
      </c>
      <c r="G79" s="60">
        <f>'TIE-OUT'!S79+RECLASS!Q79</f>
        <v>0</v>
      </c>
      <c r="H79" s="126">
        <f>+Actuals!E41</f>
        <v>0</v>
      </c>
      <c r="I79" s="127">
        <f>+Actuals!F41</f>
        <v>0</v>
      </c>
      <c r="J79" s="126">
        <f>+Actuals!G41</f>
        <v>0</v>
      </c>
      <c r="K79" s="145">
        <f>+Actuals!H41</f>
        <v>0</v>
      </c>
      <c r="L79" s="126">
        <f>+Actuals!I41</f>
        <v>0</v>
      </c>
      <c r="M79" s="127">
        <f>+Actuals!J41</f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'TIE-OUT'!R80+RECLASS!P80</f>
        <v>0</v>
      </c>
      <c r="G80" s="60">
        <f>'TIE-OUT'!S80+RECLASS!Q80</f>
        <v>0</v>
      </c>
      <c r="H80" s="126">
        <f>+Actuals!E42</f>
        <v>0</v>
      </c>
      <c r="I80" s="127">
        <f>+Actuals!F42</f>
        <v>0</v>
      </c>
      <c r="J80" s="126">
        <f>+Actuals!G42</f>
        <v>0</v>
      </c>
      <c r="K80" s="145">
        <f>+Actuals!H42</f>
        <v>0</v>
      </c>
      <c r="L80" s="126">
        <f>+Actuals!I42</f>
        <v>0</v>
      </c>
      <c r="M80" s="127">
        <f>+Actuals!J42</f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'TIE-OUT'!R81+RECLASS!P81</f>
        <v>0</v>
      </c>
      <c r="G81" s="60">
        <f>'TIE-OUT'!S81+RECLASS!Q81</f>
        <v>0</v>
      </c>
      <c r="H81" s="126">
        <f>+Actuals!E43</f>
        <v>0</v>
      </c>
      <c r="I81" s="156">
        <f>+Actuals!F43</f>
        <v>0</v>
      </c>
      <c r="J81" s="126">
        <f>+Actuals!G43</f>
        <v>0</v>
      </c>
      <c r="K81" s="145">
        <f>+Actuals!H43</f>
        <v>0</v>
      </c>
      <c r="L81" s="126">
        <f>+Actuals!I43</f>
        <v>0</v>
      </c>
      <c r="M81" s="127">
        <f>+Actuals!J43</f>
        <v>0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f>+Actuals!AD43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-330908.60000000021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-330751.3000000001</v>
      </c>
      <c r="J82" s="91">
        <f>J16+J24+J29+J36+J43+J45+J47+J49</f>
        <v>0</v>
      </c>
      <c r="K82" s="110">
        <f>SUM(K72:K81)+K16+K24+K29+K36+K43+K45+K47+K49+K51+K56+K61+K66</f>
        <v>-156.67999999999995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-0.18000000000029104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76"/>
  <sheetViews>
    <sheetView zoomScale="75" workbookViewId="0">
      <pane xSplit="3" ySplit="9" topLeftCell="Z57" activePane="bottomRight" state="frozen"/>
      <selection activeCell="AF9" sqref="AF9"/>
      <selection pane="topRight" activeCell="AF9" sqref="AF9"/>
      <selection pane="bottomLeft" activeCell="AF9" sqref="AF9"/>
      <selection pane="bottomRight" activeCell="AG82" sqref="AG82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34530921</v>
      </c>
      <c r="E11" s="38">
        <f t="shared" si="0"/>
        <v>97544699.769999996</v>
      </c>
      <c r="F11" s="60">
        <f>'TIE-OUT'!V11+RECLASS!T11</f>
        <v>0</v>
      </c>
      <c r="G11" s="38">
        <f>'TIE-OUT'!W11+RECLASS!U11</f>
        <v>0</v>
      </c>
      <c r="H11" s="126">
        <v>34315684</v>
      </c>
      <c r="I11" s="126">
        <v>96909432</v>
      </c>
      <c r="J11" s="126">
        <v>212305</v>
      </c>
      <c r="K11" s="191">
        <v>395502</v>
      </c>
      <c r="L11" s="126">
        <v>13755</v>
      </c>
      <c r="M11" s="127">
        <v>274660</v>
      </c>
      <c r="N11" s="126">
        <v>-35587</v>
      </c>
      <c r="O11" s="127">
        <v>-91821</v>
      </c>
      <c r="P11" s="126">
        <v>35906</v>
      </c>
      <c r="Q11" s="127">
        <v>106879</v>
      </c>
      <c r="R11" s="126">
        <v>3481</v>
      </c>
      <c r="S11" s="127">
        <v>10139</v>
      </c>
      <c r="T11" s="126">
        <v>17766</v>
      </c>
      <c r="U11" s="127">
        <v>41154</v>
      </c>
      <c r="V11" s="211">
        <v>0</v>
      </c>
      <c r="W11" s="127">
        <v>0</v>
      </c>
      <c r="X11" s="211">
        <v>-32390</v>
      </c>
      <c r="Y11" s="127">
        <v>-102595</v>
      </c>
      <c r="Z11" s="211">
        <v>-1</v>
      </c>
      <c r="AA11" s="127">
        <v>1344</v>
      </c>
      <c r="AB11" s="126">
        <v>2</v>
      </c>
      <c r="AC11" s="127">
        <v>5.77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-298036.89999999991</v>
      </c>
      <c r="F12" s="60">
        <f>'TIE-OUT'!V12+RECLASS!T12</f>
        <v>0</v>
      </c>
      <c r="G12" s="38">
        <f>'TIE-OUT'!W12+RECLASS!U12</f>
        <v>1145463.1000000001</v>
      </c>
      <c r="H12" s="126">
        <v>0</v>
      </c>
      <c r="I12" s="126">
        <v>0</v>
      </c>
      <c r="J12" s="126">
        <v>0</v>
      </c>
      <c r="K12" s="210">
        <v>-35000</v>
      </c>
      <c r="L12" s="126">
        <f>+Actuals!I5</f>
        <v>0</v>
      </c>
      <c r="M12" s="127">
        <f>+Actuals!J5-1408500</f>
        <v>-1408500</v>
      </c>
      <c r="N12" s="126">
        <v>0</v>
      </c>
      <c r="O12" s="127"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6">
        <v>0</v>
      </c>
      <c r="I13" s="126">
        <v>0</v>
      </c>
      <c r="J13" s="126">
        <v>0</v>
      </c>
      <c r="K13" s="191">
        <v>0</v>
      </c>
      <c r="L13" s="126">
        <f>+Actuals!I6</f>
        <v>0</v>
      </c>
      <c r="M13" s="127">
        <f>+Actuals!J6</f>
        <v>0</v>
      </c>
      <c r="N13" s="126">
        <v>0</v>
      </c>
      <c r="O13" s="127"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6">
        <v>0</v>
      </c>
      <c r="I14" s="126">
        <v>0</v>
      </c>
      <c r="J14" s="126">
        <v>0</v>
      </c>
      <c r="K14" s="191">
        <v>0</v>
      </c>
      <c r="L14" s="126">
        <f>+Actuals!I7</f>
        <v>0</v>
      </c>
      <c r="M14" s="127">
        <f>+Actuals!J7</f>
        <v>0</v>
      </c>
      <c r="N14" s="126">
        <v>0</v>
      </c>
      <c r="O14" s="127"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6">
        <v>0</v>
      </c>
      <c r="I15" s="126">
        <v>0</v>
      </c>
      <c r="J15" s="126">
        <v>0</v>
      </c>
      <c r="K15" s="191">
        <v>0</v>
      </c>
      <c r="L15" s="126">
        <f>+Actuals!I8</f>
        <v>0</v>
      </c>
      <c r="M15" s="127">
        <f>+Actuals!J8</f>
        <v>0</v>
      </c>
      <c r="N15" s="126">
        <v>0</v>
      </c>
      <c r="O15" s="127"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</row>
    <row r="16" spans="1:33" x14ac:dyDescent="0.25">
      <c r="A16" s="9"/>
      <c r="B16" s="7" t="s">
        <v>30</v>
      </c>
      <c r="C16" s="6"/>
      <c r="D16" s="61">
        <f>SUM(D11:D15)</f>
        <v>34530921</v>
      </c>
      <c r="E16" s="39">
        <f>SUM(E11:E15)</f>
        <v>97246662.86999999</v>
      </c>
      <c r="F16" s="61">
        <f t="shared" ref="F16:AE16" si="1">SUM(F11:F15)</f>
        <v>0</v>
      </c>
      <c r="G16" s="39">
        <f t="shared" si="1"/>
        <v>1145463.1000000001</v>
      </c>
      <c r="H16" s="61">
        <f t="shared" si="1"/>
        <v>34315684</v>
      </c>
      <c r="I16" s="61">
        <f t="shared" si="1"/>
        <v>96909432</v>
      </c>
      <c r="J16" s="61">
        <f t="shared" si="1"/>
        <v>212305</v>
      </c>
      <c r="K16" s="189">
        <f t="shared" si="1"/>
        <v>360502</v>
      </c>
      <c r="L16" s="61">
        <f t="shared" si="1"/>
        <v>13755</v>
      </c>
      <c r="M16" s="39">
        <f t="shared" si="1"/>
        <v>-1133840</v>
      </c>
      <c r="N16" s="61">
        <f t="shared" si="1"/>
        <v>-35587</v>
      </c>
      <c r="O16" s="39">
        <f t="shared" si="1"/>
        <v>-91821</v>
      </c>
      <c r="P16" s="61">
        <f t="shared" si="1"/>
        <v>35906</v>
      </c>
      <c r="Q16" s="39">
        <f t="shared" si="1"/>
        <v>106879</v>
      </c>
      <c r="R16" s="61">
        <f t="shared" ref="R16:W16" si="2">SUM(R11:R15)</f>
        <v>3481</v>
      </c>
      <c r="S16" s="39">
        <f t="shared" si="2"/>
        <v>10139</v>
      </c>
      <c r="T16" s="61">
        <f t="shared" si="2"/>
        <v>17766</v>
      </c>
      <c r="U16" s="39">
        <f t="shared" si="2"/>
        <v>41154</v>
      </c>
      <c r="V16" s="61">
        <f t="shared" si="2"/>
        <v>0</v>
      </c>
      <c r="W16" s="39">
        <f t="shared" si="2"/>
        <v>0</v>
      </c>
      <c r="X16" s="61">
        <f>SUM(X11:X15)</f>
        <v>-32390</v>
      </c>
      <c r="Y16" s="39">
        <f>SUM(Y11:Y15)</f>
        <v>-102595</v>
      </c>
      <c r="Z16" s="61">
        <f>SUM(Z11:Z15)</f>
        <v>-1</v>
      </c>
      <c r="AA16" s="39">
        <f>SUM(AA11:AA15)</f>
        <v>1344</v>
      </c>
      <c r="AB16" s="61">
        <f t="shared" si="1"/>
        <v>2</v>
      </c>
      <c r="AC16" s="39">
        <f t="shared" si="1"/>
        <v>5.77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1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1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-43066981</v>
      </c>
      <c r="E19" s="38">
        <f t="shared" si="3"/>
        <v>-117127210.48</v>
      </c>
      <c r="F19" s="64">
        <f>'TIE-OUT'!V19+RECLASS!T19</f>
        <v>0</v>
      </c>
      <c r="G19" s="68">
        <f>'TIE-OUT'!W19+RECLASS!U19</f>
        <v>0</v>
      </c>
      <c r="H19" s="126">
        <v>-43394171</v>
      </c>
      <c r="I19" s="126">
        <v>-118348146</v>
      </c>
      <c r="J19" s="126">
        <v>436193</v>
      </c>
      <c r="K19" s="191">
        <v>1264136</v>
      </c>
      <c r="L19" s="126">
        <v>-129664</v>
      </c>
      <c r="M19" s="127">
        <v>-188108</v>
      </c>
      <c r="N19" s="126">
        <v>46789</v>
      </c>
      <c r="O19" s="127">
        <v>84124</v>
      </c>
      <c r="P19" s="126">
        <v>-75363</v>
      </c>
      <c r="Q19" s="127">
        <v>-138828</v>
      </c>
      <c r="R19" s="126">
        <v>78858</v>
      </c>
      <c r="S19" s="127">
        <v>240150</v>
      </c>
      <c r="T19" s="126">
        <v>-67267</v>
      </c>
      <c r="U19" s="127">
        <v>-147718</v>
      </c>
      <c r="V19" s="126">
        <v>53411</v>
      </c>
      <c r="W19" s="127">
        <v>150441</v>
      </c>
      <c r="X19" s="126">
        <v>-64613</v>
      </c>
      <c r="Y19" s="127">
        <v>-182672</v>
      </c>
      <c r="Z19" s="126">
        <v>-1404</v>
      </c>
      <c r="AA19" s="127">
        <v>-4029</v>
      </c>
      <c r="AB19" s="126">
        <f>+Actuals!Y9</f>
        <v>0</v>
      </c>
      <c r="AC19" s="127">
        <f>+Actuals!Z9</f>
        <v>0</v>
      </c>
      <c r="AD19" s="126">
        <v>49911</v>
      </c>
      <c r="AE19" s="127">
        <v>141591.85</v>
      </c>
      <c r="AF19" s="126">
        <v>339</v>
      </c>
      <c r="AG19" s="127">
        <v>1847.67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-2663863.6</v>
      </c>
      <c r="F20" s="60">
        <f>'TIE-OUT'!V20+RECLASS!T20</f>
        <v>0</v>
      </c>
      <c r="G20" s="38">
        <f>'TIE-OUT'!W20+RECLASS!U20</f>
        <v>-2492123.79</v>
      </c>
      <c r="H20" s="126">
        <v>0</v>
      </c>
      <c r="I20" s="126">
        <v>0</v>
      </c>
      <c r="J20" s="126">
        <v>0</v>
      </c>
      <c r="K20" s="210">
        <f>-149794.81-21945</f>
        <v>-171739.81</v>
      </c>
      <c r="L20" s="126">
        <f>+Actuals!I10</f>
        <v>0</v>
      </c>
      <c r="M20" s="127">
        <f>+Actuals!J10</f>
        <v>0</v>
      </c>
      <c r="N20" s="126">
        <v>0</v>
      </c>
      <c r="O20" s="127">
        <v>0</v>
      </c>
      <c r="P20" s="126">
        <f>+Actuals!M10</f>
        <v>0</v>
      </c>
      <c r="Q20" s="127">
        <f>+Actuals!N10</f>
        <v>0</v>
      </c>
      <c r="R20" s="126"/>
      <c r="S20" s="127"/>
      <c r="T20" s="126"/>
      <c r="U20" s="127"/>
      <c r="V20" s="126"/>
      <c r="W20" s="127"/>
      <c r="X20" s="126"/>
      <c r="Y20" s="127"/>
      <c r="Z20" s="126"/>
      <c r="AA20" s="127"/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6">
        <v>0</v>
      </c>
      <c r="I21" s="126">
        <v>0</v>
      </c>
      <c r="J21" s="126">
        <v>0</v>
      </c>
      <c r="K21" s="191">
        <v>0</v>
      </c>
      <c r="L21" s="126">
        <f>+Actuals!I11</f>
        <v>0</v>
      </c>
      <c r="M21" s="127">
        <f>+Actuals!J11</f>
        <v>0</v>
      </c>
      <c r="N21" s="126">
        <v>0</v>
      </c>
      <c r="O21" s="127"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6">
        <v>0</v>
      </c>
      <c r="I22" s="126">
        <v>0</v>
      </c>
      <c r="J22" s="126">
        <v>0</v>
      </c>
      <c r="K22" s="191">
        <v>0</v>
      </c>
      <c r="L22" s="126">
        <f>+Actuals!I12</f>
        <v>0</v>
      </c>
      <c r="M22" s="127">
        <f>+Actuals!J12</f>
        <v>0</v>
      </c>
      <c r="N22" s="126">
        <v>0</v>
      </c>
      <c r="O22" s="127"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6">
        <v>0</v>
      </c>
      <c r="I23" s="126">
        <v>0</v>
      </c>
      <c r="J23" s="126">
        <v>0</v>
      </c>
      <c r="K23" s="191">
        <v>0</v>
      </c>
      <c r="L23" s="126">
        <f>+Actuals!I13</f>
        <v>0</v>
      </c>
      <c r="M23" s="127">
        <f>+Actuals!J13</f>
        <v>0</v>
      </c>
      <c r="N23" s="126">
        <v>0</v>
      </c>
      <c r="O23" s="127"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</row>
    <row r="24" spans="1:33" x14ac:dyDescent="0.25">
      <c r="A24" s="9"/>
      <c r="B24" s="7" t="s">
        <v>33</v>
      </c>
      <c r="C24" s="6"/>
      <c r="D24" s="61">
        <f>SUM(D19:D23)</f>
        <v>-43066981</v>
      </c>
      <c r="E24" s="39">
        <f>SUM(E19:E23)</f>
        <v>-119791074.08</v>
      </c>
      <c r="F24" s="61">
        <f t="shared" ref="F24:AE24" si="4">SUM(F19:F23)</f>
        <v>0</v>
      </c>
      <c r="G24" s="39">
        <f t="shared" si="4"/>
        <v>-2492123.79</v>
      </c>
      <c r="H24" s="61">
        <f t="shared" si="4"/>
        <v>-43394171</v>
      </c>
      <c r="I24" s="61">
        <f t="shared" si="4"/>
        <v>-118348146</v>
      </c>
      <c r="J24" s="61">
        <f t="shared" si="4"/>
        <v>436193</v>
      </c>
      <c r="K24" s="189">
        <f t="shared" si="4"/>
        <v>1092396.19</v>
      </c>
      <c r="L24" s="61">
        <f t="shared" si="4"/>
        <v>-129664</v>
      </c>
      <c r="M24" s="39">
        <f t="shared" si="4"/>
        <v>-188108</v>
      </c>
      <c r="N24" s="61">
        <f t="shared" si="4"/>
        <v>46789</v>
      </c>
      <c r="O24" s="39">
        <f t="shared" si="4"/>
        <v>84124</v>
      </c>
      <c r="P24" s="61">
        <f t="shared" si="4"/>
        <v>-75363</v>
      </c>
      <c r="Q24" s="39">
        <f t="shared" si="4"/>
        <v>-138828</v>
      </c>
      <c r="R24" s="61">
        <f t="shared" ref="R24:W24" si="5">SUM(R19:R23)</f>
        <v>78858</v>
      </c>
      <c r="S24" s="39">
        <f t="shared" si="5"/>
        <v>240150</v>
      </c>
      <c r="T24" s="61">
        <f t="shared" si="5"/>
        <v>-67267</v>
      </c>
      <c r="U24" s="39">
        <f t="shared" si="5"/>
        <v>-147718</v>
      </c>
      <c r="V24" s="61">
        <f t="shared" si="5"/>
        <v>53411</v>
      </c>
      <c r="W24" s="39">
        <f t="shared" si="5"/>
        <v>150441</v>
      </c>
      <c r="X24" s="61">
        <f>SUM(X19:X23)</f>
        <v>-64613</v>
      </c>
      <c r="Y24" s="39">
        <f>SUM(Y19:Y23)</f>
        <v>-182672</v>
      </c>
      <c r="Z24" s="61">
        <f>SUM(Z19:Z23)</f>
        <v>-1404</v>
      </c>
      <c r="AA24" s="39">
        <f>SUM(AA19:AA23)</f>
        <v>-4029</v>
      </c>
      <c r="AB24" s="61">
        <f t="shared" si="4"/>
        <v>0</v>
      </c>
      <c r="AC24" s="39">
        <f t="shared" si="4"/>
        <v>0</v>
      </c>
      <c r="AD24" s="61">
        <f t="shared" si="4"/>
        <v>49911</v>
      </c>
      <c r="AE24" s="39">
        <f t="shared" si="4"/>
        <v>141591.85</v>
      </c>
      <c r="AF24" s="61">
        <f>SUM(AF19:AF23)</f>
        <v>339</v>
      </c>
      <c r="AG24" s="39">
        <f>SUM(AG19:AG23)</f>
        <v>1847.67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1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1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15951537</v>
      </c>
      <c r="E27" s="38">
        <f>SUM(G27,I27,K27,M27,O27,Q27,S27,U27,W27,Y27,AA27,AC27,AE27,AG27)</f>
        <v>40704956</v>
      </c>
      <c r="F27" s="64">
        <f>'TIE-OUT'!V27+RECLASS!T27</f>
        <v>0</v>
      </c>
      <c r="G27" s="68">
        <f>'TIE-OUT'!W27+RECLASS!U27</f>
        <v>0</v>
      </c>
      <c r="H27" s="126">
        <f>9317069+122061</f>
        <v>9439130</v>
      </c>
      <c r="I27" s="126">
        <f>24039201+351020</f>
        <v>24390221</v>
      </c>
      <c r="J27" s="126">
        <f>5744557-4591</f>
        <v>5739966</v>
      </c>
      <c r="K27" s="191">
        <f>14748236-9785</f>
        <v>14738451</v>
      </c>
      <c r="L27" s="126">
        <v>-206</v>
      </c>
      <c r="M27" s="127">
        <v>-476</v>
      </c>
      <c r="N27" s="126">
        <v>763448</v>
      </c>
      <c r="O27" s="127">
        <v>1556188</v>
      </c>
      <c r="P27" s="126">
        <v>3406</v>
      </c>
      <c r="Q27" s="127">
        <v>6492</v>
      </c>
      <c r="R27" s="126">
        <v>-2781</v>
      </c>
      <c r="S27" s="127">
        <v>-5319</v>
      </c>
      <c r="T27" s="126">
        <v>10</v>
      </c>
      <c r="U27" s="127">
        <v>282</v>
      </c>
      <c r="V27" s="126">
        <v>8500</v>
      </c>
      <c r="W27" s="127">
        <v>18953</v>
      </c>
      <c r="X27" s="126">
        <v>3366</v>
      </c>
      <c r="Y27" s="127">
        <v>8634</v>
      </c>
      <c r="Z27" s="126">
        <v>-3302</v>
      </c>
      <c r="AA27" s="127">
        <v>-8470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-8334180</v>
      </c>
      <c r="E28" s="38">
        <f>SUM(G28,I28,K28,M28,O28,Q28,S28,U28,W28,Y28,AA28,AC28,AE28,AG28)</f>
        <v>-21027948</v>
      </c>
      <c r="F28" s="81">
        <f>'TIE-OUT'!V28+RECLASS!T28</f>
        <v>0</v>
      </c>
      <c r="G28" s="82">
        <f>'TIE-OUT'!W28+RECLASS!U28</f>
        <v>0</v>
      </c>
      <c r="H28" s="126">
        <v>-6544661</v>
      </c>
      <c r="I28" s="126">
        <v>-16842617</v>
      </c>
      <c r="J28" s="126">
        <f>-1033458-892</f>
        <v>-1034350</v>
      </c>
      <c r="K28" s="191">
        <f>-2650179-2596</f>
        <v>-2652775</v>
      </c>
      <c r="L28" s="126">
        <v>3490</v>
      </c>
      <c r="M28" s="127">
        <v>10152</v>
      </c>
      <c r="N28" s="126">
        <f>-236-763448</f>
        <v>-763684</v>
      </c>
      <c r="O28" s="127">
        <f>-609-1556188</f>
        <v>-1556797</v>
      </c>
      <c r="P28" s="126">
        <f>+Actuals!M15</f>
        <v>0</v>
      </c>
      <c r="Q28" s="127">
        <f>+Actuals!N15</f>
        <v>0</v>
      </c>
      <c r="R28" s="126">
        <v>25</v>
      </c>
      <c r="S28" s="127">
        <v>64</v>
      </c>
      <c r="T28" s="126"/>
      <c r="U28" s="127"/>
      <c r="V28" s="126"/>
      <c r="W28" s="127"/>
      <c r="X28" s="126"/>
      <c r="Y28" s="127"/>
      <c r="Z28" s="126"/>
      <c r="AA28" s="127"/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v>5000</v>
      </c>
      <c r="AG28" s="127">
        <v>14025</v>
      </c>
    </row>
    <row r="29" spans="1:33" x14ac:dyDescent="0.25">
      <c r="A29" s="9"/>
      <c r="B29" s="7" t="s">
        <v>37</v>
      </c>
      <c r="C29" s="18"/>
      <c r="D29" s="61">
        <f>SUM(D27:D28)</f>
        <v>7617357</v>
      </c>
      <c r="E29" s="39">
        <f>SUM(E27:E28)</f>
        <v>19677008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2894469</v>
      </c>
      <c r="I29" s="61">
        <f t="shared" si="6"/>
        <v>7547604</v>
      </c>
      <c r="J29" s="61">
        <f t="shared" si="6"/>
        <v>4705616</v>
      </c>
      <c r="K29" s="189">
        <f t="shared" si="6"/>
        <v>12085676</v>
      </c>
      <c r="L29" s="61">
        <f t="shared" si="6"/>
        <v>3284</v>
      </c>
      <c r="M29" s="39">
        <f t="shared" si="6"/>
        <v>9676</v>
      </c>
      <c r="N29" s="61">
        <f t="shared" si="6"/>
        <v>-236</v>
      </c>
      <c r="O29" s="39">
        <f t="shared" si="6"/>
        <v>-609</v>
      </c>
      <c r="P29" s="61">
        <f t="shared" si="6"/>
        <v>3406</v>
      </c>
      <c r="Q29" s="39">
        <f t="shared" si="6"/>
        <v>6492</v>
      </c>
      <c r="R29" s="61">
        <f t="shared" ref="R29:W29" si="7">SUM(R27:R28)</f>
        <v>-2756</v>
      </c>
      <c r="S29" s="39">
        <f t="shared" si="7"/>
        <v>-5255</v>
      </c>
      <c r="T29" s="61">
        <f t="shared" si="7"/>
        <v>10</v>
      </c>
      <c r="U29" s="39">
        <f t="shared" si="7"/>
        <v>282</v>
      </c>
      <c r="V29" s="61">
        <f t="shared" si="7"/>
        <v>8500</v>
      </c>
      <c r="W29" s="39">
        <f t="shared" si="7"/>
        <v>18953</v>
      </c>
      <c r="X29" s="61">
        <f>SUM(X27:X28)</f>
        <v>3366</v>
      </c>
      <c r="Y29" s="39">
        <f>SUM(Y27:Y28)</f>
        <v>8634</v>
      </c>
      <c r="Z29" s="61">
        <f>SUM(Z27:Z28)</f>
        <v>-3302</v>
      </c>
      <c r="AA29" s="39">
        <f>SUM(AA27:AA28)</f>
        <v>-8470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5000</v>
      </c>
      <c r="AG29" s="39">
        <f>SUM(AG27:AG28)</f>
        <v>14025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1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1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-109802</v>
      </c>
      <c r="E32" s="38">
        <f t="shared" si="8"/>
        <v>-314912.90000000002</v>
      </c>
      <c r="F32" s="64">
        <f>'TIE-OUT'!V32+RECLASS!T32</f>
        <v>0</v>
      </c>
      <c r="G32" s="68">
        <f>'TIE-OUT'!W32+RECLASS!U32</f>
        <v>0</v>
      </c>
      <c r="H32" s="126">
        <v>0</v>
      </c>
      <c r="I32" s="126">
        <v>0</v>
      </c>
      <c r="J32" s="126">
        <v>-175798</v>
      </c>
      <c r="K32" s="191">
        <v>-477292</v>
      </c>
      <c r="L32" s="126">
        <v>4958</v>
      </c>
      <c r="M32" s="127">
        <v>53438</v>
      </c>
      <c r="N32" s="126">
        <v>61054</v>
      </c>
      <c r="O32" s="127">
        <v>108988</v>
      </c>
      <c r="P32" s="126">
        <v>-38060</v>
      </c>
      <c r="Q32" s="127">
        <v>-109156</v>
      </c>
      <c r="R32" s="126">
        <v>66974</v>
      </c>
      <c r="S32" s="127">
        <v>192081</v>
      </c>
      <c r="T32" s="126">
        <v>-65621</v>
      </c>
      <c r="U32" s="127">
        <v>-188201</v>
      </c>
      <c r="V32" s="126">
        <v>18110</v>
      </c>
      <c r="W32" s="127">
        <v>51939</v>
      </c>
      <c r="X32" s="126">
        <v>36131</v>
      </c>
      <c r="Y32" s="127">
        <v>103624</v>
      </c>
      <c r="Z32" s="126">
        <v>-29678</v>
      </c>
      <c r="AA32" s="127">
        <v>-85117</v>
      </c>
      <c r="AB32" s="126">
        <v>5109</v>
      </c>
      <c r="AC32" s="127">
        <v>14652.61</v>
      </c>
      <c r="AD32" s="126">
        <v>609</v>
      </c>
      <c r="AE32" s="127">
        <v>1746.61</v>
      </c>
      <c r="AF32" s="126">
        <v>6410</v>
      </c>
      <c r="AG32" s="127">
        <v>18383.88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6">
        <v>0</v>
      </c>
      <c r="I33" s="126">
        <v>0</v>
      </c>
      <c r="J33" s="126">
        <v>0</v>
      </c>
      <c r="K33" s="191">
        <v>0</v>
      </c>
      <c r="L33" s="126">
        <f>+Actuals!I17</f>
        <v>0</v>
      </c>
      <c r="M33" s="127">
        <f>+Actuals!J17</f>
        <v>0</v>
      </c>
      <c r="N33" s="126">
        <v>0</v>
      </c>
      <c r="O33" s="127">
        <v>0</v>
      </c>
      <c r="P33" s="126">
        <f>+Actuals!M17</f>
        <v>0</v>
      </c>
      <c r="Q33" s="127">
        <f>+Actuals!N17</f>
        <v>0</v>
      </c>
      <c r="R33" s="126"/>
      <c r="S33" s="127"/>
      <c r="T33" s="126"/>
      <c r="U33" s="127"/>
      <c r="V33" s="126"/>
      <c r="W33" s="127"/>
      <c r="X33" s="126"/>
      <c r="Y33" s="127"/>
      <c r="Z33" s="126"/>
      <c r="AA33" s="127"/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6">
        <v>0</v>
      </c>
      <c r="I34" s="126">
        <v>0</v>
      </c>
      <c r="J34" s="126">
        <v>0</v>
      </c>
      <c r="K34" s="191">
        <v>0</v>
      </c>
      <c r="L34" s="126">
        <f>+Actuals!I18</f>
        <v>0</v>
      </c>
      <c r="M34" s="127">
        <f>+Actuals!J18</f>
        <v>0</v>
      </c>
      <c r="N34" s="126">
        <v>0</v>
      </c>
      <c r="O34" s="127"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6">
        <v>0</v>
      </c>
      <c r="I35" s="126">
        <v>0</v>
      </c>
      <c r="J35" s="126">
        <v>0</v>
      </c>
      <c r="K35" s="191">
        <v>0</v>
      </c>
      <c r="L35" s="126">
        <f>+Actuals!I19</f>
        <v>0</v>
      </c>
      <c r="M35" s="127">
        <f>+Actuals!J19</f>
        <v>0</v>
      </c>
      <c r="N35" s="126">
        <v>0</v>
      </c>
      <c r="O35" s="127"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</row>
    <row r="36" spans="1:33" x14ac:dyDescent="0.25">
      <c r="A36" s="9"/>
      <c r="B36" s="7" t="s">
        <v>43</v>
      </c>
      <c r="C36" s="6"/>
      <c r="D36" s="61">
        <f>SUM(D32:D35)</f>
        <v>-109802</v>
      </c>
      <c r="E36" s="39">
        <f>SUM(E32:E35)</f>
        <v>-314912.90000000002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-175798</v>
      </c>
      <c r="K36" s="189">
        <f t="shared" si="9"/>
        <v>-477292</v>
      </c>
      <c r="L36" s="61">
        <f t="shared" si="9"/>
        <v>4958</v>
      </c>
      <c r="M36" s="39">
        <f t="shared" si="9"/>
        <v>53438</v>
      </c>
      <c r="N36" s="61">
        <f t="shared" si="9"/>
        <v>61054</v>
      </c>
      <c r="O36" s="39">
        <f t="shared" si="9"/>
        <v>108988</v>
      </c>
      <c r="P36" s="61">
        <f t="shared" si="9"/>
        <v>-38060</v>
      </c>
      <c r="Q36" s="39">
        <f t="shared" si="9"/>
        <v>-109156</v>
      </c>
      <c r="R36" s="61">
        <f t="shared" ref="R36:W36" si="10">SUM(R32:R35)</f>
        <v>66974</v>
      </c>
      <c r="S36" s="39">
        <f t="shared" si="10"/>
        <v>192081</v>
      </c>
      <c r="T36" s="61">
        <f t="shared" si="10"/>
        <v>-65621</v>
      </c>
      <c r="U36" s="39">
        <f t="shared" si="10"/>
        <v>-188201</v>
      </c>
      <c r="V36" s="61">
        <f t="shared" si="10"/>
        <v>18110</v>
      </c>
      <c r="W36" s="39">
        <f t="shared" si="10"/>
        <v>51939</v>
      </c>
      <c r="X36" s="61">
        <f>SUM(X32:X35)</f>
        <v>36131</v>
      </c>
      <c r="Y36" s="39">
        <f>SUM(Y32:Y35)</f>
        <v>103624</v>
      </c>
      <c r="Z36" s="61">
        <f>SUM(Z32:Z35)</f>
        <v>-29678</v>
      </c>
      <c r="AA36" s="39">
        <f>SUM(AA32:AA35)</f>
        <v>-85117</v>
      </c>
      <c r="AB36" s="61">
        <f t="shared" si="9"/>
        <v>5109</v>
      </c>
      <c r="AC36" s="39">
        <f t="shared" si="9"/>
        <v>14652.61</v>
      </c>
      <c r="AD36" s="61">
        <f t="shared" si="9"/>
        <v>609</v>
      </c>
      <c r="AE36" s="39">
        <f t="shared" si="9"/>
        <v>1746.61</v>
      </c>
      <c r="AF36" s="61">
        <f>SUM(AF32:AF35)</f>
        <v>6410</v>
      </c>
      <c r="AG36" s="39">
        <f>SUM(AG32:AG35)</f>
        <v>18383.88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1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1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885840</v>
      </c>
      <c r="E39" s="38">
        <f t="shared" si="11"/>
        <v>2603573</v>
      </c>
      <c r="F39" s="64">
        <f>'TIE-OUT'!V39+RECLASS!T39</f>
        <v>0</v>
      </c>
      <c r="G39" s="68">
        <f>'TIE-OUT'!W39+RECLASS!U39</f>
        <v>0</v>
      </c>
      <c r="H39" s="126">
        <v>0</v>
      </c>
      <c r="I39" s="126">
        <v>0</v>
      </c>
      <c r="J39" s="126">
        <v>883796</v>
      </c>
      <c r="K39" s="191">
        <v>2611087</v>
      </c>
      <c r="L39" s="126">
        <f>+Actuals!I20</f>
        <v>0</v>
      </c>
      <c r="M39" s="127">
        <f>+Actuals!J20</f>
        <v>0</v>
      </c>
      <c r="N39" s="126">
        <v>0</v>
      </c>
      <c r="O39" s="127">
        <v>-13522</v>
      </c>
      <c r="P39" s="126">
        <v>2044</v>
      </c>
      <c r="Q39" s="127">
        <v>6008</v>
      </c>
      <c r="R39" s="126"/>
      <c r="S39" s="127"/>
      <c r="T39" s="126"/>
      <c r="U39" s="127"/>
      <c r="V39" s="126"/>
      <c r="W39" s="127"/>
      <c r="X39" s="126"/>
      <c r="Y39" s="127"/>
      <c r="Z39" s="126"/>
      <c r="AA39" s="127"/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6">
        <v>0</v>
      </c>
      <c r="I40" s="126">
        <v>0</v>
      </c>
      <c r="J40" s="126">
        <v>0</v>
      </c>
      <c r="K40" s="191">
        <v>0</v>
      </c>
      <c r="L40" s="126">
        <f>+Actuals!I21</f>
        <v>0</v>
      </c>
      <c r="M40" s="127">
        <f>+Actuals!J21</f>
        <v>0</v>
      </c>
      <c r="N40" s="126">
        <v>0</v>
      </c>
      <c r="O40" s="127"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-88952</v>
      </c>
      <c r="F41" s="81">
        <f>'TIE-OUT'!V41+RECLASS!T41</f>
        <v>0</v>
      </c>
      <c r="G41" s="82">
        <f>'TIE-OUT'!W41+RECLASS!U41</f>
        <v>0</v>
      </c>
      <c r="H41" s="126">
        <v>0</v>
      </c>
      <c r="I41" s="126">
        <v>0</v>
      </c>
      <c r="J41" s="126">
        <v>0</v>
      </c>
      <c r="K41" s="191">
        <v>0</v>
      </c>
      <c r="L41" s="126">
        <f>+Actuals!I22</f>
        <v>0</v>
      </c>
      <c r="M41" s="127">
        <f>+Actuals!J22</f>
        <v>0</v>
      </c>
      <c r="N41" s="126">
        <v>0</v>
      </c>
      <c r="O41" s="127"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56">
        <v>-88952</v>
      </c>
      <c r="V41" s="126">
        <f>+Actuals!S22</f>
        <v>0</v>
      </c>
      <c r="W41" s="127"/>
      <c r="X41" s="126">
        <f>+Actuals!U22</f>
        <v>0</v>
      </c>
      <c r="Y41" s="127"/>
      <c r="Z41" s="126">
        <f>+Actuals!W22</f>
        <v>0</v>
      </c>
      <c r="AA41" s="127"/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</row>
    <row r="42" spans="1:3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-88952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8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-88952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885840</v>
      </c>
      <c r="E43" s="39">
        <f>E42+E39</f>
        <v>2514621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883796</v>
      </c>
      <c r="K43" s="189">
        <f t="shared" si="14"/>
        <v>2611087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-13522</v>
      </c>
      <c r="P43" s="61">
        <f t="shared" si="14"/>
        <v>2044</v>
      </c>
      <c r="Q43" s="39">
        <f t="shared" si="14"/>
        <v>6008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-88952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1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'TIE-OUT'!V45+RECLASS!T45</f>
        <v>0</v>
      </c>
      <c r="G45" s="68">
        <f>'TIE-OUT'!W45+RECLASS!U45</f>
        <v>0</v>
      </c>
      <c r="H45" s="126">
        <v>0</v>
      </c>
      <c r="I45" s="126">
        <v>0</v>
      </c>
      <c r="J45" s="126">
        <v>0</v>
      </c>
      <c r="K45" s="191">
        <v>0</v>
      </c>
      <c r="L45" s="126">
        <f>+Actuals!I23</f>
        <v>0</v>
      </c>
      <c r="M45" s="127">
        <f>+Actuals!J23</f>
        <v>0</v>
      </c>
      <c r="N45" s="126">
        <v>0</v>
      </c>
      <c r="O45" s="127"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1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'TIE-OUT'!V47+RECLASS!T47</f>
        <v>0</v>
      </c>
      <c r="G47" s="38">
        <f>'TIE-OUT'!W47+RECLASS!U47</f>
        <v>0</v>
      </c>
      <c r="H47" s="126">
        <v>0</v>
      </c>
      <c r="I47" s="126">
        <v>0</v>
      </c>
      <c r="J47" s="126">
        <v>0</v>
      </c>
      <c r="K47" s="191">
        <v>0</v>
      </c>
      <c r="L47" s="126">
        <f>+Actuals!I24</f>
        <v>0</v>
      </c>
      <c r="M47" s="127">
        <v>0</v>
      </c>
      <c r="N47" s="126">
        <v>0</v>
      </c>
      <c r="O47" s="127">
        <v>0</v>
      </c>
      <c r="P47" s="126">
        <f>+Actuals!M24</f>
        <v>0</v>
      </c>
      <c r="Q47" s="127">
        <f>+Actuals!N24</f>
        <v>0</v>
      </c>
      <c r="R47" s="126"/>
      <c r="S47" s="127"/>
      <c r="T47" s="126"/>
      <c r="U47" s="127"/>
      <c r="V47" s="126"/>
      <c r="W47" s="127"/>
      <c r="X47" s="126"/>
      <c r="Y47" s="127"/>
      <c r="Z47" s="126"/>
      <c r="AA47" s="127"/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1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142665</v>
      </c>
      <c r="E49" s="38">
        <f>SUM(G49,I49,K49,M49,O49,Q49,S49,U49,W49,Y49,AA49,AC49,AE49,AG49)</f>
        <v>387336.29000000004</v>
      </c>
      <c r="F49" s="60">
        <f>'TIE-OUT'!V49+RECLASS!T49</f>
        <v>0</v>
      </c>
      <c r="G49" s="38">
        <f>'TIE-OUT'!W49+RECLASS!U49</f>
        <v>0</v>
      </c>
      <c r="H49" s="126">
        <v>6184018</v>
      </c>
      <c r="I49" s="126">
        <v>17735764</v>
      </c>
      <c r="J49" s="126">
        <v>-6062112</v>
      </c>
      <c r="K49" s="191">
        <v>-17404789</v>
      </c>
      <c r="L49" s="126">
        <v>107667</v>
      </c>
      <c r="M49" s="127">
        <v>292316</v>
      </c>
      <c r="N49" s="126">
        <v>-72020</v>
      </c>
      <c r="O49" s="127">
        <v>-195534</v>
      </c>
      <c r="P49" s="126">
        <v>72067</v>
      </c>
      <c r="Q49" s="127">
        <v>195662</v>
      </c>
      <c r="R49" s="126">
        <v>-146557</v>
      </c>
      <c r="S49" s="127">
        <v>-397902</v>
      </c>
      <c r="T49" s="126">
        <v>115112</v>
      </c>
      <c r="U49" s="127">
        <v>312529</v>
      </c>
      <c r="V49" s="126">
        <v>-80021</v>
      </c>
      <c r="W49" s="127">
        <v>-217257</v>
      </c>
      <c r="X49" s="126">
        <v>57506</v>
      </c>
      <c r="Y49" s="127">
        <v>156129</v>
      </c>
      <c r="Z49" s="126">
        <v>34385</v>
      </c>
      <c r="AA49" s="127">
        <v>93355</v>
      </c>
      <c r="AB49" s="126">
        <v>-5111</v>
      </c>
      <c r="AC49" s="127">
        <v>-13876.37</v>
      </c>
      <c r="AD49" s="126">
        <v>-50520</v>
      </c>
      <c r="AE49" s="127">
        <v>-137161.79999999999</v>
      </c>
      <c r="AF49" s="126">
        <v>-11749</v>
      </c>
      <c r="AG49" s="127">
        <v>-31898.54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1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'TIE-OUT'!V51+RECLASS!T51</f>
        <v>0</v>
      </c>
      <c r="G51" s="38">
        <f>'TIE-OUT'!W51+RECLASS!U51</f>
        <v>0</v>
      </c>
      <c r="H51" s="126">
        <v>0</v>
      </c>
      <c r="I51" s="126">
        <v>0</v>
      </c>
      <c r="J51" s="126">
        <f>-168329+168329</f>
        <v>0</v>
      </c>
      <c r="K51" s="191">
        <f>-441022+441022</f>
        <v>0</v>
      </c>
      <c r="L51" s="126">
        <f>+Actuals!I26</f>
        <v>0</v>
      </c>
      <c r="M51" s="127">
        <f>+Actuals!J26</f>
        <v>0</v>
      </c>
      <c r="N51" s="126">
        <v>0</v>
      </c>
      <c r="O51" s="127"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1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1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-62435</v>
      </c>
      <c r="E54" s="38">
        <f>SUM(G54,I54,K54,M54,O54,Q54,S54,U54,W54,Y54,AA54,AC54,AE54,AG54)</f>
        <v>-1463525.93</v>
      </c>
      <c r="F54" s="64">
        <f>'TIE-OUT'!V54+RECLASS!T54</f>
        <v>0</v>
      </c>
      <c r="G54" s="68">
        <f>'TIE-OUT'!W54+RECLASS!U54</f>
        <v>0</v>
      </c>
      <c r="H54" s="126">
        <v>0</v>
      </c>
      <c r="I54" s="126">
        <v>-1251635</v>
      </c>
      <c r="J54" s="126">
        <f>-2980308+2980308</f>
        <v>0</v>
      </c>
      <c r="K54" s="191">
        <f>137288-137288</f>
        <v>0</v>
      </c>
      <c r="L54" s="126">
        <f>+Actuals!I27</f>
        <v>0</v>
      </c>
      <c r="M54" s="127">
        <f>+Actuals!J27</f>
        <v>0</v>
      </c>
      <c r="N54" s="126">
        <v>0</v>
      </c>
      <c r="O54" s="153">
        <v>-35917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+Actuals!V27-167774</f>
        <v>-167774</v>
      </c>
      <c r="Z54" s="126">
        <f>+Actuals!W27</f>
        <v>0</v>
      </c>
      <c r="AA54" s="127">
        <v>0</v>
      </c>
      <c r="AB54" s="126">
        <v>-85490</v>
      </c>
      <c r="AC54" s="127">
        <v>-2648.14</v>
      </c>
      <c r="AD54" s="126">
        <f>+Actuals!AA27</f>
        <v>0</v>
      </c>
      <c r="AE54" s="127">
        <v>-771.46</v>
      </c>
      <c r="AF54" s="126">
        <v>23055</v>
      </c>
      <c r="AG54" s="127">
        <v>-4780.33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2998.89</v>
      </c>
      <c r="F55" s="81">
        <f>'TIE-OUT'!V55+RECLASS!T55</f>
        <v>0</v>
      </c>
      <c r="G55" s="82">
        <f>'TIE-OUT'!W55+RECLASS!U55</f>
        <v>0</v>
      </c>
      <c r="H55" s="126">
        <v>0</v>
      </c>
      <c r="I55" s="126">
        <v>0</v>
      </c>
      <c r="J55" s="126">
        <v>0</v>
      </c>
      <c r="K55" s="191">
        <v>0</v>
      </c>
      <c r="L55" s="126">
        <f>+Actuals!I28</f>
        <v>0</v>
      </c>
      <c r="M55" s="127">
        <f>+Actuals!J28</f>
        <v>0</v>
      </c>
      <c r="N55" s="126">
        <v>0</v>
      </c>
      <c r="O55" s="127"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v>2998.89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</row>
    <row r="56" spans="1:33" x14ac:dyDescent="0.25">
      <c r="A56" s="9"/>
      <c r="B56" s="7" t="s">
        <v>57</v>
      </c>
      <c r="C56" s="6"/>
      <c r="D56" s="61">
        <f>SUM(D54:D55)</f>
        <v>-62435</v>
      </c>
      <c r="E56" s="39">
        <f>SUM(E54:E55)</f>
        <v>-1460527.04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-1251635</v>
      </c>
      <c r="J56" s="61">
        <f t="shared" si="16"/>
        <v>0</v>
      </c>
      <c r="K56" s="18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-35917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-167774</v>
      </c>
      <c r="Z56" s="61">
        <f>SUM(Z54:Z55)</f>
        <v>0</v>
      </c>
      <c r="AA56" s="39">
        <f>SUM(AA54:AA55)</f>
        <v>0</v>
      </c>
      <c r="AB56" s="61">
        <f t="shared" si="16"/>
        <v>-85490</v>
      </c>
      <c r="AC56" s="39">
        <f t="shared" si="16"/>
        <v>350.75</v>
      </c>
      <c r="AD56" s="61">
        <f t="shared" si="16"/>
        <v>0</v>
      </c>
      <c r="AE56" s="39">
        <f t="shared" si="16"/>
        <v>-771.46</v>
      </c>
      <c r="AF56" s="61">
        <f>SUM(AF54:AF55)</f>
        <v>23055</v>
      </c>
      <c r="AG56" s="39">
        <f>SUM(AG54:AG55)</f>
        <v>-4780.33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1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1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'TIE-OUT'!V59+RECLASS!T59</f>
        <v>0</v>
      </c>
      <c r="G59" s="68">
        <f>'TIE-OUT'!W59+RECLASS!U59</f>
        <v>0</v>
      </c>
      <c r="H59" s="126">
        <v>0</v>
      </c>
      <c r="I59" s="126">
        <v>0</v>
      </c>
      <c r="J59" s="126">
        <f>4794416-4794416</f>
        <v>0</v>
      </c>
      <c r="K59" s="191">
        <f>29830-29830</f>
        <v>0</v>
      </c>
      <c r="L59" s="126">
        <f>+Actuals!I29</f>
        <v>0</v>
      </c>
      <c r="M59" s="127">
        <f>+Actuals!J29</f>
        <v>0</v>
      </c>
      <c r="N59" s="126">
        <v>0</v>
      </c>
      <c r="O59" s="127"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'TIE-OUT'!V60+RECLASS!T60</f>
        <v>0</v>
      </c>
      <c r="G60" s="82">
        <f>'TIE-OUT'!W60+RECLASS!U60</f>
        <v>0</v>
      </c>
      <c r="H60" s="126">
        <v>0</v>
      </c>
      <c r="I60" s="126">
        <f>123262-123262</f>
        <v>0</v>
      </c>
      <c r="J60" s="126">
        <v>0</v>
      </c>
      <c r="K60" s="191">
        <f>123262-123262</f>
        <v>0</v>
      </c>
      <c r="L60" s="126">
        <f>+Actuals!I30</f>
        <v>0</v>
      </c>
      <c r="M60" s="127">
        <f>+Actuals!J30</f>
        <v>0</v>
      </c>
      <c r="N60" s="126">
        <v>0</v>
      </c>
      <c r="O60" s="127"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</row>
    <row r="61" spans="1:33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8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1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1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317010</v>
      </c>
      <c r="E64" s="38">
        <f>SUM(G64,I64,K64,M64,O64,Q64,S64,U64,W64,Y64,AA64,AC64,AE64,AG64)</f>
        <v>0</v>
      </c>
      <c r="F64" s="64">
        <f>'TIE-OUT'!V64+RECLASS!T64</f>
        <v>0</v>
      </c>
      <c r="G64" s="68">
        <f>'TIE-OUT'!W64+RECLASS!U64</f>
        <v>0</v>
      </c>
      <c r="H64" s="126">
        <v>0</v>
      </c>
      <c r="I64" s="126">
        <v>0</v>
      </c>
      <c r="J64" s="126">
        <v>317010</v>
      </c>
      <c r="K64" s="191">
        <f>2627-2627</f>
        <v>0</v>
      </c>
      <c r="L64" s="126">
        <f>+Actuals!I31</f>
        <v>0</v>
      </c>
      <c r="M64" s="127">
        <f>+Actuals!J31</f>
        <v>0</v>
      </c>
      <c r="N64" s="126">
        <v>0</v>
      </c>
      <c r="O64" s="127">
        <v>0</v>
      </c>
      <c r="P64" s="126">
        <f>+Actuals!M31</f>
        <v>0</v>
      </c>
      <c r="Q64" s="127">
        <f>+Actuals!N31</f>
        <v>0</v>
      </c>
      <c r="R64" s="126"/>
      <c r="S64" s="127"/>
      <c r="T64" s="126"/>
      <c r="U64" s="127"/>
      <c r="V64" s="126"/>
      <c r="W64" s="127"/>
      <c r="X64" s="126"/>
      <c r="Y64" s="127"/>
      <c r="Z64" s="126"/>
      <c r="AA64" s="127"/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60000</v>
      </c>
      <c r="F65" s="81">
        <f>'TIE-OUT'!V65+RECLASS!T65</f>
        <v>0</v>
      </c>
      <c r="G65" s="82">
        <f>'TIE-OUT'!W65+RECLASS!U65</f>
        <v>0</v>
      </c>
      <c r="H65" s="126">
        <v>0</v>
      </c>
      <c r="I65" s="126">
        <v>60000</v>
      </c>
      <c r="J65" s="126">
        <v>0</v>
      </c>
      <c r="K65" s="191">
        <v>0</v>
      </c>
      <c r="L65" s="126">
        <f>+Actuals!I32</f>
        <v>0</v>
      </c>
      <c r="M65" s="127">
        <f>+Actuals!J32</f>
        <v>0</v>
      </c>
      <c r="N65" s="126">
        <v>0</v>
      </c>
      <c r="O65" s="127"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</row>
    <row r="66" spans="1:33" x14ac:dyDescent="0.25">
      <c r="A66" s="9"/>
      <c r="B66" s="7" t="s">
        <v>64</v>
      </c>
      <c r="C66" s="6"/>
      <c r="D66" s="61">
        <f>SUM(D64:D65)</f>
        <v>317010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317010</v>
      </c>
      <c r="K66" s="18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1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1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1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'TIE-OUT'!V70+RECLASS!T70</f>
        <v>0</v>
      </c>
      <c r="G70" s="68">
        <f>'TIE-OUT'!W70+RECLASS!U70</f>
        <v>0</v>
      </c>
      <c r="H70" s="126">
        <v>0</v>
      </c>
      <c r="I70" s="126">
        <v>0</v>
      </c>
      <c r="J70" s="126">
        <v>0</v>
      </c>
      <c r="K70" s="191">
        <v>0</v>
      </c>
      <c r="L70" s="126">
        <f>+Actuals!I33</f>
        <v>0</v>
      </c>
      <c r="M70" s="127">
        <f>+Actuals!J33</f>
        <v>0</v>
      </c>
      <c r="N70" s="126">
        <v>0</v>
      </c>
      <c r="O70" s="127"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'TIE-OUT'!V71+RECLASS!T71</f>
        <v>0</v>
      </c>
      <c r="G71" s="82">
        <f>'TIE-OUT'!W71+RECLASS!U71</f>
        <v>0</v>
      </c>
      <c r="H71" s="126">
        <v>0</v>
      </c>
      <c r="I71" s="126">
        <v>0</v>
      </c>
      <c r="J71" s="126">
        <v>0</v>
      </c>
      <c r="K71" s="191">
        <v>0</v>
      </c>
      <c r="L71" s="126">
        <f>+Actuals!I34</f>
        <v>0</v>
      </c>
      <c r="M71" s="127">
        <f>+Actuals!J34</f>
        <v>0</v>
      </c>
      <c r="N71" s="126">
        <v>0</v>
      </c>
      <c r="O71" s="127"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8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'TIE-OUT'!V73+RECLASS!T73</f>
        <v>0</v>
      </c>
      <c r="G73" s="60">
        <f>'TIE-OUT'!W73+RECLASS!U73</f>
        <v>0</v>
      </c>
      <c r="H73" s="126">
        <v>0</v>
      </c>
      <c r="I73" s="126">
        <v>0</v>
      </c>
      <c r="J73" s="126">
        <v>0</v>
      </c>
      <c r="K73" s="191">
        <v>0</v>
      </c>
      <c r="L73" s="126">
        <f>+Actuals!I35</f>
        <v>0</v>
      </c>
      <c r="M73" s="127">
        <f>+Actuals!J35</f>
        <v>0</v>
      </c>
      <c r="N73" s="126">
        <v>0</v>
      </c>
      <c r="O73" s="127"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112120</v>
      </c>
      <c r="F74" s="60">
        <f>'TIE-OUT'!V74+RECLASS!T74</f>
        <v>0</v>
      </c>
      <c r="G74" s="60">
        <f>'TIE-OUT'!W74+RECLASS!U74</f>
        <v>112120</v>
      </c>
      <c r="H74" s="126">
        <v>0</v>
      </c>
      <c r="I74" s="126">
        <v>0</v>
      </c>
      <c r="J74" s="126">
        <v>0</v>
      </c>
      <c r="K74" s="191">
        <v>0</v>
      </c>
      <c r="L74" s="126">
        <f>+Actuals!I36</f>
        <v>0</v>
      </c>
      <c r="M74" s="127">
        <f>+Actuals!J36</f>
        <v>0</v>
      </c>
      <c r="N74" s="126">
        <v>0</v>
      </c>
      <c r="O74" s="127"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'TIE-OUT'!V75+RECLASS!T75</f>
        <v>0</v>
      </c>
      <c r="G75" s="60">
        <f>'TIE-OUT'!W75+RECLASS!U75</f>
        <v>0</v>
      </c>
      <c r="H75" s="126">
        <v>0</v>
      </c>
      <c r="I75" s="126">
        <v>0</v>
      </c>
      <c r="J75" s="126">
        <v>0</v>
      </c>
      <c r="K75" s="191">
        <v>0</v>
      </c>
      <c r="L75" s="126">
        <f>+Actuals!I37</f>
        <v>0</v>
      </c>
      <c r="M75" s="127">
        <f>+Actuals!J37</f>
        <v>0</v>
      </c>
      <c r="N75" s="126">
        <v>0</v>
      </c>
      <c r="O75" s="127"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'TIE-OUT'!V76+RECLASS!T76</f>
        <v>0</v>
      </c>
      <c r="G76" s="60">
        <f>'TIE-OUT'!W76+RECLASS!U76</f>
        <v>0</v>
      </c>
      <c r="H76" s="126">
        <v>0</v>
      </c>
      <c r="I76" s="126">
        <v>0</v>
      </c>
      <c r="J76" s="126">
        <v>0</v>
      </c>
      <c r="K76" s="191">
        <v>0</v>
      </c>
      <c r="L76" s="126">
        <f>+Actuals!I38</f>
        <v>0</v>
      </c>
      <c r="M76" s="127">
        <f>+Actuals!J38</f>
        <v>0</v>
      </c>
      <c r="N76" s="126">
        <v>0</v>
      </c>
      <c r="O76" s="127"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'TIE-OUT'!V77+RECLASS!T77</f>
        <v>0</v>
      </c>
      <c r="G77" s="60">
        <f>'TIE-OUT'!W77+RECLASS!U77</f>
        <v>0</v>
      </c>
      <c r="H77" s="126">
        <v>0</v>
      </c>
      <c r="I77" s="126">
        <v>0</v>
      </c>
      <c r="J77" s="126">
        <v>0</v>
      </c>
      <c r="K77" s="191">
        <v>0</v>
      </c>
      <c r="L77" s="126">
        <f>+Actuals!I39</f>
        <v>0</v>
      </c>
      <c r="M77" s="127">
        <f>+Actuals!J39</f>
        <v>0</v>
      </c>
      <c r="N77" s="126">
        <v>0</v>
      </c>
      <c r="O77" s="127"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'TIE-OUT'!V78+RECLASS!T78</f>
        <v>0</v>
      </c>
      <c r="G78" s="60">
        <f>'TIE-OUT'!W78+RECLASS!U78</f>
        <v>0</v>
      </c>
      <c r="H78" s="126">
        <v>0</v>
      </c>
      <c r="I78" s="126">
        <v>0</v>
      </c>
      <c r="J78" s="126">
        <v>0</v>
      </c>
      <c r="K78" s="191">
        <v>0</v>
      </c>
      <c r="L78" s="126">
        <f>+Actuals!I40</f>
        <v>0</v>
      </c>
      <c r="M78" s="127">
        <f>+Actuals!J40</f>
        <v>0</v>
      </c>
      <c r="N78" s="126">
        <v>0</v>
      </c>
      <c r="O78" s="127"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'TIE-OUT'!V79+RECLASS!T79</f>
        <v>0</v>
      </c>
      <c r="G79" s="60">
        <f>'TIE-OUT'!W79+RECLASS!U79</f>
        <v>0</v>
      </c>
      <c r="H79" s="126">
        <v>0</v>
      </c>
      <c r="I79" s="126">
        <v>0</v>
      </c>
      <c r="J79" s="126">
        <v>0</v>
      </c>
      <c r="K79" s="191">
        <v>0</v>
      </c>
      <c r="L79" s="126">
        <f>+Actuals!I41</f>
        <v>0</v>
      </c>
      <c r="M79" s="127">
        <f>+Actuals!J41</f>
        <v>0</v>
      </c>
      <c r="N79" s="126">
        <v>0</v>
      </c>
      <c r="O79" s="127"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'TIE-OUT'!V80+RECLASS!T80</f>
        <v>0</v>
      </c>
      <c r="G80" s="60">
        <f>'TIE-OUT'!W80+RECLASS!U80</f>
        <v>0</v>
      </c>
      <c r="H80" s="126">
        <v>0</v>
      </c>
      <c r="I80" s="126">
        <v>0</v>
      </c>
      <c r="J80" s="126">
        <v>0</v>
      </c>
      <c r="K80" s="191">
        <v>0</v>
      </c>
      <c r="L80" s="126">
        <f>+Actuals!I42</f>
        <v>0</v>
      </c>
      <c r="M80" s="127">
        <f>+Actuals!J42</f>
        <v>0</v>
      </c>
      <c r="N80" s="126">
        <v>0</v>
      </c>
      <c r="O80" s="127"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4803.8999999999996</v>
      </c>
      <c r="F81" s="60">
        <f>'TIE-OUT'!V81+RECLASS!T81</f>
        <v>0</v>
      </c>
      <c r="G81" s="60">
        <f>'TIE-OUT'!W81+RECLASS!U81</f>
        <v>0</v>
      </c>
      <c r="H81" s="126">
        <v>0</v>
      </c>
      <c r="I81" s="126">
        <f>-2476069+719000</f>
        <v>-1757069</v>
      </c>
      <c r="J81" s="126">
        <v>0</v>
      </c>
      <c r="K81" s="191">
        <v>1757069</v>
      </c>
      <c r="L81" s="126">
        <f>+Actuals!I43</f>
        <v>0</v>
      </c>
      <c r="M81" s="127">
        <f>+Actuals!J43</f>
        <v>0</v>
      </c>
      <c r="N81" s="126">
        <v>0</v>
      </c>
      <c r="O81" s="127"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v>4803.8999999999996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-1563961.9600000023</v>
      </c>
      <c r="F82" s="91">
        <f>F16+F24+F29+F36+F43+F45+F47+F49</f>
        <v>0</v>
      </c>
      <c r="G82" s="92">
        <f>SUM(G72:G81)+G16+G24+G29+G36+G43+G45+G47+G49+G51+G56+G61+G66</f>
        <v>-1234540.69</v>
      </c>
      <c r="H82" s="91">
        <f>H16+H24+H29+H36+H43+H45+H47+H49</f>
        <v>0</v>
      </c>
      <c r="I82" s="92">
        <f>SUM(I72:I81)+I16+I24+I29+I36+I43+I45+I47+I49+I51+I56+I61+I66</f>
        <v>895950</v>
      </c>
      <c r="J82" s="91">
        <f>J16+J24+J29+J36+J43+J45+J47+J49</f>
        <v>0</v>
      </c>
      <c r="K82" s="110">
        <f>SUM(K72:K81)+K16+K24+K29+K36+K43+K45+K47+K49+K51+K56+K61+K66</f>
        <v>24649.189999997616</v>
      </c>
      <c r="L82" s="91">
        <f>L16+L24+L29+L36+L43+L45+L47+L49</f>
        <v>0</v>
      </c>
      <c r="M82" s="92">
        <f>SUM(M72:M81)+M16+M24+M29+M36+M43+M45+M47+M49+M51+M56+M61+M66</f>
        <v>-966518</v>
      </c>
      <c r="N82" s="91">
        <f>N16+N24+N29+N36+N43+N45+N47+N49</f>
        <v>0</v>
      </c>
      <c r="O82" s="92">
        <f>SUM(O72:O81)+O16+O24+O29+O36+O43+O45+O47+O49+O51+O56+O61+O66</f>
        <v>-144291</v>
      </c>
      <c r="P82" s="91">
        <f>P16+P24+P29+P36+P43+P45+P47+P49</f>
        <v>0</v>
      </c>
      <c r="Q82" s="92">
        <f>SUM(Q72:Q81)+Q16+Q24+Q29+Q36+Q43+Q45+Q47+Q49+Q51+Q56+Q61+Q66</f>
        <v>67057</v>
      </c>
      <c r="R82" s="91">
        <f>R16+R24+R29+R36+R43+R45+R47+R49</f>
        <v>0</v>
      </c>
      <c r="S82" s="92">
        <f>SUM(S72:S81)+S16+S24+S29+S36+S43+S45+S47+S49+S51+S56+S61+S66</f>
        <v>39213</v>
      </c>
      <c r="T82" s="91">
        <f>T16+T24+T29+T36+T43+T45+T47+T49</f>
        <v>0</v>
      </c>
      <c r="U82" s="92">
        <f>SUM(U72:U81)+U16+U24+U29+U36+U43+U45+U47+U49+U51+U56+U61+U66</f>
        <v>-70906</v>
      </c>
      <c r="V82" s="91">
        <f>V16+V24+V29+V36+V43+V45+V47+V49</f>
        <v>0</v>
      </c>
      <c r="W82" s="92">
        <f>SUM(W72:W81)+W16+W24+W29+W36+W43+W45+W47+W49+W51+W56+W61+W66</f>
        <v>4076</v>
      </c>
      <c r="X82" s="91">
        <f>X16+X24+X29+X36+X43+X45+X47+X49</f>
        <v>0</v>
      </c>
      <c r="Y82" s="92">
        <f>SUM(Y72:Y81)+Y16+Y24+Y29+Y36+Y43+Y45+Y47+Y49+Y51+Y56+Y61+Y66</f>
        <v>-184654</v>
      </c>
      <c r="Z82" s="91">
        <f>Z16+Z24+Z29+Z36+Z43+Z45+Z47+Z49</f>
        <v>0</v>
      </c>
      <c r="AA82" s="92">
        <f>SUM(AA72:AA81)+AA16+AA24+AA29+AA36+AA43+AA45+AA47+AA49+AA51+AA56+AA61+AA66</f>
        <v>-2917</v>
      </c>
      <c r="AB82" s="91">
        <f>AB16+AB24+AB29+AB36+AB43+AB45+AB47+AB49</f>
        <v>0</v>
      </c>
      <c r="AC82" s="92">
        <f>SUM(AC72:AC81)+AC16+AC24+AC29+AC36+AC43+AC45+AC47+AC49+AC51+AC56+AC61+AC66</f>
        <v>1132.7600000000002</v>
      </c>
      <c r="AD82" s="91">
        <f>AD16+AD24+AD29+AD36+AD43+AD45+AD47+AD49</f>
        <v>0</v>
      </c>
      <c r="AE82" s="92">
        <f>SUM(AE72:AE81)+AE16+AE24+AE29+AE36+AE43+AE45+AE47+AE49+AE51+AE56+AE61+AE66</f>
        <v>5405.2000000000035</v>
      </c>
      <c r="AF82" s="91">
        <f>AF16+AF24+AF29+AF36+AF43+AF45+AF47+AF49</f>
        <v>0</v>
      </c>
      <c r="AG82" s="92">
        <f>SUM(AG72:AG81)+AG16+AG24+AG29+AG36+AG43+AG45+AG47+AG49+AG51+AG56+AG61+AG66</f>
        <v>2381.5799999999963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 t="s">
        <v>171</v>
      </c>
      <c r="B85" s="3"/>
      <c r="F85" s="31"/>
      <c r="G85" s="31"/>
      <c r="H85" s="31"/>
      <c r="I85" s="31"/>
      <c r="K85"/>
    </row>
    <row r="86" spans="1:33" x14ac:dyDescent="0.25">
      <c r="A86" s="166"/>
      <c r="B86" s="3"/>
      <c r="C86" s="10" t="s">
        <v>167</v>
      </c>
      <c r="D86" s="167">
        <f t="shared" ref="D86:E88" si="26">SUM(F86,H86,J86,L86,N86,P86,R86,T86,V86,X86,Z86,AB86,AD86)</f>
        <v>0</v>
      </c>
      <c r="E86" s="167">
        <v>-811020</v>
      </c>
      <c r="F86" s="167">
        <f>'TIE-OUT'!V86+RECLASS!T86</f>
        <v>0</v>
      </c>
      <c r="G86" s="167">
        <f>'TIE-OUT'!W86+RECLASS!U86</f>
        <v>0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</row>
    <row r="87" spans="1:33" x14ac:dyDescent="0.25">
      <c r="A87" s="166"/>
      <c r="B87" s="3"/>
      <c r="C87" s="10" t="s">
        <v>71</v>
      </c>
      <c r="D87" s="168">
        <f t="shared" si="26"/>
        <v>0</v>
      </c>
      <c r="E87" s="168">
        <f t="shared" si="26"/>
        <v>0</v>
      </c>
      <c r="F87" s="168">
        <f>'TIE-OUT'!V87+RECLASS!T87</f>
        <v>0</v>
      </c>
      <c r="G87" s="168">
        <f>'TIE-OUT'!W87+RECLASS!U87</f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</row>
    <row r="88" spans="1:33" x14ac:dyDescent="0.25">
      <c r="A88" s="166"/>
      <c r="B88" s="3"/>
      <c r="C88" s="10" t="s">
        <v>72</v>
      </c>
      <c r="D88" s="169">
        <f t="shared" si="26"/>
        <v>0</v>
      </c>
      <c r="E88" s="169">
        <f t="shared" si="26"/>
        <v>924200</v>
      </c>
      <c r="F88" s="169">
        <f>'TIE-OUT'!V88+RECLASS!T88</f>
        <v>0</v>
      </c>
      <c r="G88" s="169">
        <f>'TIE-OUT'!W88+RECLASS!U88</f>
        <v>924200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</row>
    <row r="89" spans="1:33" ht="15" x14ac:dyDescent="0.25">
      <c r="A89" s="173"/>
      <c r="B89" s="174"/>
      <c r="C89" s="179" t="s">
        <v>170</v>
      </c>
      <c r="D89" s="177">
        <f>SUM(D86:D88)</f>
        <v>0</v>
      </c>
      <c r="E89" s="177">
        <f t="shared" ref="E89:K89" si="27">SUM(E86:E88)</f>
        <v>113180</v>
      </c>
      <c r="F89" s="177">
        <f t="shared" si="27"/>
        <v>0</v>
      </c>
      <c r="G89" s="177">
        <f t="shared" si="27"/>
        <v>924200</v>
      </c>
      <c r="H89" s="177">
        <f t="shared" si="27"/>
        <v>0</v>
      </c>
      <c r="I89" s="177">
        <f t="shared" si="27"/>
        <v>0</v>
      </c>
      <c r="J89" s="177">
        <f t="shared" si="27"/>
        <v>0</v>
      </c>
      <c r="K89" s="177">
        <f t="shared" si="27"/>
        <v>0</v>
      </c>
      <c r="L89" s="177">
        <f>SUM(L86:L88)</f>
        <v>0</v>
      </c>
      <c r="M89" s="177">
        <f>SUM(M86:M88)</f>
        <v>0</v>
      </c>
    </row>
    <row r="90" spans="1:33" x14ac:dyDescent="0.25">
      <c r="A90" s="4"/>
      <c r="B90" s="3"/>
      <c r="F90" s="31"/>
      <c r="G90" s="31"/>
      <c r="H90" s="31"/>
      <c r="I90" s="31"/>
      <c r="K90"/>
    </row>
    <row r="91" spans="1:33" ht="15" x14ac:dyDescent="0.25">
      <c r="A91" s="173"/>
      <c r="B91" s="174"/>
      <c r="C91" s="179" t="s">
        <v>173</v>
      </c>
      <c r="D91" s="177">
        <f>+D82+D89</f>
        <v>0</v>
      </c>
      <c r="E91" s="177">
        <f t="shared" ref="E91:K91" si="28">+E82+E89</f>
        <v>-1450781.9600000023</v>
      </c>
      <c r="F91" s="177">
        <f t="shared" si="28"/>
        <v>0</v>
      </c>
      <c r="G91" s="177">
        <f t="shared" si="28"/>
        <v>-310340.68999999994</v>
      </c>
      <c r="H91" s="177">
        <f t="shared" si="28"/>
        <v>0</v>
      </c>
      <c r="I91" s="177">
        <f t="shared" si="28"/>
        <v>895950</v>
      </c>
      <c r="J91" s="177">
        <f t="shared" si="28"/>
        <v>0</v>
      </c>
      <c r="K91" s="177">
        <f t="shared" si="28"/>
        <v>24649.189999997616</v>
      </c>
      <c r="L91" s="177">
        <f>+L82+L89</f>
        <v>0</v>
      </c>
      <c r="M91" s="177">
        <f>+M82+M89</f>
        <v>-966518</v>
      </c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Q187"/>
  <sheetViews>
    <sheetView zoomScale="75" workbookViewId="0">
      <pane xSplit="3" ySplit="9" topLeftCell="Y68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45576496</v>
      </c>
      <c r="E11" s="38">
        <f t="shared" si="0"/>
        <v>130763365.24000001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45484308</v>
      </c>
      <c r="I11" s="38">
        <f>'TX-EGM-GL'!I11+'TX-HPLR-GL '!I11+'TX-HPLC-GL'!I11</f>
        <v>130314127.62</v>
      </c>
      <c r="J11" s="60">
        <f>'TX-EGM-GL'!J11+'TX-HPLR-GL '!J11+'TX-HPLC-GL'!J11</f>
        <v>412632</v>
      </c>
      <c r="K11" s="38">
        <f>'TX-EGM-GL'!K11+'TX-HPLR-GL '!K11+'TX-HPLC-GL'!K11</f>
        <v>2765064.4</v>
      </c>
      <c r="L11" s="60">
        <f>'TX-EGM-GL'!L11+'TX-HPLR-GL '!L11</f>
        <v>-3379</v>
      </c>
      <c r="M11" s="38">
        <f>'TX-EGM-GL'!M11+'TX-HPLR-GL '!M11</f>
        <v>-2711457.82</v>
      </c>
      <c r="N11" s="60">
        <f>'TX-EGM-GL'!N11+'TX-HPLR-GL '!N11</f>
        <v>1379</v>
      </c>
      <c r="O11" s="38">
        <f>'TX-EGM-GL'!O11+'TX-HPLR-GL '!O11</f>
        <v>-449.8</v>
      </c>
      <c r="P11" s="60">
        <f>'TX-EGM-GL'!P11+'TX-HPLR-GL '!P11</f>
        <v>0</v>
      </c>
      <c r="Q11" s="38">
        <f>'TX-EGM-GL'!Q11+'TX-HPLR-GL '!Q11</f>
        <v>0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2</v>
      </c>
      <c r="U11" s="38">
        <f>'TX-EGM-GL'!U11+'TX-HPLR-GL '!U11</f>
        <v>7.36</v>
      </c>
      <c r="V11" s="60">
        <f>'TX-EGM-GL'!V11+'TX-HPLR-GL '!V11</f>
        <v>-1500</v>
      </c>
      <c r="W11" s="38">
        <f>'TX-EGM-GL'!W11+'TX-HPLR-GL '!W11</f>
        <v>-4663.5</v>
      </c>
      <c r="X11" s="60">
        <f>'TX-EGM-GL'!X11+'TX-HPLR-GL '!X11</f>
        <v>3366</v>
      </c>
      <c r="Y11" s="38">
        <f>'TX-EGM-GL'!Y11+'TX-HPLR-GL '!Y11</f>
        <v>1345528.46</v>
      </c>
      <c r="Z11" s="60">
        <f>'TX-EGM-GL'!Z11+'TX-HPLR-GL '!Z11</f>
        <v>-320312</v>
      </c>
      <c r="AA11" s="38">
        <f>'TX-EGM-GL'!AA11+'TX-HPLR-GL '!AA11</f>
        <v>-944791.48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  <c r="AF11" s="60">
        <f>'TX-EGM-GL'!AH11+'TX-HPLR-GL '!AH11</f>
        <v>0</v>
      </c>
      <c r="AG11" s="38">
        <f>'TX-EGM-GL'!AI11+'TX-HPLR-GL '!AI11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2253488.59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2288488.59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-35000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'TX-EGM-GL'!AH12+'TX-HPLR-GL '!AH12</f>
        <v>0</v>
      </c>
      <c r="AG12" s="38">
        <f>'TX-EGM-GL'!AI12+'TX-HPLR-GL '!AI12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11336756</v>
      </c>
      <c r="E13" s="38">
        <f t="shared" si="0"/>
        <v>28599508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11336756</v>
      </c>
      <c r="I13" s="38">
        <f>'TX-EGM-GL'!I13+'TX-HPLR-GL '!I13+'TX-HPLC-GL'!I13</f>
        <v>28599508</v>
      </c>
      <c r="J13" s="60">
        <f>'TX-EGM-GL'!J13+'TX-HPLR-GL '!J13+'TX-HPLC-GL'!J13</f>
        <v>2000</v>
      </c>
      <c r="K13" s="38">
        <f>'TX-EGM-GL'!K13+'TX-HPLR-GL '!K13+'TX-HPLC-GL'!K13</f>
        <v>4870</v>
      </c>
      <c r="L13" s="60">
        <f>'TX-EGM-GL'!L13+'TX-HPLR-GL '!L13</f>
        <v>2000</v>
      </c>
      <c r="M13" s="38">
        <f>'TX-EGM-GL'!M13+'TX-HPLR-GL '!M13</f>
        <v>4870</v>
      </c>
      <c r="N13" s="60">
        <f>'TX-EGM-GL'!N13+'TX-HPLR-GL '!N13</f>
        <v>-11338756</v>
      </c>
      <c r="O13" s="38">
        <f>'TX-EGM-GL'!O13+'TX-HPLR-GL '!O13</f>
        <v>-28604378</v>
      </c>
      <c r="P13" s="60">
        <f>'TX-EGM-GL'!P13+'TX-HPLR-GL '!P13</f>
        <v>11340756</v>
      </c>
      <c r="Q13" s="38">
        <f>'TX-EGM-GL'!Q13+'TX-HPLR-GL '!Q13</f>
        <v>28609248</v>
      </c>
      <c r="R13" s="60">
        <f>'TX-EGM-GL'!R13+'TX-HPLR-GL '!R13</f>
        <v>0</v>
      </c>
      <c r="S13" s="38">
        <f>'TX-EGM-GL'!S13+'TX-HPLR-GL '!S13</f>
        <v>0</v>
      </c>
      <c r="T13" s="60">
        <f>'TX-EGM-GL'!T13+'TX-HPLR-GL '!T13</f>
        <v>-11340756</v>
      </c>
      <c r="U13" s="38">
        <f>'TX-EGM-GL'!U13+'TX-HPLR-GL '!U13</f>
        <v>-28609248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11334756</v>
      </c>
      <c r="AA13" s="38">
        <f>'TX-EGM-GL'!AA13+'TX-HPLR-GL '!AA13</f>
        <v>28594638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'TX-EGM-GL'!AH13+'TX-HPLR-GL '!AH13</f>
        <v>0</v>
      </c>
      <c r="AG13" s="38">
        <f>'TX-EGM-GL'!AI13+'TX-HPLR-GL '!AI13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'TX-EGM-GL'!AH14+'TX-HPLR-GL '!AH14</f>
        <v>0</v>
      </c>
      <c r="AG14" s="38">
        <f>'TX-EGM-GL'!AI14+'TX-HPLR-GL '!AI14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'TX-EGM-GL'!AH15+'TX-HPLR-GL '!AH15</f>
        <v>0</v>
      </c>
      <c r="AG15" s="38">
        <f>'TX-EGM-GL'!AI15+'TX-HPLR-GL '!AI15</f>
        <v>0</v>
      </c>
    </row>
    <row r="16" spans="1:33" x14ac:dyDescent="0.25">
      <c r="A16" s="9"/>
      <c r="B16" s="7" t="s">
        <v>30</v>
      </c>
      <c r="C16" s="6"/>
      <c r="D16" s="61">
        <f>SUM(D11:D15)</f>
        <v>56913252</v>
      </c>
      <c r="E16" s="39">
        <f>SUM(E11:E15)</f>
        <v>161616361.83000001</v>
      </c>
      <c r="F16" s="61">
        <f t="shared" ref="F16:AD16" si="1">SUM(F11:F15)</f>
        <v>0</v>
      </c>
      <c r="G16" s="39">
        <f t="shared" si="1"/>
        <v>2288488.59</v>
      </c>
      <c r="H16" s="61">
        <f t="shared" si="1"/>
        <v>56821064</v>
      </c>
      <c r="I16" s="39">
        <f t="shared" si="1"/>
        <v>158913635.62</v>
      </c>
      <c r="J16" s="61">
        <f>SUM(J11:J15)</f>
        <v>414632</v>
      </c>
      <c r="K16" s="39">
        <f>SUM(K11:K15)</f>
        <v>2734934.4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>SUM(X11:X15)</f>
        <v>3366</v>
      </c>
      <c r="Y16" s="39">
        <f>SUM(Y11:Y15)</f>
        <v>1345528.46</v>
      </c>
      <c r="Z16" s="61">
        <f>SUM(Z11:Z15)</f>
        <v>11014444</v>
      </c>
      <c r="AA16" s="39">
        <f>SUM(AA11:AA15)</f>
        <v>27649846.52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-45512865</v>
      </c>
      <c r="E19" s="38">
        <f t="shared" si="3"/>
        <v>-123449608.61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-45891026</v>
      </c>
      <c r="I19" s="38">
        <f>'TX-EGM-GL'!I19+'TX-HPLR-GL '!I19+'TX-HPLC-GL'!I19</f>
        <v>-124560460.88</v>
      </c>
      <c r="J19" s="60">
        <f>'TX-EGM-GL'!J19+'TX-HPLR-GL '!J19+'TX-HPLC-GL'!J19</f>
        <v>379540</v>
      </c>
      <c r="K19" s="38">
        <f>'TX-EGM-GL'!K19+'TX-HPLR-GL '!K19+'TX-HPLC-GL'!K19</f>
        <v>1114313.56</v>
      </c>
      <c r="L19" s="60">
        <f>'TX-EGM-GL'!L19+'TX-HPLR-GL '!L19</f>
        <v>0</v>
      </c>
      <c r="M19" s="38">
        <f>'TX-EGM-GL'!M19+'TX-HPLR-GL '!M19</f>
        <v>0</v>
      </c>
      <c r="N19" s="60">
        <f>'TX-EGM-GL'!N19+'TX-HPLR-GL '!N19</f>
        <v>-4785</v>
      </c>
      <c r="O19" s="38">
        <f>'TX-EGM-GL'!O19+'TX-HPLR-GL '!O19</f>
        <v>-13229.7</v>
      </c>
      <c r="P19" s="60">
        <f>'TX-EGM-GL'!P19+'TX-HPLR-GL '!P19</f>
        <v>3406</v>
      </c>
      <c r="Q19" s="38">
        <f>'TX-EGM-GL'!Q19+'TX-HPLR-GL '!Q19</f>
        <v>9768.41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  <c r="AF19" s="60">
        <f>'TX-EGM-GL'!AH19+'TX-HPLR-GL '!AH19</f>
        <v>0</v>
      </c>
      <c r="AG19" s="38">
        <f>'TX-EGM-GL'!AI19+'TX-HPLR-GL '!AI19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-3540522.72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-3368782.91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-171739.81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'TX-EGM-GL'!AH20+'TX-HPLR-GL '!AH20</f>
        <v>0</v>
      </c>
      <c r="AG20" s="38">
        <f>'TX-EGM-GL'!AI20+'TX-HPLR-GL '!AI20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-11342509</v>
      </c>
      <c r="E21" s="38">
        <f t="shared" si="3"/>
        <v>-28614796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-11342509</v>
      </c>
      <c r="I21" s="38">
        <f>'TX-EGM-GL'!I21+'TX-HPLR-GL '!I21+'TX-HPLC-GL'!I21</f>
        <v>-28614796</v>
      </c>
      <c r="J21" s="60">
        <f>'TX-EGM-GL'!J21+'TX-HPLR-GL '!J21+'TX-HPLC-GL'!J21</f>
        <v>-2000</v>
      </c>
      <c r="K21" s="38">
        <f>'TX-EGM-GL'!K21+'TX-HPLR-GL '!K21+'TX-HPLC-GL'!K21</f>
        <v>-4870</v>
      </c>
      <c r="L21" s="60">
        <f>'TX-EGM-GL'!L21+'TX-HPLR-GL '!L21</f>
        <v>-7050</v>
      </c>
      <c r="M21" s="38">
        <f>'TX-EGM-GL'!M21+'TX-HPLR-GL '!M21</f>
        <v>-18330</v>
      </c>
      <c r="N21" s="60">
        <f>'TX-EGM-GL'!N21+'TX-HPLR-GL '!N21</f>
        <v>11344509</v>
      </c>
      <c r="O21" s="38">
        <f>'TX-EGM-GL'!O21+'TX-HPLR-GL '!O21</f>
        <v>28619666</v>
      </c>
      <c r="P21" s="60">
        <f>'TX-EGM-GL'!P21+'TX-HPLR-GL '!P21</f>
        <v>-11352399</v>
      </c>
      <c r="Q21" s="38">
        <f>'TX-EGM-GL'!Q21+'TX-HPLR-GL '!Q21</f>
        <v>-28640180</v>
      </c>
      <c r="R21" s="60">
        <f>'TX-EGM-GL'!R21+'TX-HPLR-GL '!R21</f>
        <v>0</v>
      </c>
      <c r="S21" s="38">
        <f>'TX-EGM-GL'!S21+'TX-HPLR-GL '!S21</f>
        <v>0</v>
      </c>
      <c r="T21" s="60">
        <f>'TX-EGM-GL'!T21+'TX-HPLR-GL '!T21</f>
        <v>11351559</v>
      </c>
      <c r="U21" s="38">
        <f>'TX-EGM-GL'!U21+'TX-HPLR-GL '!U21</f>
        <v>28637996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-11334619</v>
      </c>
      <c r="AA21" s="38">
        <f>'TX-EGM-GL'!AA21+'TX-HPLR-GL '!AA21</f>
        <v>-28594282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'TX-EGM-GL'!AH21+'TX-HPLR-GL '!AH21</f>
        <v>0</v>
      </c>
      <c r="AG21" s="38">
        <f>'TX-EGM-GL'!AI21+'TX-HPLR-GL '!AI21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'TX-EGM-GL'!AH22+'TX-HPLR-GL '!AH22</f>
        <v>0</v>
      </c>
      <c r="AG22" s="38">
        <f>'TX-EGM-GL'!AI22+'TX-HPLR-GL '!AI22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2436</v>
      </c>
      <c r="E23" s="38">
        <f t="shared" si="3"/>
        <v>6986.4480000000003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-360</v>
      </c>
      <c r="I23" s="38">
        <f>'TX-EGM-GL'!I23+'TX-HPLR-GL '!I23+'TX-HPLC-GL'!I23</f>
        <v>-1032.48</v>
      </c>
      <c r="J23" s="60">
        <f>'TX-EGM-GL'!J23+'TX-HPLR-GL '!J23+'TX-HPLC-GL'!J23</f>
        <v>2037</v>
      </c>
      <c r="K23" s="38">
        <f>'TX-EGM-GL'!K23+'TX-HPLR-GL '!K23+'TX-HPLC-GL'!K23</f>
        <v>5842.116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720</v>
      </c>
      <c r="Q23" s="38">
        <f>'TX-EGM-GL'!Q23+'TX-HPLR-GL '!Q23</f>
        <v>2064.96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39</v>
      </c>
      <c r="AA23" s="38">
        <f>'TX-EGM-GL'!AA23+'TX-HPLR-GL '!AA23</f>
        <v>111.852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'TX-EGM-GL'!AH23+'TX-HPLR-GL '!AH23</f>
        <v>0</v>
      </c>
      <c r="AG23" s="38">
        <f>'TX-EGM-GL'!AI23+'TX-HPLR-GL '!AI23</f>
        <v>0</v>
      </c>
    </row>
    <row r="24" spans="1:33" x14ac:dyDescent="0.25">
      <c r="A24" s="9"/>
      <c r="B24" s="7" t="s">
        <v>33</v>
      </c>
      <c r="C24" s="6"/>
      <c r="D24" s="61">
        <f>SUM(D19:D23)</f>
        <v>-56852938</v>
      </c>
      <c r="E24" s="39">
        <f>SUM(E19:E23)</f>
        <v>-155597940.88199997</v>
      </c>
      <c r="F24" s="61">
        <f t="shared" ref="F24:AD24" si="4">SUM(F19:F23)</f>
        <v>0</v>
      </c>
      <c r="G24" s="39">
        <f t="shared" si="4"/>
        <v>-3368782.91</v>
      </c>
      <c r="H24" s="61">
        <f t="shared" si="4"/>
        <v>-57233895</v>
      </c>
      <c r="I24" s="39">
        <f t="shared" si="4"/>
        <v>-153176289.35999998</v>
      </c>
      <c r="J24" s="61">
        <f>SUM(J19:J23)</f>
        <v>379577</v>
      </c>
      <c r="K24" s="39">
        <f>SUM(K19:K23)</f>
        <v>943545.86600000004</v>
      </c>
      <c r="L24" s="61">
        <f t="shared" si="4"/>
        <v>-7050</v>
      </c>
      <c r="M24" s="39">
        <f t="shared" si="4"/>
        <v>-18330</v>
      </c>
      <c r="N24" s="61">
        <f t="shared" si="4"/>
        <v>11339724</v>
      </c>
      <c r="O24" s="39">
        <f t="shared" si="4"/>
        <v>28606436.300000001</v>
      </c>
      <c r="P24" s="61">
        <f t="shared" si="4"/>
        <v>-11348273</v>
      </c>
      <c r="Q24" s="39">
        <f t="shared" si="4"/>
        <v>-28628346.629999999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11351559</v>
      </c>
      <c r="U24" s="39">
        <f t="shared" si="5"/>
        <v>28637996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-11334580</v>
      </c>
      <c r="AA24" s="39">
        <f>SUM(AA19:AA23)</f>
        <v>-28594170.147999998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20907867</v>
      </c>
      <c r="E27" s="38">
        <f>SUM(G27,I27,K27,M27,O27,Q27,S27,U27,W27,Y27,AA27,AC27,AE27,AG27)</f>
        <v>55283866.25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14075107</v>
      </c>
      <c r="I27" s="38">
        <f>'TX-EGM-GL'!I27+'TX-HPLR-GL '!I27+'TX-HPLC-GL'!I27</f>
        <v>36185817.719999999</v>
      </c>
      <c r="J27" s="60">
        <f>'TX-EGM-GL'!J27+'TX-HPLR-GL '!J27+'TX-HPLC-GL'!J27</f>
        <v>6832785</v>
      </c>
      <c r="K27" s="38">
        <f>'TX-EGM-GL'!K27+'TX-HPLR-GL '!K27+'TX-HPLC-GL'!K27</f>
        <v>17541924.34</v>
      </c>
      <c r="L27" s="60">
        <f>'TX-EGM-GL'!L27+'TX-HPLR-GL '!L27</f>
        <v>0</v>
      </c>
      <c r="M27" s="38">
        <f>'TX-EGM-GL'!M27+'TX-HPLR-GL '!M27</f>
        <v>0</v>
      </c>
      <c r="N27" s="60">
        <f>'TX-EGM-GL'!N27+'TX-HPLR-GL '!N27</f>
        <v>0</v>
      </c>
      <c r="O27" s="38">
        <f>'TX-EGM-GL'!O27+'TX-HPLR-GL '!O27</f>
        <v>1556188.19</v>
      </c>
      <c r="P27" s="60">
        <f>'TX-EGM-GL'!P27+'TX-HPLR-GL '!P27</f>
        <v>0</v>
      </c>
      <c r="Q27" s="38">
        <f>'TX-EGM-GL'!Q27+'TX-HPLR-GL '!Q27</f>
        <v>-2244.96</v>
      </c>
      <c r="R27" s="60">
        <f>'TX-EGM-GL'!R27+'TX-HPLR-GL '!R27</f>
        <v>-25</v>
      </c>
      <c r="S27" s="38">
        <f>'TX-EGM-GL'!S27+'TX-HPLR-GL '!S27</f>
        <v>2180.96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  <c r="AF27" s="60">
        <f>'TX-EGM-GL'!AH27+'TX-HPLR-GL '!AH27</f>
        <v>0</v>
      </c>
      <c r="AG27" s="38">
        <f>'TX-EGM-GL'!AI27+'TX-HPLR-GL '!AI27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-22132092</v>
      </c>
      <c r="E28" s="38">
        <f>SUM(G28,I28,K28,M28,O28,Q28,S28,U28,W28,Y28,AA28,AC28,AE28,AG28)</f>
        <v>-58656449.600000009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-15332532</v>
      </c>
      <c r="I28" s="38">
        <f>'TX-EGM-GL'!I28+'TX-HPLR-GL '!I28+'TX-HPLC-GL'!I28</f>
        <v>-39650140.739999995</v>
      </c>
      <c r="J28" s="60">
        <f>'TX-EGM-GL'!J28+'TX-HPLR-GL '!J28+'TX-HPLC-GL'!J28</f>
        <v>-6800967</v>
      </c>
      <c r="K28" s="38">
        <f>'TX-EGM-GL'!K28+'TX-HPLR-GL '!K28+'TX-HPLC-GL'!K28</f>
        <v>-17453730.23</v>
      </c>
      <c r="L28" s="60">
        <f>'TX-EGM-GL'!L28+'TX-HPLR-GL '!L28</f>
        <v>598</v>
      </c>
      <c r="M28" s="38">
        <f>'TX-EGM-GL'!M28+'TX-HPLR-GL '!M28</f>
        <v>1103.44</v>
      </c>
      <c r="N28" s="60">
        <f>'TX-EGM-GL'!N28+'TX-HPLR-GL '!N28</f>
        <v>0</v>
      </c>
      <c r="O28" s="38">
        <f>'TX-EGM-GL'!O28+'TX-HPLR-GL '!O28</f>
        <v>-1556188.19</v>
      </c>
      <c r="P28" s="60">
        <f>'TX-EGM-GL'!P28+'TX-HPLR-GL '!P28</f>
        <v>-3406</v>
      </c>
      <c r="Q28" s="38">
        <f>'TX-EGM-GL'!Q28+'TX-HPLR-GL '!Q28</f>
        <v>-6491.95</v>
      </c>
      <c r="R28" s="60">
        <f>'TX-EGM-GL'!R28+'TX-HPLR-GL '!R28</f>
        <v>2781</v>
      </c>
      <c r="S28" s="38">
        <f>'TX-EGM-GL'!S28+'TX-HPLR-GL '!S28</f>
        <v>5319.36</v>
      </c>
      <c r="T28" s="60">
        <f>'TX-EGM-GL'!T28+'TX-HPLR-GL '!T28</f>
        <v>-2</v>
      </c>
      <c r="U28" s="38">
        <f>'TX-EGM-GL'!U28+'TX-HPLR-GL '!U28</f>
        <v>-5.09</v>
      </c>
      <c r="V28" s="60">
        <f>'TX-EGM-GL'!V28+'TX-HPLR-GL '!V28</f>
        <v>1500</v>
      </c>
      <c r="W28" s="38">
        <f>'TX-EGM-GL'!W28+'TX-HPLR-GL '!W28</f>
        <v>3847</v>
      </c>
      <c r="X28" s="60">
        <f>'TX-EGM-GL'!X28+'TX-HPLR-GL '!X28</f>
        <v>-3366</v>
      </c>
      <c r="Y28" s="38">
        <f>'TX-EGM-GL'!Y28+'TX-HPLR-GL '!Y28</f>
        <v>-8633.68</v>
      </c>
      <c r="Z28" s="60">
        <f>'TX-EGM-GL'!Z28+'TX-HPLR-GL '!Z28</f>
        <v>3302</v>
      </c>
      <c r="AA28" s="38">
        <f>'TX-EGM-GL'!AA28+'TX-HPLR-GL '!AA28</f>
        <v>8470.48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  <c r="AF28" s="60">
        <f>'TX-EGM-GL'!AH28+'TX-HPLR-GL '!AH28</f>
        <v>0</v>
      </c>
      <c r="AG28" s="38">
        <f>'TX-EGM-GL'!AI28+'TX-HPLR-GL '!AI28</f>
        <v>0</v>
      </c>
    </row>
    <row r="29" spans="1:33" x14ac:dyDescent="0.25">
      <c r="A29" s="9"/>
      <c r="B29" s="7" t="s">
        <v>37</v>
      </c>
      <c r="C29" s="18"/>
      <c r="D29" s="61">
        <f>SUM(D27:D28)</f>
        <v>-1224225</v>
      </c>
      <c r="E29" s="39">
        <f>SUM(E27:E28)</f>
        <v>-3372583.3500000089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-1257425</v>
      </c>
      <c r="I29" s="39">
        <f t="shared" si="6"/>
        <v>-3464323.0199999958</v>
      </c>
      <c r="J29" s="61">
        <f>SUM(J27:J28)</f>
        <v>31818</v>
      </c>
      <c r="K29" s="39">
        <f>SUM(K27:K28)</f>
        <v>88194.109999999404</v>
      </c>
      <c r="L29" s="61">
        <f t="shared" si="6"/>
        <v>598</v>
      </c>
      <c r="M29" s="39">
        <f t="shared" si="6"/>
        <v>1103.44</v>
      </c>
      <c r="N29" s="61">
        <f t="shared" si="6"/>
        <v>0</v>
      </c>
      <c r="O29" s="39">
        <f t="shared" si="6"/>
        <v>0</v>
      </c>
      <c r="P29" s="61">
        <f t="shared" si="6"/>
        <v>-3406</v>
      </c>
      <c r="Q29" s="39">
        <f t="shared" si="6"/>
        <v>-8736.91</v>
      </c>
      <c r="R29" s="61">
        <f t="shared" ref="R29:W29" si="7">SUM(R27:R28)</f>
        <v>2756</v>
      </c>
      <c r="S29" s="39">
        <f t="shared" si="7"/>
        <v>7500.32</v>
      </c>
      <c r="T29" s="61">
        <f t="shared" si="7"/>
        <v>-2</v>
      </c>
      <c r="U29" s="39">
        <f t="shared" si="7"/>
        <v>-5.09</v>
      </c>
      <c r="V29" s="61">
        <f t="shared" si="7"/>
        <v>1500</v>
      </c>
      <c r="W29" s="39">
        <f t="shared" si="7"/>
        <v>3847</v>
      </c>
      <c r="X29" s="61">
        <f>SUM(X27:X28)</f>
        <v>-3366</v>
      </c>
      <c r="Y29" s="39">
        <f>SUM(Y27:Y28)</f>
        <v>-8633.68</v>
      </c>
      <c r="Z29" s="61">
        <f>SUM(Z27:Z28)</f>
        <v>3302</v>
      </c>
      <c r="AA29" s="39">
        <f>SUM(AA27:AA28)</f>
        <v>8470.48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-141055</v>
      </c>
      <c r="E32" s="38">
        <f t="shared" si="8"/>
        <v>-377649.38300000038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-4475570</v>
      </c>
      <c r="I32" s="38">
        <f>'TX-EGM-GL'!I32+'TX-HPLR-GL '!I32+'TX-HPLC-GL'!I32</f>
        <v>-12835934.76</v>
      </c>
      <c r="J32" s="60">
        <f>'TX-EGM-GL'!J32+'TX-HPLR-GL '!J32+'TX-HPLC-GL'!J32</f>
        <v>4364281</v>
      </c>
      <c r="K32" s="38">
        <f>'TX-EGM-GL'!K32+'TX-HPLR-GL '!K32+'TX-HPLC-GL'!K32</f>
        <v>12543654.27</v>
      </c>
      <c r="L32" s="60">
        <f>'TX-EGM-GL'!L32+'TX-HPLR-GL '!L32</f>
        <v>-324229</v>
      </c>
      <c r="M32" s="38">
        <f>'TX-EGM-GL'!M32+'TX-HPLR-GL '!M32</f>
        <v>-929888.777</v>
      </c>
      <c r="N32" s="60">
        <f>'TX-EGM-GL'!N32+'TX-HPLR-GL '!N32</f>
        <v>0</v>
      </c>
      <c r="O32" s="38">
        <f>'TX-EGM-GL'!O32+'TX-HPLR-GL '!O32</f>
        <v>0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-2756</v>
      </c>
      <c r="S32" s="38">
        <f>'TX-EGM-GL'!S32+'TX-HPLR-GL '!S32</f>
        <v>-7904.2079999999996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297219</v>
      </c>
      <c r="AA32" s="38">
        <f>'TX-EGM-GL'!AA32+'TX-HPLR-GL '!AA32</f>
        <v>852424.09199999995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  <c r="AF32" s="60">
        <f>'TX-EGM-GL'!AH32+'TX-HPLR-GL '!AH32</f>
        <v>0</v>
      </c>
      <c r="AG32" s="38">
        <f>'TX-EGM-GL'!AI32+'TX-HPLR-GL '!AI32</f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'TX-EGM-GL'!AH33+'TX-HPLR-GL '!AH33</f>
        <v>0</v>
      </c>
      <c r="AG33" s="38">
        <f>'TX-EGM-GL'!AI33+'TX-HPLR-GL '!AI33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'TX-EGM-GL'!AH34+'TX-HPLR-GL '!AH34</f>
        <v>0</v>
      </c>
      <c r="AG34" s="38">
        <f>'TX-EGM-GL'!AI34+'TX-HPLR-GL '!AI34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'TX-EGM-GL'!AH35+'TX-HPLR-GL '!AH35</f>
        <v>0</v>
      </c>
      <c r="AG35" s="38">
        <f>'TX-EGM-GL'!AI35+'TX-HPLR-GL '!AI35</f>
        <v>0</v>
      </c>
    </row>
    <row r="36" spans="1:33" x14ac:dyDescent="0.25">
      <c r="A36" s="9"/>
      <c r="B36" s="7" t="s">
        <v>43</v>
      </c>
      <c r="C36" s="6"/>
      <c r="D36" s="61">
        <f>SUM(D32:D35)</f>
        <v>-141055</v>
      </c>
      <c r="E36" s="39">
        <f>SUM(E32:E35)</f>
        <v>-377649.38300000038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-4475570</v>
      </c>
      <c r="I36" s="39">
        <f t="shared" si="9"/>
        <v>-12835934.76</v>
      </c>
      <c r="J36" s="61">
        <f>SUM(J32:J35)</f>
        <v>4364281</v>
      </c>
      <c r="K36" s="39">
        <f>SUM(K32:K35)</f>
        <v>12543654.27</v>
      </c>
      <c r="L36" s="61">
        <f t="shared" si="9"/>
        <v>-324229</v>
      </c>
      <c r="M36" s="39">
        <f t="shared" si="9"/>
        <v>-929888.777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-2756</v>
      </c>
      <c r="S36" s="39">
        <f t="shared" si="10"/>
        <v>-7904.2079999999996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297219</v>
      </c>
      <c r="AA36" s="39">
        <f>SUM(AA32:AA35)</f>
        <v>852424.09199999995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1200806</v>
      </c>
      <c r="E39" s="38">
        <f t="shared" si="11"/>
        <v>3547661.34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1200806</v>
      </c>
      <c r="K39" s="38">
        <f>'TX-EGM-GL'!K39+'TX-HPLR-GL '!K39+'TX-HPLC-GL'!K39</f>
        <v>3547661.34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  <c r="AF39" s="60">
        <f>'TX-EGM-GL'!AH39+'TX-HPLR-GL '!AH39</f>
        <v>0</v>
      </c>
      <c r="AG39" s="38">
        <f>'TX-EGM-GL'!AI39+'TX-HPLR-GL '!AI39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-35300</v>
      </c>
      <c r="E40" s="38">
        <f t="shared" si="11"/>
        <v>-75080.170000000013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-35300</v>
      </c>
      <c r="I40" s="38">
        <f>'TX-EGM-GL'!I40+'TX-HPLR-GL '!I40+'TX-HPLC-GL'!I40</f>
        <v>-75073.55</v>
      </c>
      <c r="J40" s="60">
        <f>'TX-EGM-GL'!J40+'TX-HPLR-GL '!J40+'TX-HPLC-GL'!J40</f>
        <v>-300</v>
      </c>
      <c r="K40" s="38">
        <f>'TX-EGM-GL'!K40+'TX-HPLR-GL '!K40+'TX-HPLC-GL'!K40</f>
        <v>-638.02</v>
      </c>
      <c r="L40" s="60">
        <f>'TX-EGM-GL'!L40+'TX-HPLR-GL '!L40</f>
        <v>600</v>
      </c>
      <c r="M40" s="38">
        <f>'TX-EGM-GL'!M40+'TX-HPLR-GL '!M40</f>
        <v>1276.04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2000</v>
      </c>
      <c r="Q40" s="38">
        <f>'TX-EGM-GL'!Q40+'TX-HPLR-GL '!Q40</f>
        <v>4253.46</v>
      </c>
      <c r="R40" s="60">
        <f>'TX-EGM-GL'!R40+'TX-HPLR-GL '!R40</f>
        <v>-2000</v>
      </c>
      <c r="S40" s="38">
        <f>'TX-EGM-GL'!S40+'TX-HPLR-GL '!S40</f>
        <v>-4260</v>
      </c>
      <c r="T40" s="60">
        <f>'TX-EGM-GL'!T40+'TX-HPLR-GL '!T40</f>
        <v>-300</v>
      </c>
      <c r="U40" s="38">
        <f>'TX-EGM-GL'!U40+'TX-HPLR-GL '!U40</f>
        <v>-638.1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  <c r="AF40" s="60">
        <f>'TX-EGM-GL'!AH40+'TX-HPLR-GL '!AH40</f>
        <v>0</v>
      </c>
      <c r="AG40" s="38">
        <f>'TX-EGM-GL'!AI40+'TX-HPLR-GL '!AI40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-30605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-30605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'TX-EGM-GL'!AH41+'TX-HPLR-GL '!AH41</f>
        <v>0</v>
      </c>
      <c r="AG41" s="38">
        <f>'TX-EGM-GL'!AI41+'TX-HPLR-GL '!AI41</f>
        <v>0</v>
      </c>
    </row>
    <row r="42" spans="1:33" x14ac:dyDescent="0.25">
      <c r="A42" s="9"/>
      <c r="B42" s="7"/>
      <c r="C42" s="53" t="s">
        <v>48</v>
      </c>
      <c r="D42" s="61">
        <f>SUM(D40:D41)</f>
        <v>-35300</v>
      </c>
      <c r="E42" s="39">
        <f>SUM(E40:E41)</f>
        <v>-105685.17000000001</v>
      </c>
      <c r="F42" s="61">
        <f t="shared" ref="F42:AD42" si="12">SUM(F40:F41)</f>
        <v>0</v>
      </c>
      <c r="G42" s="39">
        <f t="shared" si="12"/>
        <v>-30605</v>
      </c>
      <c r="H42" s="61">
        <f t="shared" si="12"/>
        <v>-35300</v>
      </c>
      <c r="I42" s="39">
        <f t="shared" si="12"/>
        <v>-75073.55</v>
      </c>
      <c r="J42" s="61">
        <f>SUM(J40:J41)</f>
        <v>-300</v>
      </c>
      <c r="K42" s="39">
        <f>SUM(K40:K41)</f>
        <v>-638.02</v>
      </c>
      <c r="L42" s="61">
        <f t="shared" si="12"/>
        <v>600</v>
      </c>
      <c r="M42" s="39">
        <f t="shared" si="12"/>
        <v>1276.04</v>
      </c>
      <c r="N42" s="61">
        <f t="shared" si="12"/>
        <v>0</v>
      </c>
      <c r="O42" s="39">
        <f t="shared" si="12"/>
        <v>0</v>
      </c>
      <c r="P42" s="61">
        <f t="shared" si="12"/>
        <v>2000</v>
      </c>
      <c r="Q42" s="39">
        <f t="shared" si="12"/>
        <v>4253.46</v>
      </c>
      <c r="R42" s="61">
        <f t="shared" ref="R42:W42" si="13">SUM(R40:R41)</f>
        <v>-2000</v>
      </c>
      <c r="S42" s="39">
        <f t="shared" si="13"/>
        <v>-4260</v>
      </c>
      <c r="T42" s="61">
        <f t="shared" si="13"/>
        <v>-300</v>
      </c>
      <c r="U42" s="39">
        <f t="shared" si="13"/>
        <v>-638.1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1165506</v>
      </c>
      <c r="E43" s="39">
        <f>E42+E39</f>
        <v>3441976.17</v>
      </c>
      <c r="F43" s="61">
        <f t="shared" ref="F43:AD43" si="14">F42+F39</f>
        <v>0</v>
      </c>
      <c r="G43" s="39">
        <f t="shared" si="14"/>
        <v>-30605</v>
      </c>
      <c r="H43" s="61">
        <f t="shared" si="14"/>
        <v>-35300</v>
      </c>
      <c r="I43" s="39">
        <f t="shared" si="14"/>
        <v>-75073.55</v>
      </c>
      <c r="J43" s="61">
        <f>J42+J39</f>
        <v>1200506</v>
      </c>
      <c r="K43" s="39">
        <f>K42+K39</f>
        <v>3547023.32</v>
      </c>
      <c r="L43" s="61">
        <f t="shared" si="14"/>
        <v>600</v>
      </c>
      <c r="M43" s="39">
        <f t="shared" si="14"/>
        <v>1276.04</v>
      </c>
      <c r="N43" s="61">
        <f t="shared" si="14"/>
        <v>0</v>
      </c>
      <c r="O43" s="39">
        <f t="shared" si="14"/>
        <v>0</v>
      </c>
      <c r="P43" s="61">
        <f t="shared" si="14"/>
        <v>2000</v>
      </c>
      <c r="Q43" s="39">
        <f t="shared" si="14"/>
        <v>4253.46</v>
      </c>
      <c r="R43" s="61">
        <f t="shared" ref="R43:W43" si="15">R42+R39</f>
        <v>-2000</v>
      </c>
      <c r="S43" s="39">
        <f t="shared" si="15"/>
        <v>-4260</v>
      </c>
      <c r="T43" s="61">
        <f t="shared" si="15"/>
        <v>-300</v>
      </c>
      <c r="U43" s="39">
        <f t="shared" si="15"/>
        <v>-638.1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'TX-EGM-GL'!AH45+'TX-HPLR-GL '!AH45</f>
        <v>0</v>
      </c>
      <c r="AG45" s="38">
        <f>'TX-EGM-GL'!AI45+'TX-HPLR-GL '!AI45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-0.62000000000080036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-0.18000000000029104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'TX-EGM-GL'!AH47+'TX-HPLR-GL '!AH47</f>
        <v>0</v>
      </c>
      <c r="AG47" s="38">
        <f>'TX-EGM-GL'!AI47+'TX-HPLR-GL '!AI47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139460</v>
      </c>
      <c r="E49" s="38">
        <f>SUM(G49,I49,K49,M49,O49,Q49,S49,U49,W49,Y49,AA49,AC49,AE49,AG49)</f>
        <v>381319.87199999986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6181126</v>
      </c>
      <c r="I49" s="38">
        <f>'TX-EGM-GL'!I49+'TX-HPLR-GL '!I49+'TX-HPLC-GL'!I49</f>
        <v>17727469.743999999</v>
      </c>
      <c r="J49" s="60">
        <f>'TX-EGM-GL'!J49+'TX-HPLR-GL '!J49+'TX-HPLC-GL'!J49</f>
        <v>-6390814</v>
      </c>
      <c r="K49" s="38">
        <f>'TX-EGM-GL'!K49+'TX-HPLR-GL '!K49+'TX-HPLC-GL'!K49</f>
        <v>-18347506.335999999</v>
      </c>
      <c r="L49" s="60">
        <f>'TX-EGM-GL'!L49+'TX-HPLR-GL '!L49</f>
        <v>331460</v>
      </c>
      <c r="M49" s="38">
        <f>'TX-EGM-GL'!M49+'TX-HPLR-GL '!M49</f>
        <v>950627.28</v>
      </c>
      <c r="N49" s="60">
        <f>'TX-EGM-GL'!N49+'TX-HPLR-GL '!N49</f>
        <v>-2347</v>
      </c>
      <c r="O49" s="38">
        <f>'TX-EGM-GL'!O49+'TX-HPLR-GL '!O49</f>
        <v>-6731.1959999999999</v>
      </c>
      <c r="P49" s="60">
        <f>'TX-EGM-GL'!P49+'TX-HPLR-GL '!P49</f>
        <v>8923</v>
      </c>
      <c r="Q49" s="38">
        <f>'TX-EGM-GL'!Q49+'TX-HPLR-GL '!Q49</f>
        <v>25591.164000000001</v>
      </c>
      <c r="R49" s="60">
        <f>'TX-EGM-GL'!R49+'TX-HPLR-GL '!R49</f>
        <v>2000</v>
      </c>
      <c r="S49" s="38">
        <f>'TX-EGM-GL'!S49+'TX-HPLR-GL '!S49</f>
        <v>5736</v>
      </c>
      <c r="T49" s="60">
        <f>'TX-EGM-GL'!T49+'TX-HPLR-GL '!T49</f>
        <v>-10503</v>
      </c>
      <c r="U49" s="38">
        <f>'TX-EGM-GL'!U49+'TX-HPLR-GL '!U49</f>
        <v>-30122.603999999999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19615</v>
      </c>
      <c r="AA49" s="38">
        <f>'TX-EGM-GL'!AA49+'TX-HPLR-GL '!AA49</f>
        <v>56255.82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  <c r="AF49" s="60">
        <f>'TX-EGM-GL'!AH49+'TX-HPLR-GL '!AH49</f>
        <v>0</v>
      </c>
      <c r="AG49" s="38">
        <f>'TX-EGM-GL'!AI49+'TX-HPLR-GL '!AI49</f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-2436</v>
      </c>
      <c r="E51" s="38">
        <f>SUM(G51,I51,K51,M51,O51,Q51,S51,U51,W51,Y51,AA51,AC51,AE51,AG51)</f>
        <v>-6986.4480000000003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360</v>
      </c>
      <c r="I51" s="38">
        <f>'TX-EGM-GL'!I51+'TX-HPLR-GL '!I51+'TX-HPLC-GL'!I51</f>
        <v>1032.48</v>
      </c>
      <c r="J51" s="60">
        <f>'TX-EGM-GL'!J51+'TX-HPLR-GL '!J51+'TX-HPLC-GL'!J51</f>
        <v>-2037</v>
      </c>
      <c r="K51" s="38">
        <f>'TX-EGM-GL'!K51+'TX-HPLR-GL '!K51+'TX-HPLC-GL'!K51</f>
        <v>-5842.116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-720</v>
      </c>
      <c r="Q51" s="38">
        <f>'TX-EGM-GL'!Q51+'TX-HPLR-GL '!Q51</f>
        <v>-2064.96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-39</v>
      </c>
      <c r="AA51" s="38">
        <f>'TX-EGM-GL'!AA51+'TX-HPLR-GL '!AA51</f>
        <v>-111.852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'TX-EGM-GL'!AH51+'TX-HPLR-GL '!AH51</f>
        <v>0</v>
      </c>
      <c r="AG51" s="38">
        <f>'TX-EGM-GL'!AI51+'TX-HPLR-GL '!AI51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-15615830</v>
      </c>
      <c r="E54" s="38">
        <f>SUM(G54,I54,K54,M54,O54,Q54,S54,U54,W54,Y54,AA54,AC54,AE54,AG54)</f>
        <v>-1782474.88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0</v>
      </c>
      <c r="H54" s="60">
        <f>'TX-EGM-GL'!H54+'TX-HPLR-GL '!H54+'TX-HPLC-GL'!H54</f>
        <v>-9777875</v>
      </c>
      <c r="I54" s="38">
        <f>'TX-EGM-GL'!I54+'TX-HPLR-GL '!I54+'TX-HPLC-GL'!I54</f>
        <v>-1776754.5699999998</v>
      </c>
      <c r="J54" s="60">
        <f>'TX-EGM-GL'!J54+'TX-HPLR-GL '!J54+'TX-HPLC-GL'!J54</f>
        <v>-5653160</v>
      </c>
      <c r="K54" s="38">
        <f>'TX-EGM-GL'!K54+'TX-HPLR-GL '!K54+'TX-HPLC-GL'!K54</f>
        <v>3389.19</v>
      </c>
      <c r="L54" s="60">
        <f>'TX-EGM-GL'!L54+'TX-HPLR-GL '!L54</f>
        <v>-18540</v>
      </c>
      <c r="M54" s="38">
        <f>'TX-EGM-GL'!M54+'TX-HPLR-GL '!M54</f>
        <v>-7055.03</v>
      </c>
      <c r="N54" s="60">
        <f>'TX-EGM-GL'!N54+'TX-HPLR-GL '!N54</f>
        <v>341331</v>
      </c>
      <c r="O54" s="38">
        <f>'TX-EGM-GL'!O54+'TX-HPLR-GL '!O54</f>
        <v>13317.62</v>
      </c>
      <c r="P54" s="60">
        <f>'TX-EGM-GL'!P54+'TX-HPLR-GL '!P54</f>
        <v>-9291</v>
      </c>
      <c r="Q54" s="38">
        <f>'TX-EGM-GL'!Q54+'TX-HPLR-GL '!Q54</f>
        <v>-514.88</v>
      </c>
      <c r="R54" s="60">
        <f>'TX-EGM-GL'!R54+'TX-HPLR-GL '!R54</f>
        <v>5000</v>
      </c>
      <c r="S54" s="38">
        <f>'TX-EGM-GL'!S54+'TX-HPLR-GL '!S54</f>
        <v>45.95</v>
      </c>
      <c r="T54" s="60">
        <f>'TX-EGM-GL'!T54+'TX-HPLR-GL '!T54</f>
        <v>-37403</v>
      </c>
      <c r="U54" s="38">
        <f>'TX-EGM-GL'!U54+'TX-HPLR-GL '!U54</f>
        <v>-14530.83</v>
      </c>
      <c r="V54" s="60">
        <f>'TX-EGM-GL'!V54+'TX-HPLR-GL '!V54</f>
        <v>1500</v>
      </c>
      <c r="W54" s="38">
        <f>'TX-EGM-GL'!W54+'TX-HPLR-GL '!W54</f>
        <v>269.98</v>
      </c>
      <c r="X54" s="60">
        <f>'TX-EGM-GL'!X54+'TX-HPLR-GL '!X54</f>
        <v>-3368</v>
      </c>
      <c r="Y54" s="38">
        <f>'TX-EGM-GL'!Y54+'TX-HPLR-GL '!Y54</f>
        <v>0</v>
      </c>
      <c r="Z54" s="60">
        <f>'TX-EGM-GL'!Z54+'TX-HPLR-GL '!Z54</f>
        <v>-405780</v>
      </c>
      <c r="AA54" s="38">
        <f>'TX-EGM-GL'!AA54+'TX-HPLR-GL '!AA54</f>
        <v>0</v>
      </c>
      <c r="AB54" s="60">
        <f>'TX-EGM-GL'!AB54+'TX-HPLR-GL '!AB54</f>
        <v>-42284</v>
      </c>
      <c r="AC54" s="38">
        <f>'TX-EGM-GL'!AC54+'TX-HPLR-GL '!AC54</f>
        <v>-642.30999999999995</v>
      </c>
      <c r="AD54" s="60">
        <f>'TX-EGM-GL'!AD54+'TX-HPLR-GL '!AD54</f>
        <v>-15960</v>
      </c>
      <c r="AE54" s="38">
        <f>'TX-EGM-GL'!AE54+'TX-HPLR-GL '!AE54</f>
        <v>0</v>
      </c>
      <c r="AF54" s="60">
        <f>'TX-EGM-GL'!AH54+'TX-HPLR-GL '!AH54</f>
        <v>0</v>
      </c>
      <c r="AG54" s="38">
        <f>'TX-EGM-GL'!AI54+'TX-HPLR-GL '!AI54</f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-41961.3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-40884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-93300</v>
      </c>
      <c r="P55" s="60">
        <f>'TX-EGM-GL'!P55+'TX-HPLR-GL '!P55</f>
        <v>0</v>
      </c>
      <c r="Q55" s="38">
        <f>'TX-EGM-GL'!Q55+'TX-HPLR-GL '!Q55</f>
        <v>92916</v>
      </c>
      <c r="R55" s="60">
        <f>'TX-EGM-GL'!R55+'TX-HPLR-GL '!R55</f>
        <v>0</v>
      </c>
      <c r="S55" s="38">
        <f>'TX-EGM-GL'!S55+'TX-HPLR-GL '!S55</f>
        <v>0</v>
      </c>
      <c r="T55" s="60">
        <f>'TX-EGM-GL'!T55+'TX-HPLR-GL '!T55</f>
        <v>0</v>
      </c>
      <c r="U55" s="38">
        <f>'TX-EGM-GL'!U55+'TX-HPLR-GL '!U55</f>
        <v>-693.3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'TX-EGM-GL'!AH55+'TX-HPLR-GL '!AH55</f>
        <v>0</v>
      </c>
      <c r="AG55" s="38">
        <f>'TX-EGM-GL'!AI55+'TX-HPLR-GL '!AI55</f>
        <v>0</v>
      </c>
    </row>
    <row r="56" spans="1:33" x14ac:dyDescent="0.25">
      <c r="A56" s="9"/>
      <c r="B56" s="7" t="s">
        <v>57</v>
      </c>
      <c r="C56" s="6"/>
      <c r="D56" s="61">
        <f>SUM(D54:D55)</f>
        <v>-15615830</v>
      </c>
      <c r="E56" s="39">
        <f>SUM(E54:E55)</f>
        <v>-1824436.18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-9777875</v>
      </c>
      <c r="I56" s="39">
        <f t="shared" si="16"/>
        <v>-1817638.5699999998</v>
      </c>
      <c r="J56" s="61">
        <f>SUM(J54:J55)</f>
        <v>-5653160</v>
      </c>
      <c r="K56" s="39">
        <f>SUM(K54:K55)</f>
        <v>3389.19</v>
      </c>
      <c r="L56" s="61">
        <f t="shared" si="16"/>
        <v>-18540</v>
      </c>
      <c r="M56" s="39">
        <f t="shared" si="16"/>
        <v>-7055.03</v>
      </c>
      <c r="N56" s="61">
        <f t="shared" si="16"/>
        <v>341331</v>
      </c>
      <c r="O56" s="39">
        <f t="shared" si="16"/>
        <v>-79982.38</v>
      </c>
      <c r="P56" s="61">
        <f t="shared" si="16"/>
        <v>-9291</v>
      </c>
      <c r="Q56" s="39">
        <f t="shared" si="16"/>
        <v>92401.12</v>
      </c>
      <c r="R56" s="61">
        <f t="shared" ref="R56:W56" si="17">SUM(R54:R55)</f>
        <v>5000</v>
      </c>
      <c r="S56" s="39">
        <f t="shared" si="17"/>
        <v>45.95</v>
      </c>
      <c r="T56" s="61">
        <f t="shared" si="17"/>
        <v>-37403</v>
      </c>
      <c r="U56" s="39">
        <f t="shared" si="17"/>
        <v>-15224.13</v>
      </c>
      <c r="V56" s="61">
        <f t="shared" si="17"/>
        <v>1500</v>
      </c>
      <c r="W56" s="39">
        <f t="shared" si="17"/>
        <v>269.98</v>
      </c>
      <c r="X56" s="61">
        <f>SUM(X54:X55)</f>
        <v>-3368</v>
      </c>
      <c r="Y56" s="39">
        <f>SUM(Y54:Y55)</f>
        <v>0</v>
      </c>
      <c r="Z56" s="61">
        <f>SUM(Z54:Z55)</f>
        <v>-405780</v>
      </c>
      <c r="AA56" s="39">
        <f>SUM(AA54:AA55)</f>
        <v>0</v>
      </c>
      <c r="AB56" s="61">
        <f t="shared" si="16"/>
        <v>-42284</v>
      </c>
      <c r="AC56" s="39">
        <f>SUM(AC54:AC55)</f>
        <v>-642.30999999999995</v>
      </c>
      <c r="AD56" s="61">
        <f t="shared" si="16"/>
        <v>-15960</v>
      </c>
      <c r="AE56" s="39">
        <f>SUM(AE54:AE55)</f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'TX-EGM-GL'!AH59+'TX-HPLR-GL '!AH59</f>
        <v>0</v>
      </c>
      <c r="AG59" s="38">
        <f>'TX-EGM-GL'!AI59+'TX-HPLR-GL '!AI59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'TX-EGM-GL'!AH60+'TX-HPLR-GL '!AH60</f>
        <v>0</v>
      </c>
      <c r="AG60" s="38">
        <f>'TX-EGM-GL'!AI60+'TX-HPLR-GL '!AI60</f>
        <v>0</v>
      </c>
    </row>
    <row r="61" spans="1:33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-1219</v>
      </c>
      <c r="E64" s="38">
        <f>SUM(G64,I64,K64,M64,O64,Q64,S64,U64,W64,Y64,AA64,AC64,AE64,AG64)</f>
        <v>-67691.210000000006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-1152</v>
      </c>
      <c r="I64" s="38">
        <f>'TX-EGM-GL'!I64+'TX-HPLR-GL '!I64+'TX-HPLC-GL'!I64</f>
        <v>-60053.64</v>
      </c>
      <c r="J64" s="60">
        <f>'TX-EGM-GL'!J64+'TX-HPLR-GL '!J64+'TX-HPLC-GL'!J64</f>
        <v>-67</v>
      </c>
      <c r="K64" s="38">
        <f>'TX-EGM-GL'!K64+'TX-HPLR-GL '!K64+'TX-HPLC-GL'!K64</f>
        <v>-483.93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-7153.64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  <c r="AF64" s="60">
        <f>'TX-EGM-GL'!AH64+'TX-HPLR-GL '!AH64</f>
        <v>0</v>
      </c>
      <c r="AG64" s="38">
        <f>'TX-EGM-GL'!AI64+'TX-HPLR-GL '!AI64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'TX-EGM-GL'!AH65+'TX-HPLR-GL '!AH65</f>
        <v>0</v>
      </c>
      <c r="AG65" s="38">
        <f>'TX-EGM-GL'!AI65+'TX-HPLR-GL '!AI65</f>
        <v>0</v>
      </c>
    </row>
    <row r="66" spans="1:33" x14ac:dyDescent="0.25">
      <c r="A66" s="9"/>
      <c r="B66" s="7" t="s">
        <v>64</v>
      </c>
      <c r="C66" s="6"/>
      <c r="D66" s="61">
        <f>SUM(D64:D65)</f>
        <v>-1219</v>
      </c>
      <c r="E66" s="39">
        <f>SUM(E64:E65)</f>
        <v>-7691.2100000000064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-1152</v>
      </c>
      <c r="I66" s="39">
        <f t="shared" si="20"/>
        <v>-53.639999999999418</v>
      </c>
      <c r="J66" s="61">
        <f>SUM(J64:J65)</f>
        <v>-67</v>
      </c>
      <c r="K66" s="39">
        <f>SUM(K64:K65)</f>
        <v>-483.93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-7153.64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-1525317.93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-1489400.93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-35917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'TX-EGM-GL'!AH70+'TX-HPLR-GL '!AH70</f>
        <v>0</v>
      </c>
      <c r="AG70" s="38">
        <f>'TX-EGM-GL'!AI70+'TX-HPLR-GL '!AI70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2659621.73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2659621.73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'TX-EGM-GL'!AH71+'TX-HPLR-GL '!AH71</f>
        <v>0</v>
      </c>
      <c r="AG71" s="38">
        <f>'TX-EGM-GL'!AI71+'TX-HPLR-GL '!AI71</f>
        <v>0</v>
      </c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1134303.8</v>
      </c>
      <c r="F72" s="61">
        <f t="shared" ref="F72:AD72" si="22">SUM(F70:F71)</f>
        <v>0</v>
      </c>
      <c r="G72" s="39">
        <f t="shared" si="22"/>
        <v>1170220.8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-35917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'TX-EGM-GL'!AH73+'TX-HPLR-GL '!AH73</f>
        <v>0</v>
      </c>
      <c r="AG73" s="38">
        <f>'TX-EGM-GL'!AI73+'TX-HPLR-GL '!AI73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-965880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12120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-978000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'TX-EGM-GL'!AH74+'TX-HPLR-GL '!AH74</f>
        <v>0</v>
      </c>
      <c r="AG74" s="38">
        <f>'TX-EGM-GL'!AI74+'TX-HPLR-GL '!AI74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900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'TX-EGM-GL'!AH75+'TX-HPLR-GL '!AH75</f>
        <v>0</v>
      </c>
      <c r="AG75" s="38">
        <f>'TX-EGM-GL'!AI75+'TX-HPLR-GL '!AI75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-2466.0200000000004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-2466.02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1967.5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'TX-EGM-GL'!AH76+'TX-HPLR-GL '!AH76</f>
        <v>0</v>
      </c>
      <c r="AG76" s="38">
        <f>'TX-EGM-GL'!AI76+'TX-HPLR-GL '!AI76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'TX-EGM-GL'!AH77+'TX-HPLR-GL '!AH77</f>
        <v>0</v>
      </c>
      <c r="AG77" s="38">
        <f>'TX-EGM-GL'!AI77+'TX-HPLR-GL '!AI77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'TX-EGM-GL'!AH78+'TX-HPLR-GL '!AH78</f>
        <v>0</v>
      </c>
      <c r="AG78" s="38">
        <f>'TX-EGM-GL'!AI78+'TX-HPLR-GL '!AI78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'TX-EGM-GL'!AH79+'TX-HPLR-GL '!AH79</f>
        <v>0</v>
      </c>
      <c r="AG79" s="38">
        <f>'TX-EGM-GL'!AI79+'TX-HPLR-GL '!AI79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'TX-EGM-GL'!AH80+'TX-HPLR-GL '!AH80</f>
        <v>0</v>
      </c>
      <c r="AG80" s="38">
        <f>'TX-EGM-GL'!AI80+'TX-HPLR-GL '!AI80</f>
        <v>0</v>
      </c>
    </row>
    <row r="81" spans="1:69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-1757069</v>
      </c>
      <c r="J81" s="60">
        <f>'TX-EGM-GL'!J81+'TX-HPLR-GL '!J81+'TX-HPLC-GL'!J81</f>
        <v>0</v>
      </c>
      <c r="K81" s="38">
        <f>'TX-EGM-GL'!K81+'TX-HPLR-GL '!K81+'TX-HPLC-GL'!K81</f>
        <v>1757069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'TX-EGM-GL'!AH81+'TX-HPLR-GL '!AH81</f>
        <v>0</v>
      </c>
      <c r="AG81" s="38">
        <f>'TX-EGM-GL'!AI81+'TX-HPLR-GL '!AI81</f>
        <v>0</v>
      </c>
    </row>
    <row r="82" spans="1:69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4419227.5790000353</v>
      </c>
      <c r="F82" s="91">
        <f>F16+F24+F29+F36+F43+F45+F47+F49</f>
        <v>0</v>
      </c>
      <c r="G82" s="92">
        <f>SUM(G72:G81)+G16+G24+G29+G36+G43+G45+G47+G49+G51+G56+G61+G66</f>
        <v>72341.479999999516</v>
      </c>
      <c r="H82" s="91">
        <f>H16+H24+H29+H36+H43+H45+H47+H49</f>
        <v>0</v>
      </c>
      <c r="I82" s="92">
        <f>SUM(I72:I81)+I16+I24+I29+I36+I43+I45+I47+I49+I51+I56+I61+I66</f>
        <v>3513289.9240000127</v>
      </c>
      <c r="J82" s="91">
        <f>J16+J24+J29+J36+J43+J45+J47+J49</f>
        <v>0</v>
      </c>
      <c r="K82" s="92">
        <f>SUM(K72:K81)+K16+K24+K29+K36+K43+K45+K47+K49+K51+K56+K61+K66</f>
        <v>2284010.2739999988</v>
      </c>
      <c r="L82" s="91">
        <f>L16+L24+L29+L36+L43+L45+L47+L49</f>
        <v>0</v>
      </c>
      <c r="M82" s="92">
        <f>SUM(M72:M81)+M16+M24+M29+M36+M43+M45+M47+M49+M51+M56+M61+M66</f>
        <v>-2742804.8069999996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1336894.6000000001</v>
      </c>
      <c r="Z82" s="91">
        <f>Z16+Z24+Z29+Z36+Z43+Z45+Z47+Z49</f>
        <v>0</v>
      </c>
      <c r="AA82" s="92">
        <f>SUM(AA72:AA81)+AA16+AA24+AA29+AA36+AA43+AA45+AA47+AA49+AA51+AA56+AA61+AA66</f>
        <v>-34438.7279999987</v>
      </c>
      <c r="AB82" s="91">
        <f>AB16+AB24+AB29+AB36+AB43+AB45+AB47+AB49</f>
        <v>0</v>
      </c>
      <c r="AC82" s="92">
        <f>SUM(AC72:AC81)+AC16+AC24+AC29+AC36+AC43+AC45+AC47+AC49+AC51+AC56+AC61+AC66</f>
        <v>-642.30999999999995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69" ht="13.8" thickTop="1" x14ac:dyDescent="0.25">
      <c r="A83" s="4"/>
      <c r="B83" s="3"/>
    </row>
    <row r="84" spans="1:69" x14ac:dyDescent="0.25">
      <c r="A84" s="4"/>
      <c r="B84" s="3"/>
    </row>
    <row r="85" spans="1:69" x14ac:dyDescent="0.25">
      <c r="A85" s="4" t="s">
        <v>171</v>
      </c>
      <c r="B85" s="3"/>
      <c r="F85" s="31"/>
      <c r="G85" s="31"/>
      <c r="H85" s="31"/>
      <c r="I85" s="31"/>
      <c r="J85" s="31"/>
      <c r="K85" s="31"/>
      <c r="L85" s="45"/>
    </row>
    <row r="86" spans="1:69" s="3" customFormat="1" x14ac:dyDescent="0.25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0</v>
      </c>
      <c r="F86" s="167">
        <f>('TIE-OUT'!R86+'TIE-OUT'!T86+'TIE-OUT'!V86)+(RECLASS!P86+RECLASS!R86+RECLASS!T86)</f>
        <v>0</v>
      </c>
      <c r="G86" s="167">
        <f>('TIE-OUT'!S86+'TIE-OUT'!U86+'TIE-OUT'!W86)+(RECLASS!Q86+RECLASS!S86+RECLASS!U86)</f>
        <v>0</v>
      </c>
      <c r="H86" s="167">
        <f>'TX-EGM-GL'!H86+'TX-HPLR-GL '!H86+'TX-HPLC-GL'!H86</f>
        <v>0</v>
      </c>
      <c r="I86" s="167">
        <f>'TX-EGM-GL'!I86+'TX-HPLR-GL '!I86+'TX-HPLC-GL'!I86</f>
        <v>0</v>
      </c>
      <c r="J86" s="167">
        <f>'TX-EGM-GL'!J86+'TX-HPLR-GL '!J86+'TX-HPLC-GL'!J86</f>
        <v>0</v>
      </c>
      <c r="K86" s="167">
        <f>'TX-EGM-GL'!K86+'TX-HPLR-GL '!K86+'TX-HPLC-GL'!K86</f>
        <v>0</v>
      </c>
      <c r="L86" s="167">
        <f>'TX-EGM-GL'!L86+'TX-HPLR-GL '!L86</f>
        <v>0</v>
      </c>
      <c r="M86" s="167">
        <f>'TX-EGM-GL'!M86+'TX-HPLR-GL '!M86</f>
        <v>0</v>
      </c>
      <c r="N86" s="167">
        <f>'TX-EGM-GL'!N86+'TX-HPLR-GL '!N86</f>
        <v>0</v>
      </c>
      <c r="O86" s="167">
        <f>'TX-EGM-GL'!O86+'TX-HPLR-GL '!O86</f>
        <v>0</v>
      </c>
      <c r="P86" s="167">
        <f>'TX-EGM-GL'!P86+'TX-HPLR-GL '!P86</f>
        <v>0</v>
      </c>
      <c r="Q86" s="167">
        <f>'TX-EGM-GL'!Q86+'TX-HPLR-GL '!Q86</f>
        <v>0</v>
      </c>
      <c r="R86" s="167">
        <f>'TX-EGM-GL'!R86+'TX-HPLR-GL '!R86</f>
        <v>0</v>
      </c>
      <c r="S86" s="167">
        <f>'TX-EGM-GL'!S86+'TX-HPLR-GL '!S86</f>
        <v>0</v>
      </c>
      <c r="T86" s="167">
        <f>'TX-EGM-GL'!T86+'TX-HPLR-GL '!T86</f>
        <v>0</v>
      </c>
      <c r="U86" s="167">
        <f>'TX-EGM-GL'!U86+'TX-HPLR-GL '!U86</f>
        <v>0</v>
      </c>
      <c r="V86" s="167">
        <f>'TX-EGM-GL'!V86+'TX-HPLR-GL '!V86</f>
        <v>0</v>
      </c>
      <c r="W86" s="167">
        <f>'TX-EGM-GL'!W86+'TX-HPLR-GL '!W86</f>
        <v>0</v>
      </c>
      <c r="X86" s="167">
        <f>'TX-EGM-GL'!X86+'TX-HPLR-GL '!X86</f>
        <v>0</v>
      </c>
      <c r="Y86" s="167">
        <f>'TX-EGM-GL'!Y86+'TX-HPLR-GL '!Y86</f>
        <v>0</v>
      </c>
      <c r="Z86" s="167">
        <f>'TX-EGM-GL'!Z86+'TX-HPLR-GL '!Z86</f>
        <v>0</v>
      </c>
      <c r="AA86" s="167">
        <f>'TX-EGM-GL'!AA86+'TX-HPLR-GL '!AA86</f>
        <v>0</v>
      </c>
      <c r="AB86" s="167">
        <f>'TX-EGM-GL'!AB86+'TX-HPLR-GL '!AB86</f>
        <v>0</v>
      </c>
      <c r="AC86" s="167">
        <f>'TX-EGM-GL'!AC86+'TX-HPLR-GL '!AC86</f>
        <v>0</v>
      </c>
      <c r="AD86" s="167">
        <f>'TX-EGM-GL'!AD86+'TX-HPLR-GL '!AD86</f>
        <v>0</v>
      </c>
      <c r="AE86" s="167">
        <f>'TX-EGM-GL'!AE86+'TX-HPLR-GL '!AE86</f>
        <v>0</v>
      </c>
      <c r="AF86" s="167">
        <f>'TX-EGM-GL'!AH86+'TX-HPLR-GL '!AH86</f>
        <v>0</v>
      </c>
      <c r="AG86" s="167">
        <f>'TX-EGM-GL'!AI86+'TX-HPLR-GL '!AI86</f>
        <v>0</v>
      </c>
    </row>
    <row r="87" spans="1:69" s="3" customFormat="1" x14ac:dyDescent="0.25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('TIE-OUT'!R87+'TIE-OUT'!T87+'TIE-OUT'!V87)+(RECLASS!P87+RECLASS!R87+RECLASS!T87)</f>
        <v>0</v>
      </c>
      <c r="G87" s="168">
        <f>('TIE-OUT'!S87+'TIE-OUT'!U87+'TIE-OUT'!W87)+(RECLASS!Q87+RECLASS!S87+RECLASS!U87)</f>
        <v>0</v>
      </c>
      <c r="H87" s="168">
        <f>'TX-EGM-GL'!H87+'TX-HPLR-GL '!H87+'TX-HPLC-GL'!H87</f>
        <v>0</v>
      </c>
      <c r="I87" s="168">
        <f>'TX-EGM-GL'!I87+'TX-HPLR-GL '!I87+'TX-HPLC-GL'!I87</f>
        <v>0</v>
      </c>
      <c r="J87" s="168">
        <f>'TX-EGM-GL'!J87+'TX-HPLR-GL '!J87+'TX-HPLC-GL'!J87</f>
        <v>0</v>
      </c>
      <c r="K87" s="168">
        <f>'TX-EGM-GL'!K87+'TX-HPLR-GL '!K87+'TX-HPLC-GL'!K87</f>
        <v>0</v>
      </c>
      <c r="L87" s="168">
        <f>'TX-EGM-GL'!L87+'TX-HPLR-GL '!L87</f>
        <v>0</v>
      </c>
      <c r="M87" s="168">
        <f>'TX-EGM-GL'!M87+'TX-HPLR-GL '!M87</f>
        <v>0</v>
      </c>
      <c r="N87" s="168">
        <f>'TX-EGM-GL'!N87+'TX-HPLR-GL '!N87</f>
        <v>0</v>
      </c>
      <c r="O87" s="168">
        <f>'TX-EGM-GL'!O87+'TX-HPLR-GL '!O87</f>
        <v>0</v>
      </c>
      <c r="P87" s="168">
        <f>'TX-EGM-GL'!P87+'TX-HPLR-GL '!P87</f>
        <v>0</v>
      </c>
      <c r="Q87" s="168">
        <f>'TX-EGM-GL'!Q87+'TX-HPLR-GL '!Q87</f>
        <v>0</v>
      </c>
      <c r="R87" s="168">
        <f>'TX-EGM-GL'!R87+'TX-HPLR-GL '!R87</f>
        <v>0</v>
      </c>
      <c r="S87" s="168">
        <f>'TX-EGM-GL'!S87+'TX-HPLR-GL '!S87</f>
        <v>0</v>
      </c>
      <c r="T87" s="168">
        <f>'TX-EGM-GL'!T87+'TX-HPLR-GL '!T87</f>
        <v>0</v>
      </c>
      <c r="U87" s="168">
        <f>'TX-EGM-GL'!U87+'TX-HPLR-GL '!U87</f>
        <v>0</v>
      </c>
      <c r="V87" s="168">
        <f>'TX-EGM-GL'!V87+'TX-HPLR-GL '!V87</f>
        <v>0</v>
      </c>
      <c r="W87" s="168">
        <f>'TX-EGM-GL'!W87+'TX-HPLR-GL '!W87</f>
        <v>0</v>
      </c>
      <c r="X87" s="168">
        <f>'TX-EGM-GL'!X87+'TX-HPLR-GL '!X87</f>
        <v>0</v>
      </c>
      <c r="Y87" s="168">
        <f>'TX-EGM-GL'!Y87+'TX-HPLR-GL '!Y87</f>
        <v>0</v>
      </c>
      <c r="Z87" s="168">
        <f>'TX-EGM-GL'!Z87+'TX-HPLR-GL '!Z87</f>
        <v>0</v>
      </c>
      <c r="AA87" s="168">
        <f>'TX-EGM-GL'!AA87+'TX-HPLR-GL '!AA87</f>
        <v>0</v>
      </c>
      <c r="AB87" s="168">
        <f>'TX-EGM-GL'!AB87+'TX-HPLR-GL '!AB87</f>
        <v>0</v>
      </c>
      <c r="AC87" s="168">
        <f>'TX-EGM-GL'!AC87+'TX-HPLR-GL '!AC87</f>
        <v>0</v>
      </c>
      <c r="AD87" s="168">
        <f>'TX-EGM-GL'!AD87+'TX-HPLR-GL '!AD87</f>
        <v>0</v>
      </c>
      <c r="AE87" s="168">
        <f>'TX-EGM-GL'!AE87+'TX-HPLR-GL '!AE87</f>
        <v>0</v>
      </c>
      <c r="AF87" s="168">
        <f>'TX-EGM-GL'!AH87+'TX-HPLR-GL '!AH87</f>
        <v>0</v>
      </c>
      <c r="AG87" s="168">
        <f>'TX-EGM-GL'!AI87+'TX-HPLR-GL '!AI87</f>
        <v>0</v>
      </c>
    </row>
    <row r="88" spans="1:69" s="3" customFormat="1" x14ac:dyDescent="0.25">
      <c r="A88" s="166"/>
      <c r="C88" s="10" t="s">
        <v>72</v>
      </c>
      <c r="D88" s="169">
        <f t="shared" si="26"/>
        <v>0</v>
      </c>
      <c r="E88" s="169">
        <f t="shared" si="26"/>
        <v>924200</v>
      </c>
      <c r="F88" s="169">
        <f>('TIE-OUT'!R88+'TIE-OUT'!T88+'TIE-OUT'!V88)+(RECLASS!P88+RECLASS!R88+RECLASS!T88)</f>
        <v>0</v>
      </c>
      <c r="G88" s="169">
        <f>('TIE-OUT'!S88+'TIE-OUT'!U88+'TIE-OUT'!W88)+(RECLASS!Q88+RECLASS!S88+RECLASS!U88)</f>
        <v>924200</v>
      </c>
      <c r="H88" s="169">
        <f>'TX-EGM-GL'!H88+'TX-HPLR-GL '!H88+'TX-HPLC-GL'!H88</f>
        <v>0</v>
      </c>
      <c r="I88" s="169">
        <f>'TX-EGM-GL'!I88+'TX-HPLR-GL '!I88+'TX-HPLC-GL'!I88</f>
        <v>0</v>
      </c>
      <c r="J88" s="169">
        <f>'TX-EGM-GL'!J88+'TX-HPLR-GL '!J88+'TX-HPLC-GL'!J88</f>
        <v>0</v>
      </c>
      <c r="K88" s="169">
        <f>'TX-EGM-GL'!K88+'TX-HPLR-GL '!K88+'TX-HPLC-GL'!K88</f>
        <v>0</v>
      </c>
      <c r="L88" s="169">
        <f>'TX-EGM-GL'!L88+'TX-HPLR-GL '!L88</f>
        <v>0</v>
      </c>
      <c r="M88" s="169">
        <f>'TX-EGM-GL'!M88+'TX-HPLR-GL '!M88</f>
        <v>0</v>
      </c>
      <c r="N88" s="169">
        <f>'TX-EGM-GL'!N88+'TX-HPLR-GL '!N88</f>
        <v>0</v>
      </c>
      <c r="O88" s="169">
        <f>'TX-EGM-GL'!O88+'TX-HPLR-GL '!O88</f>
        <v>0</v>
      </c>
      <c r="P88" s="169">
        <f>'TX-EGM-GL'!P88+'TX-HPLR-GL '!P88</f>
        <v>0</v>
      </c>
      <c r="Q88" s="169">
        <f>'TX-EGM-GL'!Q88+'TX-HPLR-GL '!Q88</f>
        <v>0</v>
      </c>
      <c r="R88" s="169">
        <f>'TX-EGM-GL'!R88+'TX-HPLR-GL '!R88</f>
        <v>0</v>
      </c>
      <c r="S88" s="169">
        <f>'TX-EGM-GL'!S88+'TX-HPLR-GL '!S88</f>
        <v>0</v>
      </c>
      <c r="T88" s="169">
        <f>'TX-EGM-GL'!T88+'TX-HPLR-GL '!T88</f>
        <v>0</v>
      </c>
      <c r="U88" s="169">
        <f>'TX-EGM-GL'!U88+'TX-HPLR-GL '!U88</f>
        <v>0</v>
      </c>
      <c r="V88" s="169">
        <f>'TX-EGM-GL'!V88+'TX-HPLR-GL '!V88</f>
        <v>0</v>
      </c>
      <c r="W88" s="169">
        <f>'TX-EGM-GL'!W88+'TX-HPLR-GL '!W88</f>
        <v>0</v>
      </c>
      <c r="X88" s="169">
        <f>'TX-EGM-GL'!X88+'TX-HPLR-GL '!X88</f>
        <v>0</v>
      </c>
      <c r="Y88" s="169">
        <f>'TX-EGM-GL'!Y88+'TX-HPLR-GL '!Y88</f>
        <v>0</v>
      </c>
      <c r="Z88" s="169">
        <f>'TX-EGM-GL'!Z88+'TX-HPLR-GL '!Z88</f>
        <v>0</v>
      </c>
      <c r="AA88" s="169">
        <f>'TX-EGM-GL'!AA88+'TX-HPLR-GL '!AA88</f>
        <v>0</v>
      </c>
      <c r="AB88" s="169">
        <f>'TX-EGM-GL'!AB88+'TX-HPLR-GL '!AB88</f>
        <v>0</v>
      </c>
      <c r="AC88" s="169">
        <f>'TX-EGM-GL'!AC88+'TX-HPLR-GL '!AC88</f>
        <v>0</v>
      </c>
      <c r="AD88" s="169">
        <f>'TX-EGM-GL'!AD88+'TX-HPLR-GL '!AD88</f>
        <v>0</v>
      </c>
      <c r="AE88" s="169">
        <f>'TX-EGM-GL'!AE88+'TX-HPLR-GL '!AE88</f>
        <v>0</v>
      </c>
      <c r="AF88" s="169">
        <f>'TX-EGM-GL'!AH88+'TX-HPLR-GL '!AH88</f>
        <v>0</v>
      </c>
      <c r="AG88" s="169">
        <f>'TX-EGM-GL'!AI88+'TX-HPLR-GL '!AI88</f>
        <v>0</v>
      </c>
    </row>
    <row r="89" spans="1:69" s="44" customFormat="1" ht="20.25" customHeight="1" x14ac:dyDescent="0.25">
      <c r="A89" s="173"/>
      <c r="B89" s="174"/>
      <c r="C89" s="179" t="s">
        <v>170</v>
      </c>
      <c r="D89" s="177">
        <f>SUM(D86:D88)</f>
        <v>0</v>
      </c>
      <c r="E89" s="177">
        <f t="shared" ref="E89:M89" si="27">SUM(E86:E88)</f>
        <v>924200</v>
      </c>
      <c r="F89" s="177">
        <f t="shared" si="27"/>
        <v>0</v>
      </c>
      <c r="G89" s="177">
        <f t="shared" si="27"/>
        <v>924200</v>
      </c>
      <c r="H89" s="177">
        <f t="shared" si="27"/>
        <v>0</v>
      </c>
      <c r="I89" s="177">
        <f t="shared" si="27"/>
        <v>0</v>
      </c>
      <c r="J89" s="177">
        <f>SUM(J86:J88)</f>
        <v>0</v>
      </c>
      <c r="K89" s="177">
        <f>SUM(K86:K88)</f>
        <v>0</v>
      </c>
      <c r="L89" s="177">
        <f t="shared" si="27"/>
        <v>0</v>
      </c>
      <c r="M89" s="177">
        <f t="shared" si="27"/>
        <v>0</v>
      </c>
      <c r="N89" s="177">
        <f t="shared" ref="N89:AE89" si="28">SUM(N86:N88)</f>
        <v>0</v>
      </c>
      <c r="O89" s="177">
        <f t="shared" si="28"/>
        <v>0</v>
      </c>
      <c r="P89" s="177">
        <f t="shared" si="28"/>
        <v>0</v>
      </c>
      <c r="Q89" s="177">
        <f t="shared" si="28"/>
        <v>0</v>
      </c>
      <c r="R89" s="177">
        <f t="shared" si="28"/>
        <v>0</v>
      </c>
      <c r="S89" s="177">
        <f t="shared" si="28"/>
        <v>0</v>
      </c>
      <c r="T89" s="177">
        <f t="shared" si="28"/>
        <v>0</v>
      </c>
      <c r="U89" s="177">
        <f t="shared" si="28"/>
        <v>0</v>
      </c>
      <c r="V89" s="177">
        <f t="shared" si="28"/>
        <v>0</v>
      </c>
      <c r="W89" s="177">
        <f t="shared" si="28"/>
        <v>0</v>
      </c>
      <c r="X89" s="177">
        <f t="shared" si="28"/>
        <v>0</v>
      </c>
      <c r="Y89" s="177">
        <f t="shared" si="28"/>
        <v>0</v>
      </c>
      <c r="Z89" s="177">
        <f>SUM(Z86:Z88)</f>
        <v>0</v>
      </c>
      <c r="AA89" s="177">
        <f>SUM(AA86:AA88)</f>
        <v>0</v>
      </c>
      <c r="AB89" s="177">
        <f t="shared" si="28"/>
        <v>0</v>
      </c>
      <c r="AC89" s="177">
        <f t="shared" si="28"/>
        <v>0</v>
      </c>
      <c r="AD89" s="177">
        <f t="shared" si="28"/>
        <v>0</v>
      </c>
      <c r="AE89" s="177">
        <f t="shared" si="28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5">
      <c r="A90" s="4"/>
      <c r="B90" s="3"/>
      <c r="F90" s="31"/>
      <c r="G90" s="31"/>
      <c r="H90" s="31"/>
      <c r="I90" s="31"/>
      <c r="J90" s="31"/>
      <c r="K90" s="31"/>
    </row>
    <row r="91" spans="1:69" s="44" customFormat="1" ht="20.25" customHeight="1" x14ac:dyDescent="0.25">
      <c r="A91" s="173"/>
      <c r="B91" s="174"/>
      <c r="C91" s="179" t="s">
        <v>173</v>
      </c>
      <c r="D91" s="177">
        <f>+D82+D89</f>
        <v>0</v>
      </c>
      <c r="E91" s="177">
        <f t="shared" ref="E91:M91" si="29">+E82+E89</f>
        <v>5343427.5790000353</v>
      </c>
      <c r="F91" s="177">
        <f t="shared" si="29"/>
        <v>0</v>
      </c>
      <c r="G91" s="177">
        <f t="shared" si="29"/>
        <v>996541.47999999952</v>
      </c>
      <c r="H91" s="177">
        <f t="shared" si="29"/>
        <v>0</v>
      </c>
      <c r="I91" s="177">
        <f t="shared" si="29"/>
        <v>3513289.9240000127</v>
      </c>
      <c r="J91" s="177">
        <f>+J82+J89</f>
        <v>0</v>
      </c>
      <c r="K91" s="177">
        <f>+K82+K89</f>
        <v>2284010.2739999988</v>
      </c>
      <c r="L91" s="177">
        <f t="shared" si="29"/>
        <v>0</v>
      </c>
      <c r="M91" s="177">
        <f t="shared" si="29"/>
        <v>-2742804.8069999996</v>
      </c>
      <c r="N91" s="177">
        <f t="shared" ref="N91:AE91" si="30">+N82+N89</f>
        <v>0</v>
      </c>
      <c r="O91" s="177">
        <f t="shared" si="30"/>
        <v>-85105.076000000001</v>
      </c>
      <c r="P91" s="177">
        <f t="shared" si="30"/>
        <v>0</v>
      </c>
      <c r="Q91" s="177">
        <f t="shared" si="30"/>
        <v>92345.244000001039</v>
      </c>
      <c r="R91" s="177">
        <f t="shared" si="30"/>
        <v>0</v>
      </c>
      <c r="S91" s="177">
        <f t="shared" si="30"/>
        <v>1118.0620000000001</v>
      </c>
      <c r="T91" s="177">
        <f t="shared" si="30"/>
        <v>0</v>
      </c>
      <c r="U91" s="177">
        <f t="shared" si="30"/>
        <v>-17234.564000000595</v>
      </c>
      <c r="V91" s="177">
        <f t="shared" si="30"/>
        <v>0</v>
      </c>
      <c r="W91" s="177">
        <f t="shared" si="30"/>
        <v>-546.52</v>
      </c>
      <c r="X91" s="177">
        <f t="shared" si="30"/>
        <v>0</v>
      </c>
      <c r="Y91" s="177">
        <f t="shared" si="30"/>
        <v>1336894.6000000001</v>
      </c>
      <c r="Z91" s="177">
        <f>+Z82+Z89</f>
        <v>0</v>
      </c>
      <c r="AA91" s="177">
        <f>+AA82+AA89</f>
        <v>-34438.7279999987</v>
      </c>
      <c r="AB91" s="177">
        <f t="shared" si="30"/>
        <v>0</v>
      </c>
      <c r="AC91" s="177">
        <f t="shared" si="30"/>
        <v>-642.30999999999995</v>
      </c>
      <c r="AD91" s="177">
        <f t="shared" si="30"/>
        <v>0</v>
      </c>
      <c r="AE91" s="177">
        <f t="shared" si="30"/>
        <v>0</v>
      </c>
      <c r="AF91" s="177">
        <f>+AF82+AF89</f>
        <v>0</v>
      </c>
      <c r="AG91" s="177">
        <f>+AG82+AG89</f>
        <v>0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</row>
    <row r="92" spans="1:69" x14ac:dyDescent="0.25">
      <c r="A92" s="4"/>
      <c r="B92" s="3"/>
    </row>
    <row r="93" spans="1:69" x14ac:dyDescent="0.25">
      <c r="A93" s="4"/>
      <c r="B93" s="3"/>
    </row>
    <row r="94" spans="1:69" x14ac:dyDescent="0.25">
      <c r="A94" s="4"/>
      <c r="B94" s="3"/>
    </row>
    <row r="95" spans="1:69" x14ac:dyDescent="0.25">
      <c r="A95" s="4"/>
      <c r="B95" s="3"/>
    </row>
    <row r="96" spans="1:6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281659609</v>
      </c>
      <c r="E11" s="65">
        <f>STG_VAR!E11+ONT_VAR!E11+'CE-VAR'!E11+'EAST-EGM-VAR'!E11+'BGC-EGM-VAR'!E11+'EAST-LRC-VAR'!E11+'TX-EGM-VAR'!E11+'TX-HPLR-VAR '!E11+'WE-VAR'!E11+BUG_VAR!E11+'TX-HPLC-VAR'!E11+'ARUBA-VAR'!E11</f>
        <v>788259417</v>
      </c>
      <c r="F11" s="65">
        <f>STG_VAR!F11+ONT_VAR!F11+'CE-VAR'!F11+'EAST-EGM-VAR'!F11+'BGC-EGM-VAR'!F11+'EAST-LRC-VAR'!F11+'TX-EGM-VAR'!F11+'TX-HPLR-VAR '!F11+'WE-VAR'!F11+BUG_VAR!F11+'TX-HPLC-VAR'!F11</f>
        <v>240882279</v>
      </c>
      <c r="G11" s="65">
        <f>STG_VAR!G11+ONT_VAR!G11+'CE-VAR'!G11+'EAST-EGM-VAR'!G11+'BGC-EGM-VAR'!G11+'EAST-LRC-VAR'!G11+'TX-EGM-VAR'!G11+'TX-HPLR-VAR '!G11+'WE-VAR'!G11+BUG_VAR!G11+'TX-HPLC-VAR'!G11</f>
        <v>685566734.19000006</v>
      </c>
      <c r="H11" s="60">
        <f>F11-D11</f>
        <v>-40777330</v>
      </c>
      <c r="I11" s="38">
        <f>G11-E11</f>
        <v>-102692682.80999994</v>
      </c>
    </row>
    <row r="12" spans="1:22" x14ac:dyDescent="0.25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6918082.3300000001</v>
      </c>
      <c r="H12" s="60">
        <f>F12-D12</f>
        <v>0</v>
      </c>
      <c r="I12" s="38">
        <f>G12-E12</f>
        <v>6918082.3300000001</v>
      </c>
    </row>
    <row r="13" spans="1:22" x14ac:dyDescent="0.25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89452855</v>
      </c>
      <c r="E13" s="65">
        <f>STG_VAR!E13+ONT_VAR!E13+'CE-VAR'!E13+'EAST-EGM-VAR'!E13+'BGC-EGM-VAR'!E13+'EAST-LRC-VAR'!E13+'TX-EGM-VAR'!E13+'TX-HPLR-VAR '!E13+'WE-VAR'!E13+BUG_VAR!E13+'TX-HPLC-VAR'!E13+'ARUBA-VAR'!E13</f>
        <v>236062288</v>
      </c>
      <c r="F13" s="65">
        <f>STG_VAR!F13+ONT_VAR!F13+'CE-VAR'!F13+'EAST-EGM-VAR'!F13+'BGC-EGM-VAR'!F13+'EAST-LRC-VAR'!F13+'TX-EGM-VAR'!F13+'TX-HPLR-VAR '!F13+'WE-VAR'!F13+BUG_VAR!F13+'TX-HPLC-VAR'!F13</f>
        <v>97437800</v>
      </c>
      <c r="G13" s="65">
        <f>STG_VAR!G13+ONT_VAR!G13+'CE-VAR'!G13+'EAST-EGM-VAR'!G13+'BGC-EGM-VAR'!G13+'EAST-LRC-VAR'!G13+'TX-EGM-VAR'!G13+'TX-HPLR-VAR '!G13+'WE-VAR'!G13+BUG_VAR!G13+'TX-HPLC-VAR'!G13</f>
        <v>252829086</v>
      </c>
      <c r="H13" s="60">
        <f t="shared" ref="H13:I15" si="0">F13-D13</f>
        <v>7984945</v>
      </c>
      <c r="I13" s="38">
        <f t="shared" si="0"/>
        <v>16766798</v>
      </c>
    </row>
    <row r="14" spans="1:22" x14ac:dyDescent="0.25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-90311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90311</v>
      </c>
    </row>
    <row r="15" spans="1:22" x14ac:dyDescent="0.25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13877830.709999999</v>
      </c>
      <c r="H15" s="60">
        <f t="shared" si="0"/>
        <v>0</v>
      </c>
      <c r="I15" s="38">
        <f t="shared" si="0"/>
        <v>13877830.709999999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371112464</v>
      </c>
      <c r="E16" s="39">
        <f t="shared" si="1"/>
        <v>1024231394</v>
      </c>
      <c r="F16" s="61">
        <f t="shared" si="1"/>
        <v>338320079</v>
      </c>
      <c r="G16" s="39">
        <f t="shared" si="1"/>
        <v>959191733.23000014</v>
      </c>
      <c r="H16" s="61">
        <f t="shared" si="1"/>
        <v>-32792385</v>
      </c>
      <c r="I16" s="39">
        <f t="shared" si="1"/>
        <v>-65039660.769999944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-282725129</v>
      </c>
      <c r="E19" s="65">
        <f>STG_VAR!E19+ONT_VAR!E19+'CE-VAR'!E19+'EAST-EGM-VAR'!E19+'BGC-EGM-VAR'!E19+'EAST-LRC-VAR'!E19+'TX-EGM-VAR'!E19+'TX-HPLR-VAR '!E19+'WE-VAR'!E19+BUG_VAR!E19+'TX-HPLC-VAR'!E19+'ARUBA-VAR'!E19</f>
        <v>-782592441</v>
      </c>
      <c r="F19" s="65">
        <f>STG_VAR!F19+ONT_VAR!F19+'CE-VAR'!F19+'EAST-EGM-VAR'!F19+'BGC-EGM-VAR'!F19+'EAST-LRC-VAR'!F19+'TX-EGM-VAR'!F19+'TX-HPLR-VAR '!F19+'WE-VAR'!F19+BUG_VAR!F19+'TX-HPLC-VAR'!F19+'ARUBA-VAR'!F19</f>
        <v>-245480430</v>
      </c>
      <c r="G19" s="65">
        <f>STG_VAR!G19+ONT_VAR!G19+'CE-VAR'!G19+'EAST-EGM-VAR'!G19+'BGC-EGM-VAR'!G19+'EAST-LRC-VAR'!G19+'TX-EGM-VAR'!G19+'TX-HPLR-VAR '!G19+'WE-VAR'!G19+BUG_VAR!G19+'TX-HPLC-VAR'!G19+'ARUBA-VAR'!G19</f>
        <v>-695467935.04000008</v>
      </c>
      <c r="H19" s="60">
        <f>F19-D19</f>
        <v>37244699</v>
      </c>
      <c r="I19" s="38">
        <f>G19-E19</f>
        <v>87124505.959999919</v>
      </c>
    </row>
    <row r="20" spans="1:9" x14ac:dyDescent="0.25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-1469094.1400000011</v>
      </c>
      <c r="H20" s="60">
        <f>F20-D20</f>
        <v>0</v>
      </c>
      <c r="I20" s="38">
        <f>G20-E20</f>
        <v>-1469094.1400000011</v>
      </c>
    </row>
    <row r="21" spans="1:9" x14ac:dyDescent="0.25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-97514749</v>
      </c>
      <c r="E21" s="65">
        <f>STG_VAR!E21+ONT_VAR!E21+'CE-VAR'!E21+'EAST-EGM-VAR'!E21+'BGC-EGM-VAR'!E21+'EAST-LRC-VAR'!E21+'TX-EGM-VAR'!E21+'TX-HPLR-VAR '!E21+'WE-VAR'!E21+BUG_VAR!E21+'TX-HPLC-VAR'!E21+'ARUBA-VAR'!E21</f>
        <v>-258887216</v>
      </c>
      <c r="F21" s="65">
        <f>STG_VAR!F21+ONT_VAR!F21+'CE-VAR'!F21+'EAST-EGM-VAR'!F21+'BGC-EGM-VAR'!F21+'EAST-LRC-VAR'!F21+'TX-EGM-VAR'!F21+'TX-HPLR-VAR '!F21+'WE-VAR'!F21+BUG_VAR!F21+'TX-HPLC-VAR'!F21+'ARUBA-VAR'!F21</f>
        <v>-97437800</v>
      </c>
      <c r="G21" s="65">
        <f>STG_VAR!G21+ONT_VAR!G21+'CE-VAR'!G21+'EAST-EGM-VAR'!G21+'BGC-EGM-VAR'!G21+'EAST-LRC-VAR'!G21+'TX-EGM-VAR'!G21+'TX-HPLR-VAR '!G21+'WE-VAR'!G21+BUG_VAR!G21+'TX-HPLC-VAR'!G21+'ARUBA-VAR'!G21</f>
        <v>-255333933</v>
      </c>
      <c r="H21" s="60">
        <f t="shared" ref="H21:I23" si="2">F21-D21</f>
        <v>76949</v>
      </c>
      <c r="I21" s="38">
        <f t="shared" si="2"/>
        <v>3553283</v>
      </c>
    </row>
    <row r="22" spans="1:9" x14ac:dyDescent="0.25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1138807</v>
      </c>
      <c r="E23" s="65">
        <f>STG_VAR!E23+ONT_VAR!E23+'CE-VAR'!E23+'EAST-EGM-VAR'!E23+'BGC-EGM-VAR'!E23+'EAST-LRC-VAR'!E23+'TX-EGM-VAR'!E23+'TX-HPLR-VAR '!E23+'WE-VAR'!E23+BUG_VAR!E23+'TX-HPLC-VAR'!E23+'ARUBA-VAR'!E23</f>
        <v>2808250</v>
      </c>
      <c r="F23" s="65">
        <f>STG_VAR!F23+ONT_VAR!F23+'CE-VAR'!F23+'EAST-EGM-VAR'!F23+'BGC-EGM-VAR'!F23+'EAST-LRC-VAR'!F23+'TX-EGM-VAR'!F23+'TX-HPLR-VAR '!F23+'WE-VAR'!F23+BUG_VAR!F23+'TX-HPLC-VAR'!F23+'ARUBA-VAR'!F23</f>
        <v>1176313</v>
      </c>
      <c r="G23" s="65">
        <f>STG_VAR!G23+ONT_VAR!G23+'CE-VAR'!G23+'EAST-EGM-VAR'!G23+'BGC-EGM-VAR'!G23+'EAST-LRC-VAR'!G23+'TX-EGM-VAR'!G23+'TX-HPLR-VAR '!G23+'WE-VAR'!G23+BUG_VAR!G23+'TX-HPLC-VAR'!G23+'ARUBA-VAR'!G23</f>
        <v>3218718.0480000004</v>
      </c>
      <c r="H23" s="60">
        <f t="shared" si="2"/>
        <v>37506</v>
      </c>
      <c r="I23" s="38">
        <f t="shared" si="2"/>
        <v>410468.04800000042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-379101071</v>
      </c>
      <c r="E24" s="39">
        <f t="shared" si="3"/>
        <v>-1038671407</v>
      </c>
      <c r="F24" s="61">
        <f t="shared" si="3"/>
        <v>-341741917</v>
      </c>
      <c r="G24" s="39">
        <f t="shared" si="3"/>
        <v>-949052244.13200009</v>
      </c>
      <c r="H24" s="61">
        <f t="shared" si="3"/>
        <v>37359154</v>
      </c>
      <c r="I24" s="39">
        <f t="shared" si="3"/>
        <v>89619162.867999911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20120035</v>
      </c>
      <c r="E27" s="65">
        <f>STG_VAR!E27+ONT_VAR!E27+'CE-VAR'!E27+'EAST-EGM-VAR'!E27+'BGC-EGM-VAR'!E27+'EAST-LRC-VAR'!E27+'TX-EGM-VAR'!E27+'TX-HPLR-VAR '!E27+'WE-VAR'!E27+BUG_VAR!E27+'TX-HPLC-VAR'!E27+'ARUBA-VAR'!E27</f>
        <v>51393626</v>
      </c>
      <c r="F27" s="65">
        <f>STG_VAR!F27+ONT_VAR!F27+'CE-VAR'!F27+'EAST-EGM-VAR'!F27+'BGC-EGM-VAR'!F27+'EAST-LRC-VAR'!F27+'TX-EGM-VAR'!F27+'TX-HPLR-VAR '!F27+'WE-VAR'!F27+BUG_VAR!F27+'TX-HPLC-VAR'!F27+'ARUBA-VAR'!F27</f>
        <v>34103005</v>
      </c>
      <c r="G27" s="65">
        <f>STG_VAR!G27+ONT_VAR!G27+'CE-VAR'!G27+'EAST-EGM-VAR'!G27+'BGC-EGM-VAR'!G27+'EAST-LRC-VAR'!G27+'TX-EGM-VAR'!G27+'TX-HPLR-VAR '!G27+'WE-VAR'!G27+BUG_VAR!G27+'TX-HPLC-VAR'!G27+'ARUBA-VAR'!G27</f>
        <v>88829082.060000002</v>
      </c>
      <c r="H27" s="60">
        <f>F27-D27</f>
        <v>13982970</v>
      </c>
      <c r="I27" s="38">
        <f>G27-E27</f>
        <v>37435456.060000002</v>
      </c>
    </row>
    <row r="28" spans="1:9" x14ac:dyDescent="0.25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-16032535</v>
      </c>
      <c r="E28" s="65">
        <f>STG_VAR!E28+ONT_VAR!E28+'CE-VAR'!E28+'EAST-EGM-VAR'!E28+'BGC-EGM-VAR'!E28+'EAST-LRC-VAR'!E28+'TX-EGM-VAR'!E28+'TX-HPLR-VAR '!E28+'WE-VAR'!E28+BUG_VAR!E28+'TX-HPLC-VAR'!E28+'ARUBA-VAR'!E28</f>
        <v>-40550675</v>
      </c>
      <c r="F28" s="65">
        <f>STG_VAR!F28+ONT_VAR!F28+'CE-VAR'!F28+'EAST-EGM-VAR'!F28+'BGC-EGM-VAR'!F28+'EAST-LRC-VAR'!F28+'TX-EGM-VAR'!F28+'TX-HPLR-VAR '!F28+'WE-VAR'!F28+BUG_VAR!F28+'TX-HPLC-VAR'!F28+'ARUBA-VAR'!F28</f>
        <v>-34040238</v>
      </c>
      <c r="G28" s="65">
        <f>STG_VAR!G28+ONT_VAR!G28+'CE-VAR'!G28+'EAST-EGM-VAR'!G28+'BGC-EGM-VAR'!G28+'EAST-LRC-VAR'!G28+'TX-EGM-VAR'!G28+'TX-HPLR-VAR '!G28+'WE-VAR'!G28+BUG_VAR!G28+'TX-HPLC-VAR'!G28+'ARUBA-VAR'!G28</f>
        <v>-88669489.280000016</v>
      </c>
      <c r="H28" s="60">
        <f>F28-D28</f>
        <v>-18007703</v>
      </c>
      <c r="I28" s="38">
        <f>G28-E28</f>
        <v>-48118814.280000016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62767</v>
      </c>
      <c r="G29" s="70">
        <f t="shared" si="4"/>
        <v>159592.77999998629</v>
      </c>
      <c r="H29" s="69">
        <f t="shared" si="4"/>
        <v>-4024733</v>
      </c>
      <c r="I29" s="70">
        <f t="shared" si="4"/>
        <v>-10683358.220000014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-151702</v>
      </c>
      <c r="E32" s="65">
        <f>STG_VAR!E32+ONT_VAR!E32+'CE-VAR'!E32+'EAST-EGM-VAR'!E32+'BGC-EGM-VAR'!E32+'EAST-LRC-VAR'!E32+'TX-EGM-VAR'!E32+'TX-HPLR-VAR '!E32+'WE-VAR'!E32+BUG_VAR!E32+'TX-HPLC-VAR'!E32+'ARUBA-VAR'!E32</f>
        <v>-123132</v>
      </c>
      <c r="F32" s="65">
        <f>STG_VAR!F32+ONT_VAR!F32+'CE-VAR'!F32+'EAST-EGM-VAR'!F32+'BGC-EGM-VAR'!F32+'EAST-LRC-VAR'!F32+'TX-EGM-VAR'!F32+'TX-HPLR-VAR '!F32+'WE-VAR'!F32+BUG_VAR!F32+'TX-HPLC-VAR'!F32+'ARUBA-VAR'!F32</f>
        <v>-334778</v>
      </c>
      <c r="G32" s="65">
        <f>STG_VAR!G32+ONT_VAR!G32+'CE-VAR'!G32+'EAST-EGM-VAR'!G32+'BGC-EGM-VAR'!G32+'EAST-LRC-VAR'!G32+'TX-EGM-VAR'!G32+'TX-HPLR-VAR '!G32+'WE-VAR'!G32+BUG_VAR!G32+'TX-HPLC-VAR'!G32+'ARUBA-VAR'!G32</f>
        <v>-928170.24300000083</v>
      </c>
      <c r="H32" s="60">
        <f>F32-D32</f>
        <v>-183076</v>
      </c>
      <c r="I32" s="38">
        <f>G32-E32</f>
        <v>-805038.24300000083</v>
      </c>
    </row>
    <row r="33" spans="1:9" x14ac:dyDescent="0.25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275764</v>
      </c>
      <c r="E33" s="65">
        <f>STG_VAR!E33+ONT_VAR!E33+'CE-VAR'!E33+'EAST-EGM-VAR'!E33+'BGC-EGM-VAR'!E33+'EAST-LRC-VAR'!E33+'TX-EGM-VAR'!E33+'TX-HPLR-VAR '!E33+'WE-VAR'!E33+BUG_VAR!E33+'TX-HPLC-VAR'!E33+'ARUBA-VAR'!E33</f>
        <v>707479</v>
      </c>
      <c r="F33" s="65">
        <f>STG_VAR!F33+ONT_VAR!F33+'CE-VAR'!F33+'EAST-EGM-VAR'!F33+'BGC-EGM-VAR'!F33+'EAST-LRC-VAR'!F33+'TX-EGM-VAR'!F33+'TX-HPLR-VAR '!F33+'WE-VAR'!F33+BUG_VAR!F33+'TX-HPLC-VAR'!F33+'ARUBA-VAR'!F33</f>
        <v>-234006</v>
      </c>
      <c r="G33" s="65">
        <f>STG_VAR!G33+ONT_VAR!G33+'CE-VAR'!G33+'EAST-EGM-VAR'!G33+'BGC-EGM-VAR'!G33+'EAST-LRC-VAR'!G33+'TX-EGM-VAR'!G33+'TX-HPLR-VAR '!G33+'WE-VAR'!G33+BUG_VAR!G33+'TX-HPLC-VAR'!G33+'ARUBA-VAR'!G33</f>
        <v>-605293.92999999993</v>
      </c>
      <c r="H33" s="60">
        <f t="shared" ref="H33:I35" si="5">F33-D33</f>
        <v>-509770</v>
      </c>
      <c r="I33" s="38">
        <f t="shared" si="5"/>
        <v>-1312772.93</v>
      </c>
    </row>
    <row r="34" spans="1:9" x14ac:dyDescent="0.25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-283140</v>
      </c>
      <c r="E34" s="65">
        <f>STG_VAR!E34+ONT_VAR!E34+'CE-VAR'!E34+'EAST-EGM-VAR'!E34+'BGC-EGM-VAR'!E34+'EAST-LRC-VAR'!E34+'TX-EGM-VAR'!E34+'TX-HPLR-VAR '!E34+'WE-VAR'!E34+BUG_VAR!E34+'TX-HPLC-VAR'!E34+'ARUBA-VAR'!E34</f>
        <v>-728171</v>
      </c>
      <c r="F34" s="65">
        <f>STG_VAR!F34+ONT_VAR!F34+'CE-VAR'!F34+'EAST-EGM-VAR'!F34+'BGC-EGM-VAR'!F34+'EAST-LRC-VAR'!F34+'TX-EGM-VAR'!F34+'TX-HPLR-VAR '!F34+'WE-VAR'!F34+BUG_VAR!F34+'TX-HPLC-VAR'!F34+'ARUBA-VAR'!F34</f>
        <v>87937</v>
      </c>
      <c r="G34" s="65">
        <f>STG_VAR!G34+ONT_VAR!G34+'CE-VAR'!G34+'EAST-EGM-VAR'!G34+'BGC-EGM-VAR'!G34+'EAST-LRC-VAR'!G34+'TX-EGM-VAR'!G34+'TX-HPLR-VAR '!G34+'WE-VAR'!G34+BUG_VAR!G34+'TX-HPLC-VAR'!G34+'ARUBA-VAR'!G34</f>
        <v>224786.77000000002</v>
      </c>
      <c r="H34" s="60">
        <f t="shared" si="5"/>
        <v>371077</v>
      </c>
      <c r="I34" s="38">
        <f t="shared" si="5"/>
        <v>952957.77</v>
      </c>
    </row>
    <row r="35" spans="1:9" x14ac:dyDescent="0.25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557347</v>
      </c>
      <c r="E35" s="65">
        <f>STG_VAR!E35+ONT_VAR!E35+'CE-VAR'!E35+'EAST-EGM-VAR'!E35+'BGC-EGM-VAR'!E35+'EAST-LRC-VAR'!E35+'TX-EGM-VAR'!E35+'TX-HPLR-VAR '!E35+'WE-VAR'!E35+BUG_VAR!E35+'TX-HPLC-VAR'!E35+'ARUBA-VAR'!E35</f>
        <v>1258832</v>
      </c>
      <c r="F35" s="65">
        <f>STG_VAR!F35+ONT_VAR!F35+'CE-VAR'!F35+'EAST-EGM-VAR'!F35+'BGC-EGM-VAR'!F35+'EAST-LRC-VAR'!F35+'TX-EGM-VAR'!F35+'TX-HPLR-VAR '!F35+'WE-VAR'!F35+BUG_VAR!F35+'TX-HPLC-VAR'!F35+'ARUBA-VAR'!F35</f>
        <v>-408123</v>
      </c>
      <c r="G35" s="65">
        <f>STG_VAR!G35+ONT_VAR!G35+'CE-VAR'!G35+'EAST-EGM-VAR'!G35+'BGC-EGM-VAR'!G35+'EAST-LRC-VAR'!G35+'TX-EGM-VAR'!G35+'TX-HPLR-VAR '!G35+'WE-VAR'!G35+BUG_VAR!G35+'TX-HPLC-VAR'!G35+'ARUBA-VAR'!G35</f>
        <v>-1008138.0700000001</v>
      </c>
      <c r="H35" s="60">
        <f t="shared" si="5"/>
        <v>-965470</v>
      </c>
      <c r="I35" s="38">
        <f t="shared" si="5"/>
        <v>-2266970.0700000003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398269</v>
      </c>
      <c r="E36" s="39">
        <f t="shared" si="6"/>
        <v>1115008</v>
      </c>
      <c r="F36" s="61">
        <f t="shared" si="6"/>
        <v>-888970</v>
      </c>
      <c r="G36" s="39">
        <f t="shared" si="6"/>
        <v>-2316815.4730000012</v>
      </c>
      <c r="H36" s="61">
        <f t="shared" si="6"/>
        <v>-1287239</v>
      </c>
      <c r="I36" s="39">
        <f t="shared" si="6"/>
        <v>-3431823.4730000012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5066010</v>
      </c>
      <c r="E39" s="65">
        <f>STG_VAR!E39+ONT_VAR!E39+'CE-VAR'!E39+'EAST-EGM-VAR'!E39+'BGC-EGM-VAR'!E39+'EAST-LRC-VAR'!E39+'TX-EGM-VAR'!E39+'TX-HPLR-VAR '!E39+'WE-VAR'!E39+BUG_VAR!E39+'TX-HPLC-VAR'!E39+'ARUBA-VAR'!E39</f>
        <v>15341169</v>
      </c>
      <c r="F39" s="65">
        <f>STG_VAR!F39+ONT_VAR!F39+'CE-VAR'!F39+'EAST-EGM-VAR'!F39+'BGC-EGM-VAR'!F39+'EAST-LRC-VAR'!F39+'TX-EGM-VAR'!F39+'TX-HPLR-VAR '!F39+'WE-VAR'!F39+BUG_VAR!F39+'TX-HPLC-VAR'!F39+'ARUBA-VAR'!F39</f>
        <v>5306284</v>
      </c>
      <c r="G39" s="65">
        <f>STG_VAR!G39+ONT_VAR!G39+'CE-VAR'!G39+'EAST-EGM-VAR'!G39+'BGC-EGM-VAR'!G39+'EAST-LRC-VAR'!G39+'TX-EGM-VAR'!G39+'TX-HPLR-VAR '!G39+'WE-VAR'!G39+BUG_VAR!G39+'TX-HPLC-VAR'!G39+'ARUBA-VAR'!G39</f>
        <v>14898647.260000002</v>
      </c>
      <c r="H39" s="60">
        <f t="shared" ref="H39:I41" si="7">F39-D39</f>
        <v>240274</v>
      </c>
      <c r="I39" s="38">
        <f t="shared" si="7"/>
        <v>-442521.73999999836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-2075496</v>
      </c>
      <c r="E40" s="65">
        <f>STG_VAR!E40+ONT_VAR!E40+'CE-VAR'!E40+'EAST-EGM-VAR'!E40+'BGC-EGM-VAR'!E40+'EAST-LRC-VAR'!E40+'TX-EGM-VAR'!E40+'TX-HPLR-VAR '!E40+'WE-VAR'!E40+BUG_VAR!E40+'TX-HPLC-VAR'!E40+'ARUBA-VAR'!E40</f>
        <v>-5996618</v>
      </c>
      <c r="F40" s="65">
        <f>STG_VAR!F40+ONT_VAR!F40+'CE-VAR'!F40+'EAST-EGM-VAR'!F40+'BGC-EGM-VAR'!F40+'EAST-LRC-VAR'!F40+'TX-EGM-VAR'!F40+'TX-HPLR-VAR '!F40+'WE-VAR'!F40+BUG_VAR!F40+'TX-HPLC-VAR'!F40+'ARUBA-VAR'!F40</f>
        <v>-1482878</v>
      </c>
      <c r="G40" s="65">
        <f>STG_VAR!G40+ONT_VAR!G40+'CE-VAR'!G40+'EAST-EGM-VAR'!G40+'BGC-EGM-VAR'!G40+'EAST-LRC-VAR'!G40+'TX-EGM-VAR'!G40+'TX-HPLR-VAR '!G40+'WE-VAR'!G40+BUG_VAR!G40+'TX-HPLC-VAR'!G40+'ARUBA-VAR'!G40</f>
        <v>-3924987.39</v>
      </c>
      <c r="H40" s="60">
        <f t="shared" si="7"/>
        <v>592618</v>
      </c>
      <c r="I40" s="38">
        <f t="shared" si="7"/>
        <v>2071630.6099999999</v>
      </c>
    </row>
    <row r="41" spans="1:9" x14ac:dyDescent="0.25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-88952</v>
      </c>
      <c r="H41" s="60">
        <f t="shared" si="7"/>
        <v>0</v>
      </c>
      <c r="I41" s="38">
        <f t="shared" si="7"/>
        <v>-88952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-2075496</v>
      </c>
      <c r="E42" s="70">
        <f t="shared" si="8"/>
        <v>-5996618</v>
      </c>
      <c r="F42" s="69">
        <f t="shared" si="8"/>
        <v>-1482878</v>
      </c>
      <c r="G42" s="70">
        <f t="shared" si="8"/>
        <v>-4013939.39</v>
      </c>
      <c r="H42" s="69">
        <f t="shared" si="8"/>
        <v>592618</v>
      </c>
      <c r="I42" s="70">
        <f t="shared" si="8"/>
        <v>1982678.6099999999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2990514</v>
      </c>
      <c r="E43" s="39">
        <f t="shared" si="9"/>
        <v>9344551</v>
      </c>
      <c r="F43" s="61">
        <f t="shared" si="9"/>
        <v>3823406</v>
      </c>
      <c r="G43" s="39">
        <f t="shared" si="9"/>
        <v>10884707.870000001</v>
      </c>
      <c r="H43" s="61">
        <f t="shared" si="9"/>
        <v>832892</v>
      </c>
      <c r="I43" s="39">
        <f t="shared" si="9"/>
        <v>1540156.8700000015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16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3612</v>
      </c>
      <c r="G45" s="65">
        <f>STG_VAR!G45+ONT_VAR!G45+'CE-VAR'!G45+'EAST-EGM-VAR'!G45+'BGC-EGM-VAR'!G45+'EAST-LRC-VAR'!G45+'TX-EGM-VAR'!G45+'TX-HPLR-VAR '!G45+'WE-VAR'!G45+BUG_VAR!G45+'TX-HPLC-VAR'!G45+'ARUBA-VAR'!G45</f>
        <v>4216.88</v>
      </c>
      <c r="H45" s="60">
        <f>F45-D45</f>
        <v>3596</v>
      </c>
      <c r="I45" s="38">
        <f>G45-E45</f>
        <v>4216.88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-0.62000000000080036</v>
      </c>
      <c r="H47" s="60">
        <f>F47-D47</f>
        <v>0</v>
      </c>
      <c r="I47" s="38">
        <f>G47-E47</f>
        <v>-0.62000000000080036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512324</v>
      </c>
      <c r="E49" s="65">
        <f>STG_VAR!E49+ONT_VAR!E49+'CE-VAR'!E49+'EAST-EGM-VAR'!E49+'BGC-EGM-VAR'!E49+'EAST-LRC-VAR'!E49+'TX-EGM-VAR'!E49+'TX-HPLR-VAR '!E49+'WE-VAR'!E49+BUG_VAR!E49+'TX-HPLC-VAR'!E49+'ARUBA-VAR'!E49</f>
        <v>1244999.3108945042</v>
      </c>
      <c r="F49" s="65">
        <f>STG_VAR!F49+ONT_VAR!F49+'CE-VAR'!F49+'EAST-EGM-VAR'!F49+'BGC-EGM-VAR'!F49+'EAST-LRC-VAR'!F49+'TX-EGM-VAR'!F49+'TX-HPLR-VAR '!F49+'WE-VAR'!F49+BUG_VAR!F49+'TX-HPLC-VAR'!F49+'ARUBA-VAR'!F49</f>
        <v>421023</v>
      </c>
      <c r="G49" s="65">
        <f>STG_VAR!G49+ONT_VAR!G49+'CE-VAR'!G49+'EAST-EGM-VAR'!G49+'BGC-EGM-VAR'!G49+'EAST-LRC-VAR'!G49+'TX-EGM-VAR'!G49+'TX-HPLR-VAR '!G49+'WE-VAR'!G49+BUG_VAR!G49+'TX-HPLC-VAR'!G49+'ARUBA-VAR'!G49</f>
        <v>1222285.2259999991</v>
      </c>
      <c r="H49" s="60">
        <f>F49-D49</f>
        <v>-91301</v>
      </c>
      <c r="I49" s="38">
        <f>G49-E49</f>
        <v>-22714.084894505097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-1138691</v>
      </c>
      <c r="E51" s="65">
        <f>STG_VAR!E51+ONT_VAR!E51+'CE-VAR'!E51+'EAST-EGM-VAR'!E51+'BGC-EGM-VAR'!E51+'EAST-LRC-VAR'!E51+'TX-EGM-VAR'!E51+'TX-HPLR-VAR '!E51+'WE-VAR'!E51+BUG_VAR!E51+'TX-HPLC-VAR'!E51+'ARUBA-VAR'!E51</f>
        <v>-2808256</v>
      </c>
      <c r="F51" s="65">
        <f>STG_VAR!F51+ONT_VAR!F51+'CE-VAR'!F51+'EAST-EGM-VAR'!F51+'BGC-EGM-VAR'!F51+'EAST-LRC-VAR'!F51+'TX-EGM-VAR'!F51+'TX-HPLR-VAR '!F51+'WE-VAR'!F51+BUG_VAR!F51+'TX-HPLC-VAR'!F51+'ARUBA-VAR'!F51</f>
        <v>-1184505</v>
      </c>
      <c r="G51" s="65">
        <f>STG_VAR!G51+ONT_VAR!G51+'CE-VAR'!G51+'EAST-EGM-VAR'!G51+'BGC-EGM-VAR'!G51+'EAST-LRC-VAR'!G51+'TX-EGM-VAR'!G51+'TX-HPLR-VAR '!G51+'WE-VAR'!G51+BUG_VAR!G51+'TX-HPLC-VAR'!G51+'ARUBA-VAR'!G51</f>
        <v>-3332438.5980000002</v>
      </c>
      <c r="H51" s="60">
        <f>F51-D51</f>
        <v>-45814</v>
      </c>
      <c r="I51" s="38">
        <f>G51-E51</f>
        <v>-524182.59800000023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-3550766.77</v>
      </c>
      <c r="F54" s="65">
        <f>STG_VAR!F54+ONT_VAR!F54+'CE-VAR'!F54+'EAST-EGM-VAR'!F54+'BGC-EGM-VAR'!F54+'EAST-LRC-VAR'!F54+'TX-EGM-VAR'!F54+'TX-HPLR-VAR '!F54+'WE-VAR'!F54+BUG_VAR!F54+'TX-HPLC-VAR'!F54+'ARUBA-VAR'!F54</f>
        <v>-150017816</v>
      </c>
      <c r="G54" s="65">
        <f>STG_VAR!G54+ONT_VAR!G54+'CE-VAR'!G54+'EAST-EGM-VAR'!G54+'BGC-EGM-VAR'!G54+'EAST-LRC-VAR'!G54+'TX-EGM-VAR'!G54+'TX-HPLR-VAR '!G54+'WE-VAR'!G54+BUG_VAR!G54+'TX-HPLC-VAR'!G54+'ARUBA-VAR'!G54</f>
        <v>-5930401.7539999997</v>
      </c>
      <c r="H54" s="60">
        <f>F54-D54</f>
        <v>-150017816</v>
      </c>
      <c r="I54" s="38">
        <f>G54-E54</f>
        <v>-2379634.9839999997</v>
      </c>
    </row>
    <row r="55" spans="1:9" x14ac:dyDescent="0.25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-4678165.17</v>
      </c>
      <c r="F55" s="65">
        <f>STG_VAR!F55+ONT_VAR!F55+'CE-VAR'!F55+'EAST-EGM-VAR'!F55+'BGC-EGM-VAR'!F55+'EAST-LRC-VAR'!F55+'TX-EGM-VAR'!F55+'TX-HPLR-VAR '!F55+'WE-VAR'!F55+BUG_VAR!F55+'TX-HPLC-VAR'!F55+'ARUBA-VAR'!F55</f>
        <v>0</v>
      </c>
      <c r="G55" s="65">
        <f>STG_VAR!G55+ONT_VAR!G55+'CE-VAR'!G55+'EAST-EGM-VAR'!G55+'BGC-EGM-VAR'!G55+'EAST-LRC-VAR'!G55+'TX-EGM-VAR'!G55+'TX-HPLR-VAR '!G55+'WE-VAR'!G55+BUG_VAR!G55+'TX-HPLC-VAR'!G55+'ARUBA-VAR'!G55</f>
        <v>-11291553.199999999</v>
      </c>
      <c r="H55" s="60">
        <f>F55-D55</f>
        <v>0</v>
      </c>
      <c r="I55" s="38">
        <f>G55-E55</f>
        <v>-6613388.0299999993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-8228931.9399999995</v>
      </c>
      <c r="F56" s="61">
        <f t="shared" si="10"/>
        <v>-150017816</v>
      </c>
      <c r="G56" s="39">
        <f t="shared" si="10"/>
        <v>-17221954.954</v>
      </c>
      <c r="H56" s="61">
        <f t="shared" si="10"/>
        <v>-150017816</v>
      </c>
      <c r="I56" s="39">
        <f t="shared" si="10"/>
        <v>-8993023.0139999986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2620106</v>
      </c>
      <c r="G59" s="65">
        <f>STG_VAR!G59+ONT_VAR!G59+'CE-VAR'!G59+'EAST-EGM-VAR'!G59+'BGC-EGM-VAR'!G59+'EAST-LRC-VAR'!G59+'TX-EGM-VAR'!G59+'TX-HPLR-VAR '!G59+'WE-VAR'!G59+BUG_VAR!G59+'TX-HPLC-VAR'!G59+'ARUBA-VAR'!G59</f>
        <v>87036.82</v>
      </c>
      <c r="H59" s="60">
        <f>F59-D59</f>
        <v>2620106</v>
      </c>
      <c r="I59" s="38">
        <f>G59-E59</f>
        <v>87036.82</v>
      </c>
    </row>
    <row r="60" spans="1:9" x14ac:dyDescent="0.25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157288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157288</v>
      </c>
      <c r="I60" s="38">
        <f>G60-E60</f>
        <v>293262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2777394</v>
      </c>
      <c r="G61" s="70">
        <f t="shared" si="11"/>
        <v>380298.82</v>
      </c>
      <c r="H61" s="69">
        <f t="shared" si="11"/>
        <v>2777394</v>
      </c>
      <c r="I61" s="70">
        <f t="shared" si="11"/>
        <v>380298.82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34990</v>
      </c>
      <c r="F64" s="65">
        <f>STG_VAR!F64+ONT_VAR!F64+'CE-VAR'!F64+'EAST-EGM-VAR'!F64+'BGC-EGM-VAR'!F64+'EAST-LRC-VAR'!F64+'TX-EGM-VAR'!F64+'TX-HPLR-VAR '!F64+'WE-VAR'!F64+BUG_VAR!F64+'TX-HPLC-VAR'!F64+'ARUBA-VAR'!F64</f>
        <v>-17923098</v>
      </c>
      <c r="G64" s="65">
        <f>STG_VAR!G64+ONT_VAR!G64+'CE-VAR'!G64+'EAST-EGM-VAR'!G64+'BGC-EGM-VAR'!G64+'EAST-LRC-VAR'!G64+'TX-EGM-VAR'!G64+'TX-HPLR-VAR '!G64+'WE-VAR'!G64+BUG_VAR!G64+'TX-HPLC-VAR'!G64+'ARUBA-VAR'!G64</f>
        <v>-2424742.2599999998</v>
      </c>
      <c r="H64" s="60">
        <f>F64-D64</f>
        <v>-17923098</v>
      </c>
      <c r="I64" s="38">
        <f>G64-E64</f>
        <v>-2459732.2599999998</v>
      </c>
    </row>
    <row r="65" spans="1:9" x14ac:dyDescent="0.25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17956541</v>
      </c>
      <c r="G65" s="65">
        <f>STG_VAR!G65+ONT_VAR!G65+'CE-VAR'!G65+'EAST-EGM-VAR'!G65+'BGC-EGM-VAR'!G65+'EAST-LRC-VAR'!G65+'TX-EGM-VAR'!G65+'TX-HPLR-VAR '!G65+'WE-VAR'!G65+BUG_VAR!G65+'TX-HPLC-VAR'!G65+'ARUBA-VAR'!G65</f>
        <v>2417051.0500000003</v>
      </c>
      <c r="H65" s="60">
        <f>F65-D65</f>
        <v>17956541</v>
      </c>
      <c r="I65" s="38">
        <f>G65-E65</f>
        <v>2417051.0500000003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33443</v>
      </c>
      <c r="G66" s="39">
        <f t="shared" si="12"/>
        <v>-7691.2099999994971</v>
      </c>
      <c r="H66" s="61">
        <f t="shared" si="12"/>
        <v>33443</v>
      </c>
      <c r="I66" s="39">
        <f t="shared" si="12"/>
        <v>-42681.209999999497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37097673.215199091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46649218.219999999</v>
      </c>
      <c r="H70" s="60">
        <f>F70-D70</f>
        <v>0</v>
      </c>
      <c r="I70" s="38">
        <f>G70-E70</f>
        <v>9551545.0048009083</v>
      </c>
    </row>
    <row r="71" spans="1:9" x14ac:dyDescent="0.25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-8713313.0254804809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-7832693.4299999997</v>
      </c>
      <c r="H71" s="60">
        <f>F71-D71</f>
        <v>0</v>
      </c>
      <c r="I71" s="38">
        <f>G71-E71</f>
        <v>880619.59548048116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28384360.189718612</v>
      </c>
      <c r="F72" s="69">
        <f t="shared" si="13"/>
        <v>0</v>
      </c>
      <c r="G72" s="70">
        <f t="shared" si="13"/>
        <v>38816524.789999999</v>
      </c>
      <c r="H72" s="69">
        <f t="shared" si="13"/>
        <v>0</v>
      </c>
      <c r="I72" s="70">
        <f t="shared" si="13"/>
        <v>10432164.600281389</v>
      </c>
    </row>
    <row r="73" spans="1:9" x14ac:dyDescent="0.25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-25691856.489411764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-32602672.829999998</v>
      </c>
      <c r="H74" s="60">
        <f t="shared" ref="H74:I79" si="14">F74-D74</f>
        <v>0</v>
      </c>
      <c r="I74" s="38">
        <f t="shared" si="14"/>
        <v>-6910816.3405882344</v>
      </c>
    </row>
    <row r="75" spans="1:9" x14ac:dyDescent="0.25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166183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159000</v>
      </c>
      <c r="H75" s="60">
        <f t="shared" si="14"/>
        <v>0</v>
      </c>
      <c r="I75" s="38">
        <f t="shared" si="14"/>
        <v>-7183</v>
      </c>
    </row>
    <row r="76" spans="1:9" x14ac:dyDescent="0.25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-59795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-53581.2</v>
      </c>
      <c r="H76" s="60">
        <f t="shared" si="14"/>
        <v>0</v>
      </c>
      <c r="I76" s="38">
        <f t="shared" si="14"/>
        <v>6213.8000000000029</v>
      </c>
    </row>
    <row r="77" spans="1:9" x14ac:dyDescent="0.25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-4310392</v>
      </c>
      <c r="H77" s="60">
        <f t="shared" si="14"/>
        <v>0</v>
      </c>
      <c r="I77" s="38">
        <f t="shared" si="14"/>
        <v>-268283</v>
      </c>
    </row>
    <row r="78" spans="1:9" x14ac:dyDescent="0.25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2475161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-2475161</v>
      </c>
    </row>
    <row r="80" spans="1:9" x14ac:dyDescent="0.25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3831279</v>
      </c>
      <c r="F81" s="65">
        <f>STG_VAR!F81+ONT_VAR!F81+'CE-VAR'!F81+'EAST-EGM-VAR'!F81+'BGC-EGM-VAR'!F81+'EAST-LRC-VAR'!F81+'TX-EGM-VAR'!F81+'TX-HPLR-VAR '!F81+'WE-VAR'!F81+BUG_VAR!F81+'TX-HPLC-VAR'!F81+'ARUBA-VAR'!F81</f>
        <v>-50000</v>
      </c>
      <c r="G81" s="65">
        <f>STG_VAR!G81+ONT_VAR!G81+'CE-VAR'!G81+'EAST-EGM-VAR'!G81+'BGC-EGM-VAR'!G81+'EAST-LRC-VAR'!G81+'TX-EGM-VAR'!G81+'TX-HPLR-VAR '!G81+'WE-VAR'!G81+BUG_VAR!G81+'TX-HPLC-VAR'!G81+'ARUBA-VAR'!G81</f>
        <v>-117350.2</v>
      </c>
      <c r="H81" s="60">
        <f>F81-D81</f>
        <v>-50000</v>
      </c>
      <c r="I81" s="38">
        <f>G81-E81</f>
        <v>-3948629.2</v>
      </c>
    </row>
    <row r="82" spans="1:9" s="49" customFormat="1" ht="20.25" customHeight="1" thickBot="1" x14ac:dyDescent="0.3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2193045.0162013303</v>
      </c>
      <c r="F82" s="91">
        <f>F16+F24+F29+F36+F43+F45+F47+F49</f>
        <v>0</v>
      </c>
      <c r="G82" s="92">
        <f>SUM(G72:G81)+G16+G24+G29+G36+G43+G45+G47+G49+G51+G56+G61+G66</f>
        <v>1803218.3789999757</v>
      </c>
      <c r="H82" s="91">
        <f>H16+H24+H29+H36+H43+H45+H47+H49</f>
        <v>-16</v>
      </c>
      <c r="I82" s="92">
        <f>SUM(I72:I81)+I16+I24+I29+I36+I43+I45+I47+I49+I51+I56+I61+I66</f>
        <v>-389826.63720139285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164</v>
      </c>
      <c r="B85" s="3"/>
      <c r="F85" s="31"/>
      <c r="G85" s="31"/>
      <c r="H85" s="31"/>
      <c r="I85" s="31"/>
    </row>
    <row r="86" spans="1:9" x14ac:dyDescent="0.25">
      <c r="A86" s="166"/>
      <c r="B86" s="3"/>
      <c r="C86" s="10" t="s">
        <v>167</v>
      </c>
      <c r="D86" s="167">
        <f>STG_VAR!D86+ONT_VAR!D86+'CE-VAR'!D86+'EAST-EGM-VAR'!D86+'BGC-EGM-VAR'!D86+'EAST-LRC-VAR'!D86+'TX-EGM-VAR'!D86+'TX-HPLR-VAR '!D86+'WE-VAR'!D86+BUG_VAR!D86+'TX-HPLC-VAR'!D86</f>
        <v>0</v>
      </c>
      <c r="E86" s="167">
        <f>STG_VAR!E86+ONT_VAR!E86+'CE-VAR'!E86+'EAST-EGM-VAR'!E86+'BGC-EGM-VAR'!E86+'EAST-LRC-VAR'!E86+'TX-EGM-VAR'!E86+'TX-HPLR-VAR '!E86+'WE-VAR'!E86+BUG_VAR!E86+'TX-HPLC-VAR'!E86</f>
        <v>-1374791</v>
      </c>
      <c r="F86" s="167">
        <f>STG_VAR!F86+ONT_VAR!F86+'CE-VAR'!F86+'EAST-EGM-VAR'!F86+'BGC-EGM-VAR'!F86+'EAST-LRC-VAR'!F86+'TX-EGM-VAR'!F86+'TX-HPLR-VAR '!F86+'WE-VAR'!F86+BUG_VAR!F86+'TX-HPLC-VAR'!F86</f>
        <v>0</v>
      </c>
      <c r="G86" s="167">
        <f>STG_VAR!G86+ONT_VAR!G86+'CE-VAR'!G86+'EAST-EGM-VAR'!G86+'BGC-EGM-VAR'!G86+'EAST-LRC-VAR'!G86+'TX-EGM-VAR'!G86+'TX-HPLR-VAR '!G86+'WE-VAR'!G86+BUG_VAR!G86+'TX-HPLC-VAR'!G86</f>
        <v>-835045.7</v>
      </c>
      <c r="H86" s="167">
        <f t="shared" ref="H86:I88" si="15">F86-D86</f>
        <v>0</v>
      </c>
      <c r="I86" s="167">
        <f t="shared" si="15"/>
        <v>539745.30000000005</v>
      </c>
    </row>
    <row r="87" spans="1:9" x14ac:dyDescent="0.25">
      <c r="A87" s="166"/>
      <c r="B87" s="3"/>
      <c r="C87" s="10" t="s">
        <v>71</v>
      </c>
      <c r="D87" s="168">
        <f>STG_VAR!D87+ONT_VAR!D87+'CE-VAR'!D87+'EAST-EGM-VAR'!D87+'BGC-EGM-VAR'!D87+'EAST-LRC-VAR'!D87+'TX-EGM-VAR'!D87+'TX-HPLR-VAR '!D87+'WE-VAR'!D87+BUG_VAR!D87+'TX-HPLC-VAR'!D87</f>
        <v>0</v>
      </c>
      <c r="E87" s="168">
        <f>STG_VAR!E87+ONT_VAR!E87+'CE-VAR'!E87+'EAST-EGM-VAR'!E87+'BGC-EGM-VAR'!E87+'EAST-LRC-VAR'!E87+'TX-EGM-VAR'!E87+'TX-HPLR-VAR '!E87+'WE-VAR'!E87+BUG_VAR!E87+'TX-HPLC-VAR'!E87</f>
        <v>0</v>
      </c>
      <c r="F87" s="168">
        <f>STG_VAR!F87+ONT_VAR!F87+'CE-VAR'!F87+'EAST-EGM-VAR'!F87+'BGC-EGM-VAR'!F87+'EAST-LRC-VAR'!F87+'TX-EGM-VAR'!F87+'TX-HPLR-VAR '!F87+'WE-VAR'!F87+BUG_VAR!F87+'TX-HPLC-VAR'!F87</f>
        <v>0</v>
      </c>
      <c r="G87" s="168">
        <f>STG_VAR!G87+ONT_VAR!G87+'CE-VAR'!G87+'EAST-EGM-VAR'!G87+'BGC-EGM-VAR'!G87+'EAST-LRC-VAR'!G87+'TX-EGM-VAR'!G87+'TX-HPLR-VAR '!G87+'WE-VAR'!G87+BUG_VAR!G87+'TX-HPLC-VAR'!G87</f>
        <v>-520266</v>
      </c>
      <c r="H87" s="168">
        <f t="shared" si="15"/>
        <v>0</v>
      </c>
      <c r="I87" s="168">
        <f t="shared" si="15"/>
        <v>-520266</v>
      </c>
    </row>
    <row r="88" spans="1:9" x14ac:dyDescent="0.25">
      <c r="A88" s="166"/>
      <c r="B88" s="3"/>
      <c r="C88" s="10" t="s">
        <v>72</v>
      </c>
      <c r="D88" s="169">
        <f>STG_VAR!D88+ONT_VAR!D88+'CE-VAR'!D88+'EAST-EGM-VAR'!D88+'BGC-EGM-VAR'!D88+'EAST-LRC-VAR'!D88+'TX-EGM-VAR'!D88+'TX-HPLR-VAR '!D88+'WE-VAR'!D88+BUG_VAR!D88+'TX-HPLC-VAR'!D88</f>
        <v>0</v>
      </c>
      <c r="E88" s="169">
        <f>STG_VAR!E88+ONT_VAR!E88+'CE-VAR'!E88+'EAST-EGM-VAR'!E88+'BGC-EGM-VAR'!E88+'EAST-LRC-VAR'!E88+'TX-EGM-VAR'!E88+'TX-HPLR-VAR '!E88+'WE-VAR'!E88+BUG_VAR!E88+'TX-HPLC-VAR'!E88</f>
        <v>2674324</v>
      </c>
      <c r="F88" s="169">
        <f>STG_VAR!F88+ONT_VAR!F88+'CE-VAR'!F88+'EAST-EGM-VAR'!F88+'BGC-EGM-VAR'!F88+'EAST-LRC-VAR'!F88+'TX-EGM-VAR'!F88+'TX-HPLR-VAR '!F88+'WE-VAR'!F88+BUG_VAR!F88+'TX-HPLC-VAR'!F88</f>
        <v>0</v>
      </c>
      <c r="G88" s="169">
        <f>STG_VAR!G88+ONT_VAR!G88+'CE-VAR'!G88+'EAST-EGM-VAR'!G88+'BGC-EGM-VAR'!G88+'EAST-LRC-VAR'!G88+'TX-EGM-VAR'!G88+'TX-HPLR-VAR '!G88+'WE-VAR'!G88+BUG_VAR!G88+'TX-HPLC-VAR'!G88</f>
        <v>2654130</v>
      </c>
      <c r="H88" s="169">
        <f t="shared" si="15"/>
        <v>0</v>
      </c>
      <c r="I88" s="169">
        <f t="shared" si="15"/>
        <v>-20194</v>
      </c>
    </row>
    <row r="89" spans="1:9" s="141" customFormat="1" x14ac:dyDescent="0.25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1299533</v>
      </c>
      <c r="F89" s="182">
        <f t="shared" si="16"/>
        <v>0</v>
      </c>
      <c r="G89" s="182">
        <f t="shared" si="16"/>
        <v>1298818.3</v>
      </c>
      <c r="H89" s="182">
        <f t="shared" si="16"/>
        <v>0</v>
      </c>
      <c r="I89" s="182">
        <f t="shared" si="16"/>
        <v>-714.69999999995343</v>
      </c>
    </row>
    <row r="90" spans="1:9" s="141" customFormat="1" x14ac:dyDescent="0.25">
      <c r="A90" s="184"/>
      <c r="B90" s="181"/>
      <c r="D90" s="185"/>
      <c r="E90" s="185"/>
      <c r="F90" s="185"/>
      <c r="G90" s="185"/>
      <c r="H90" s="185"/>
      <c r="I90" s="185"/>
    </row>
    <row r="91" spans="1:9" s="141" customFormat="1" x14ac:dyDescent="0.25">
      <c r="A91" s="180"/>
      <c r="B91" s="181"/>
      <c r="C91" s="179" t="s">
        <v>173</v>
      </c>
      <c r="D91" s="182">
        <f t="shared" ref="D91:I91" si="17">+D82+D89</f>
        <v>16</v>
      </c>
      <c r="E91" s="182">
        <f t="shared" si="17"/>
        <v>3492578.0162013303</v>
      </c>
      <c r="F91" s="182">
        <f t="shared" si="17"/>
        <v>0</v>
      </c>
      <c r="G91" s="182">
        <f t="shared" si="17"/>
        <v>3102036.6789999758</v>
      </c>
      <c r="H91" s="182">
        <f t="shared" si="17"/>
        <v>-16</v>
      </c>
      <c r="I91" s="182">
        <f t="shared" si="17"/>
        <v>-390541.3372013928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G179"/>
  <sheetViews>
    <sheetView zoomScale="75" workbookViewId="0">
      <pane xSplit="3" ySplit="9" topLeftCell="Y10" activePane="bottomRight" state="frozen"/>
      <selection activeCell="AF9" sqref="AF9"/>
      <selection pane="topRight" activeCell="AF9" sqref="AF9"/>
      <selection pane="bottomLeft" activeCell="AF9" sqref="AF9"/>
      <selection pane="bottomRight" activeCell="AF19" sqref="AF1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28518280</v>
      </c>
      <c r="E11" s="38">
        <f t="shared" si="0"/>
        <v>74546314.579999998</v>
      </c>
      <c r="F11" s="60">
        <f>'TIE-OUT'!P11+RECLASS!N11</f>
        <v>0</v>
      </c>
      <c r="G11" s="38">
        <f>'TIE-OUT'!Q11+RECLASS!O11</f>
        <v>249653</v>
      </c>
      <c r="H11" s="126">
        <f>+Actuals!E284</f>
        <v>28381120</v>
      </c>
      <c r="I11" s="127">
        <f>+Actuals!F284</f>
        <v>74671405.099999994</v>
      </c>
      <c r="J11" s="126">
        <f>+Actuals!G284</f>
        <v>-16497</v>
      </c>
      <c r="K11" s="127">
        <f>+Actuals!H284</f>
        <v>-766653.36</v>
      </c>
      <c r="L11" s="126">
        <f>+Actuals!I284</f>
        <v>20790</v>
      </c>
      <c r="M11" s="127">
        <f>+Actuals!J284</f>
        <v>57283.96</v>
      </c>
      <c r="N11" s="126">
        <f>+Actuals!K284</f>
        <v>-9343</v>
      </c>
      <c r="O11" s="127">
        <f>+Actuals!L284</f>
        <v>-19534.580000000002</v>
      </c>
      <c r="P11" s="126">
        <f>+Actuals!M484</f>
        <v>-13950</v>
      </c>
      <c r="Q11" s="127">
        <f>+Actuals!N484</f>
        <v>-42401.74</v>
      </c>
      <c r="R11" s="126">
        <f>+Actuals!O484</f>
        <v>4</v>
      </c>
      <c r="S11" s="127">
        <f>+Actuals!P484</f>
        <v>148.75</v>
      </c>
      <c r="T11" s="126">
        <f>+Actuals!Q484</f>
        <v>0</v>
      </c>
      <c r="U11" s="127">
        <f>+Actuals!R484</f>
        <v>0</v>
      </c>
      <c r="V11" s="126">
        <f>+Actuals!S484</f>
        <v>156156</v>
      </c>
      <c r="W11" s="127">
        <f>+Actuals!T484</f>
        <v>396413.45</v>
      </c>
      <c r="X11" s="126">
        <f>+Actuals!U484</f>
        <v>0</v>
      </c>
      <c r="Y11" s="127">
        <f>+Actuals!V484</f>
        <v>0</v>
      </c>
      <c r="Z11" s="126">
        <f>+Actuals!W484</f>
        <v>0</v>
      </c>
      <c r="AA11" s="127">
        <f>+Actuals!X484</f>
        <v>0</v>
      </c>
      <c r="AB11" s="126">
        <f>+Actuals!Y284</f>
        <v>0</v>
      </c>
      <c r="AC11" s="127">
        <f>+Actuals!Z284</f>
        <v>0</v>
      </c>
      <c r="AD11" s="126">
        <f>+Actuals!AA284</f>
        <v>0</v>
      </c>
      <c r="AE11" s="127">
        <f>+Actuals!AB284</f>
        <v>0</v>
      </c>
      <c r="AF11" s="126">
        <f>+Actuals!AC284</f>
        <v>0</v>
      </c>
      <c r="AG11" s="127">
        <f>+Actuals!AD284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3035416.6599999997</v>
      </c>
      <c r="F12" s="60">
        <f>'TIE-OUT'!P12+RECLASS!N12</f>
        <v>0</v>
      </c>
      <c r="G12" s="38">
        <f>'TIE-OUT'!Q12+RECLASS!O12</f>
        <v>3829666.57</v>
      </c>
      <c r="H12" s="126">
        <f>+Actuals!E285</f>
        <v>0</v>
      </c>
      <c r="I12" s="127">
        <f>+Actuals!F285</f>
        <v>0</v>
      </c>
      <c r="J12" s="126">
        <f>+Actuals!G285</f>
        <v>0</v>
      </c>
      <c r="K12" s="156">
        <f>+Actuals!H285</f>
        <v>0</v>
      </c>
      <c r="L12" s="126">
        <f>+Actuals!I285</f>
        <v>0</v>
      </c>
      <c r="M12" s="153">
        <v>-794249.91</v>
      </c>
      <c r="N12" s="126">
        <f>+Actuals!K285</f>
        <v>0</v>
      </c>
      <c r="O12" s="127">
        <f>+Actuals!L285</f>
        <v>0</v>
      </c>
      <c r="P12" s="126">
        <f>+Actuals!M485</f>
        <v>0</v>
      </c>
      <c r="Q12" s="127">
        <f>+Actuals!N485</f>
        <v>0</v>
      </c>
      <c r="R12" s="126">
        <f>+Actuals!O485</f>
        <v>0</v>
      </c>
      <c r="S12" s="127">
        <f>+Actuals!P485</f>
        <v>0</v>
      </c>
      <c r="T12" s="126">
        <f>+Actuals!Q485</f>
        <v>0</v>
      </c>
      <c r="U12" s="127">
        <f>+Actuals!R485</f>
        <v>0</v>
      </c>
      <c r="V12" s="126">
        <f>+Actuals!S485</f>
        <v>0</v>
      </c>
      <c r="W12" s="127">
        <f>+Actuals!T485</f>
        <v>0</v>
      </c>
      <c r="X12" s="126">
        <f>+Actuals!U485</f>
        <v>0</v>
      </c>
      <c r="Y12" s="127">
        <f>+Actuals!V485</f>
        <v>0</v>
      </c>
      <c r="Z12" s="126">
        <f>+Actuals!W485</f>
        <v>0</v>
      </c>
      <c r="AA12" s="127">
        <f>+Actuals!X485</f>
        <v>0</v>
      </c>
      <c r="AB12" s="126">
        <f>+Actuals!Y285</f>
        <v>0</v>
      </c>
      <c r="AC12" s="127">
        <f>+Actuals!Z285</f>
        <v>0</v>
      </c>
      <c r="AD12" s="126">
        <f>+Actuals!AA285</f>
        <v>0</v>
      </c>
      <c r="AE12" s="127">
        <f>+Actuals!AB285</f>
        <v>0</v>
      </c>
      <c r="AF12" s="126">
        <f>+Actuals!AC285</f>
        <v>0</v>
      </c>
      <c r="AG12" s="127">
        <f>+Actuals!AD285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15666477</v>
      </c>
      <c r="E13" s="38">
        <f t="shared" si="0"/>
        <v>38344588</v>
      </c>
      <c r="F13" s="60">
        <f>'TIE-OUT'!P13+RECLASS!N13</f>
        <v>0</v>
      </c>
      <c r="G13" s="38">
        <f>'TIE-OUT'!Q13+RECLASS!O13</f>
        <v>0</v>
      </c>
      <c r="H13" s="126">
        <f>+Actuals!E286</f>
        <v>15666477</v>
      </c>
      <c r="I13" s="127">
        <f>+Actuals!F286</f>
        <v>38344588</v>
      </c>
      <c r="J13" s="126">
        <f>+Actuals!G286</f>
        <v>524808</v>
      </c>
      <c r="K13" s="127">
        <f>+Actuals!H286</f>
        <v>1435859</v>
      </c>
      <c r="L13" s="126">
        <f>+Actuals!I286</f>
        <v>522308</v>
      </c>
      <c r="M13" s="127">
        <f>+Actuals!J286</f>
        <v>1428871</v>
      </c>
      <c r="N13" s="126">
        <f>+Actuals!K286</f>
        <v>-16191285</v>
      </c>
      <c r="O13" s="127">
        <f>+Actuals!L286</f>
        <v>-39780447</v>
      </c>
      <c r="P13" s="126">
        <f>+Actuals!M486</f>
        <v>16713593</v>
      </c>
      <c r="Q13" s="127">
        <f>+Actuals!N486</f>
        <v>41209318</v>
      </c>
      <c r="R13" s="126">
        <f>+Actuals!O486</f>
        <v>0</v>
      </c>
      <c r="S13" s="127">
        <f>+Actuals!P486</f>
        <v>0</v>
      </c>
      <c r="T13" s="126">
        <f>+Actuals!Q486</f>
        <v>-16723593</v>
      </c>
      <c r="U13" s="127">
        <f>+Actuals!R486</f>
        <v>-41237238</v>
      </c>
      <c r="V13" s="126">
        <f>+Actuals!S486</f>
        <v>0</v>
      </c>
      <c r="W13" s="127">
        <f>+Actuals!T486</f>
        <v>0</v>
      </c>
      <c r="X13" s="126">
        <f>+Actuals!U486</f>
        <v>0</v>
      </c>
      <c r="Y13" s="127">
        <f>+Actuals!V486</f>
        <v>0</v>
      </c>
      <c r="Z13" s="126">
        <f>+Actuals!W486</f>
        <v>15154169</v>
      </c>
      <c r="AA13" s="127">
        <f>+Actuals!X486</f>
        <v>36943637</v>
      </c>
      <c r="AB13" s="126">
        <f>+Actuals!Y286</f>
        <v>0</v>
      </c>
      <c r="AC13" s="127">
        <f>+Actuals!Z286</f>
        <v>0</v>
      </c>
      <c r="AD13" s="126">
        <f>+Actuals!AA286</f>
        <v>0</v>
      </c>
      <c r="AE13" s="127">
        <f>+Actuals!AB286</f>
        <v>0</v>
      </c>
      <c r="AF13" s="126">
        <f>+Actuals!AC286</f>
        <v>0</v>
      </c>
      <c r="AG13" s="127">
        <f>+Actuals!AD286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6">
        <f>+Actuals!E287</f>
        <v>0</v>
      </c>
      <c r="I14" s="127">
        <f>+Actuals!F287</f>
        <v>0</v>
      </c>
      <c r="J14" s="126">
        <f>+Actuals!G287</f>
        <v>0</v>
      </c>
      <c r="K14" s="127">
        <f>+Actuals!H287</f>
        <v>0</v>
      </c>
      <c r="L14" s="126">
        <f>+Actuals!I287</f>
        <v>0</v>
      </c>
      <c r="M14" s="127">
        <f>+Actuals!J287</f>
        <v>0</v>
      </c>
      <c r="N14" s="126">
        <f>+Actuals!K287</f>
        <v>0</v>
      </c>
      <c r="O14" s="127">
        <f>+Actuals!L287</f>
        <v>0</v>
      </c>
      <c r="P14" s="126">
        <f>+Actuals!M487</f>
        <v>0</v>
      </c>
      <c r="Q14" s="127">
        <f>+Actuals!N487</f>
        <v>0</v>
      </c>
      <c r="R14" s="126">
        <f>+Actuals!O487</f>
        <v>0</v>
      </c>
      <c r="S14" s="127">
        <f>+Actuals!P487</f>
        <v>0</v>
      </c>
      <c r="T14" s="126">
        <f>+Actuals!Q487</f>
        <v>0</v>
      </c>
      <c r="U14" s="127">
        <f>+Actuals!R487</f>
        <v>0</v>
      </c>
      <c r="V14" s="126">
        <f>+Actuals!S487</f>
        <v>0</v>
      </c>
      <c r="W14" s="127">
        <f>+Actuals!T487</f>
        <v>0</v>
      </c>
      <c r="X14" s="126">
        <f>+Actuals!U487</f>
        <v>0</v>
      </c>
      <c r="Y14" s="127">
        <f>+Actuals!V487</f>
        <v>0</v>
      </c>
      <c r="Z14" s="126">
        <f>+Actuals!W487</f>
        <v>0</v>
      </c>
      <c r="AA14" s="127">
        <f>+Actuals!X487</f>
        <v>0</v>
      </c>
      <c r="AB14" s="126">
        <f>+Actuals!Y287</f>
        <v>0</v>
      </c>
      <c r="AC14" s="127">
        <f>+Actuals!Z287</f>
        <v>0</v>
      </c>
      <c r="AD14" s="126">
        <f>+Actuals!AA287</f>
        <v>0</v>
      </c>
      <c r="AE14" s="127">
        <f>+Actuals!AB287</f>
        <v>0</v>
      </c>
      <c r="AF14" s="126">
        <f>+Actuals!AC287</f>
        <v>0</v>
      </c>
      <c r="AG14" s="127">
        <f>+Actuals!AD287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431061.19</v>
      </c>
      <c r="F15" s="81">
        <f>'TIE-OUT'!P15+RECLASS!N15</f>
        <v>0</v>
      </c>
      <c r="G15" s="82">
        <f>'TIE-OUT'!Q15+RECLASS!O15</f>
        <v>-774121</v>
      </c>
      <c r="H15" s="126">
        <f>+Actuals!E288</f>
        <v>0</v>
      </c>
      <c r="I15" s="127">
        <f>+Actuals!F288</f>
        <v>0</v>
      </c>
      <c r="J15" s="126">
        <f>+Actuals!G288</f>
        <v>0</v>
      </c>
      <c r="K15" s="127">
        <f>+Actuals!H288</f>
        <v>773399</v>
      </c>
      <c r="L15" s="126">
        <f>+Actuals!I288</f>
        <v>0</v>
      </c>
      <c r="M15" s="127">
        <f>+Actuals!J288</f>
        <v>0</v>
      </c>
      <c r="N15" s="126">
        <f>+Actuals!K288</f>
        <v>0</v>
      </c>
      <c r="O15" s="127">
        <f>+Actuals!L288</f>
        <v>0</v>
      </c>
      <c r="P15" s="126">
        <f>+Actuals!M488</f>
        <v>0</v>
      </c>
      <c r="Q15" s="127">
        <f>+Actuals!N488</f>
        <v>0</v>
      </c>
      <c r="R15" s="126">
        <f>+Actuals!O488</f>
        <v>0</v>
      </c>
      <c r="S15" s="127">
        <f>+Actuals!P488</f>
        <v>0</v>
      </c>
      <c r="T15" s="126">
        <f>+Actuals!Q488</f>
        <v>0</v>
      </c>
      <c r="U15" s="127">
        <f>+Actuals!R488</f>
        <v>431783.19</v>
      </c>
      <c r="V15" s="126">
        <f>+Actuals!S488</f>
        <v>0</v>
      </c>
      <c r="W15" s="127">
        <f>+Actuals!T488</f>
        <v>0</v>
      </c>
      <c r="X15" s="126">
        <f>+Actuals!U488</f>
        <v>0</v>
      </c>
      <c r="Y15" s="127">
        <f>+Actuals!V488</f>
        <v>0</v>
      </c>
      <c r="Z15" s="126">
        <f>+Actuals!W488</f>
        <v>0</v>
      </c>
      <c r="AA15" s="127">
        <f>+Actuals!X488</f>
        <v>0</v>
      </c>
      <c r="AB15" s="126">
        <f>+Actuals!Y288</f>
        <v>0</v>
      </c>
      <c r="AC15" s="127">
        <f>+Actuals!Z288</f>
        <v>0</v>
      </c>
      <c r="AD15" s="126">
        <f>+Actuals!AA288</f>
        <v>0</v>
      </c>
      <c r="AE15" s="127">
        <f>+Actuals!AB288</f>
        <v>0</v>
      </c>
      <c r="AF15" s="126">
        <f>+Actuals!AC288</f>
        <v>0</v>
      </c>
      <c r="AG15" s="127">
        <f>+Actuals!AD288</f>
        <v>0</v>
      </c>
    </row>
    <row r="16" spans="1:33" x14ac:dyDescent="0.25">
      <c r="A16" s="9"/>
      <c r="B16" s="7" t="s">
        <v>30</v>
      </c>
      <c r="C16" s="6"/>
      <c r="D16" s="61">
        <f t="shared" ref="D16:AE16" si="1">SUM(D11:D15)</f>
        <v>44184757</v>
      </c>
      <c r="E16" s="39">
        <f t="shared" si="1"/>
        <v>116357380.42999999</v>
      </c>
      <c r="F16" s="61">
        <f t="shared" si="1"/>
        <v>0</v>
      </c>
      <c r="G16" s="39">
        <f t="shared" si="1"/>
        <v>3305198.57</v>
      </c>
      <c r="H16" s="61">
        <f t="shared" si="1"/>
        <v>44047597</v>
      </c>
      <c r="I16" s="39">
        <f t="shared" si="1"/>
        <v>113015993.09999999</v>
      </c>
      <c r="J16" s="61">
        <f t="shared" si="1"/>
        <v>508311</v>
      </c>
      <c r="K16" s="39">
        <f t="shared" si="1"/>
        <v>1442604.6400000001</v>
      </c>
      <c r="L16" s="61">
        <f t="shared" si="1"/>
        <v>543098</v>
      </c>
      <c r="M16" s="39">
        <f t="shared" si="1"/>
        <v>691905.04999999993</v>
      </c>
      <c r="N16" s="61">
        <f t="shared" si="1"/>
        <v>-16200628</v>
      </c>
      <c r="O16" s="39">
        <f t="shared" si="1"/>
        <v>-39799981.579999998</v>
      </c>
      <c r="P16" s="61">
        <f t="shared" si="1"/>
        <v>16699643</v>
      </c>
      <c r="Q16" s="39">
        <f t="shared" si="1"/>
        <v>41166916.259999998</v>
      </c>
      <c r="R16" s="61">
        <f t="shared" ref="R16:W16" si="2">SUM(R11:R15)</f>
        <v>4</v>
      </c>
      <c r="S16" s="39">
        <f t="shared" si="2"/>
        <v>148.75</v>
      </c>
      <c r="T16" s="61">
        <f t="shared" si="2"/>
        <v>-16723593</v>
      </c>
      <c r="U16" s="39">
        <f t="shared" si="2"/>
        <v>-40805454.810000002</v>
      </c>
      <c r="V16" s="61">
        <f t="shared" si="2"/>
        <v>156156</v>
      </c>
      <c r="W16" s="39">
        <f t="shared" si="2"/>
        <v>396413.45</v>
      </c>
      <c r="X16" s="61">
        <f>SUM(X11:X15)</f>
        <v>0</v>
      </c>
      <c r="Y16" s="39">
        <f>SUM(Y11:Y15)</f>
        <v>0</v>
      </c>
      <c r="Z16" s="61">
        <f>SUM(Z11:Z15)</f>
        <v>15154169</v>
      </c>
      <c r="AA16" s="39">
        <f>SUM(AA11:AA15)</f>
        <v>36943637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-30591178</v>
      </c>
      <c r="E19" s="38">
        <f t="shared" si="3"/>
        <v>-77463485.659999996</v>
      </c>
      <c r="F19" s="64">
        <f>'TIE-OUT'!P19+RECLASS!N19</f>
        <v>0</v>
      </c>
      <c r="G19" s="68">
        <f>'TIE-OUT'!Q19+RECLASS!O19</f>
        <v>0</v>
      </c>
      <c r="H19" s="126">
        <f>+Actuals!E289</f>
        <v>-30524913</v>
      </c>
      <c r="I19" s="127">
        <f>+Actuals!F289</f>
        <v>-76898375.650000006</v>
      </c>
      <c r="J19" s="126">
        <f>+Actuals!G289</f>
        <v>-40612</v>
      </c>
      <c r="K19" s="127">
        <f>+Actuals!H289</f>
        <v>-240509.21</v>
      </c>
      <c r="L19" s="126">
        <f>+Actuals!I289</f>
        <v>-15201</v>
      </c>
      <c r="M19" s="127">
        <f>+Actuals!J289</f>
        <v>-53815.040000000001</v>
      </c>
      <c r="N19" s="126">
        <f>+Actuals!K289</f>
        <v>0</v>
      </c>
      <c r="O19" s="127">
        <f>+Actuals!L289</f>
        <v>-253900.05</v>
      </c>
      <c r="P19" s="126">
        <f>+Actuals!M489</f>
        <v>14063</v>
      </c>
      <c r="Q19" s="127">
        <f>+Actuals!N489</f>
        <v>37122.29</v>
      </c>
      <c r="R19" s="126">
        <f>+Actuals!O489</f>
        <v>0</v>
      </c>
      <c r="S19" s="127">
        <f>+Actuals!P489</f>
        <v>13121.25</v>
      </c>
      <c r="T19" s="126">
        <f>+Actuals!Q489</f>
        <v>0</v>
      </c>
      <c r="U19" s="127">
        <f>+Actuals!R489</f>
        <v>0</v>
      </c>
      <c r="V19" s="126">
        <f>+Actuals!S489</f>
        <v>-25135</v>
      </c>
      <c r="W19" s="127">
        <f>+Actuals!T489</f>
        <v>-68761.399999999994</v>
      </c>
      <c r="X19" s="126">
        <f>+Actuals!U489</f>
        <v>0</v>
      </c>
      <c r="Y19" s="127">
        <f>+Actuals!V489</f>
        <v>0</v>
      </c>
      <c r="Z19" s="126">
        <f>+Actuals!W489</f>
        <v>0</v>
      </c>
      <c r="AA19" s="127">
        <f>+Actuals!X489</f>
        <v>0</v>
      </c>
      <c r="AB19" s="126">
        <f>+Actuals!Y289</f>
        <v>0</v>
      </c>
      <c r="AC19" s="127">
        <f>+Actuals!Z289</f>
        <v>0</v>
      </c>
      <c r="AD19" s="126">
        <v>620</v>
      </c>
      <c r="AE19" s="127">
        <v>1632.15</v>
      </c>
      <c r="AF19" s="126">
        <v>0</v>
      </c>
      <c r="AG19" s="127"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-2418239.29</v>
      </c>
      <c r="F20" s="60">
        <f>'TIE-OUT'!P20+RECLASS!N20</f>
        <v>0</v>
      </c>
      <c r="G20" s="38">
        <f>'TIE-OUT'!Q20+RECLASS!O20</f>
        <v>-2418239.29</v>
      </c>
      <c r="H20" s="126">
        <f>+Actuals!E290</f>
        <v>0</v>
      </c>
      <c r="I20" s="127">
        <f>+Actuals!F290</f>
        <v>0</v>
      </c>
      <c r="J20" s="126">
        <f>+Actuals!G290</f>
        <v>0</v>
      </c>
      <c r="K20" s="156">
        <f>+Actuals!H290</f>
        <v>0</v>
      </c>
      <c r="L20" s="126">
        <f>+Actuals!I290</f>
        <v>0</v>
      </c>
      <c r="M20" s="127">
        <f>+Actuals!J290</f>
        <v>0</v>
      </c>
      <c r="N20" s="126">
        <f>+Actuals!K290</f>
        <v>0</v>
      </c>
      <c r="O20" s="127">
        <f>+Actuals!L290</f>
        <v>0</v>
      </c>
      <c r="P20" s="126">
        <f>+Actuals!M490</f>
        <v>0</v>
      </c>
      <c r="Q20" s="153">
        <v>0</v>
      </c>
      <c r="R20" s="126">
        <f>+Actuals!O490</f>
        <v>0</v>
      </c>
      <c r="S20" s="127">
        <v>0</v>
      </c>
      <c r="T20" s="126">
        <f>+Actuals!Q490</f>
        <v>0</v>
      </c>
      <c r="U20" s="127">
        <v>0</v>
      </c>
      <c r="V20" s="126">
        <f>+Actuals!S490</f>
        <v>0</v>
      </c>
      <c r="W20" s="127">
        <v>0</v>
      </c>
      <c r="X20" s="126">
        <f>+Actuals!U490</f>
        <v>0</v>
      </c>
      <c r="Y20" s="127">
        <v>0</v>
      </c>
      <c r="Z20" s="126">
        <f>+Actuals!W490</f>
        <v>0</v>
      </c>
      <c r="AA20" s="127">
        <v>0</v>
      </c>
      <c r="AB20" s="126">
        <f>+Actuals!Y290</f>
        <v>0</v>
      </c>
      <c r="AC20" s="127">
        <f>+Actuals!Z290</f>
        <v>0</v>
      </c>
      <c r="AD20" s="126">
        <f>+Actuals!AA290</f>
        <v>0</v>
      </c>
      <c r="AE20" s="127">
        <f>+Actuals!AB290</f>
        <v>0</v>
      </c>
      <c r="AF20" s="126">
        <f>+Actuals!AC290</f>
        <v>0</v>
      </c>
      <c r="AG20" s="127">
        <f>+Actuals!AD290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-15154169</v>
      </c>
      <c r="E21" s="38">
        <f t="shared" si="3"/>
        <v>-36942817</v>
      </c>
      <c r="F21" s="60">
        <f>'TIE-OUT'!P21+RECLASS!N21</f>
        <v>0</v>
      </c>
      <c r="G21" s="38">
        <f>'TIE-OUT'!Q21+RECLASS!O21</f>
        <v>0</v>
      </c>
      <c r="H21" s="126">
        <f>+Actuals!E291</f>
        <v>-15154169</v>
      </c>
      <c r="I21" s="127">
        <f>+Actuals!F291</f>
        <v>-36942817</v>
      </c>
      <c r="J21" s="126">
        <f>+Actuals!G291</f>
        <v>-524808</v>
      </c>
      <c r="K21" s="127">
        <f>+Actuals!H291</f>
        <v>-1435859</v>
      </c>
      <c r="L21" s="126">
        <f>+Actuals!I291</f>
        <v>0</v>
      </c>
      <c r="M21" s="127">
        <f>+Actuals!J291</f>
        <v>0</v>
      </c>
      <c r="N21" s="126">
        <f>+Actuals!K291</f>
        <v>15678977</v>
      </c>
      <c r="O21" s="127">
        <f>+Actuals!L291</f>
        <v>38378676</v>
      </c>
      <c r="P21" s="126">
        <f>+Actuals!M491</f>
        <v>-15678977</v>
      </c>
      <c r="Q21" s="127">
        <f>+Actuals!N491</f>
        <v>-38378676</v>
      </c>
      <c r="R21" s="126">
        <f>+Actuals!O491</f>
        <v>0</v>
      </c>
      <c r="S21" s="127">
        <f>+Actuals!P491</f>
        <v>0</v>
      </c>
      <c r="T21" s="126">
        <f>+Actuals!Q491</f>
        <v>15678977</v>
      </c>
      <c r="U21" s="127">
        <f>+Actuals!R491</f>
        <v>38378676</v>
      </c>
      <c r="V21" s="126">
        <f>+Actuals!S491</f>
        <v>0</v>
      </c>
      <c r="W21" s="127">
        <f>+Actuals!T491</f>
        <v>0</v>
      </c>
      <c r="X21" s="126">
        <f>+Actuals!U491</f>
        <v>0</v>
      </c>
      <c r="Y21" s="127">
        <f>+Actuals!V491</f>
        <v>0</v>
      </c>
      <c r="Z21" s="126">
        <f>+Actuals!W491</f>
        <v>-15154169</v>
      </c>
      <c r="AA21" s="127">
        <f>+Actuals!X491</f>
        <v>-36942817</v>
      </c>
      <c r="AB21" s="126">
        <f>+Actuals!Y291</f>
        <v>0</v>
      </c>
      <c r="AC21" s="127">
        <f>+Actuals!Z291</f>
        <v>0</v>
      </c>
      <c r="AD21" s="126">
        <f>+Actuals!AA291</f>
        <v>0</v>
      </c>
      <c r="AE21" s="127">
        <f>+Actuals!AB291</f>
        <v>0</v>
      </c>
      <c r="AF21" s="126">
        <f>+Actuals!AC291</f>
        <v>0</v>
      </c>
      <c r="AG21" s="127">
        <f>+Actuals!AD291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6">
        <f>+Actuals!E292</f>
        <v>0</v>
      </c>
      <c r="I22" s="127">
        <f>+Actuals!F292</f>
        <v>0</v>
      </c>
      <c r="J22" s="126">
        <f>+Actuals!G292</f>
        <v>0</v>
      </c>
      <c r="K22" s="127">
        <f>+Actuals!H292</f>
        <v>0</v>
      </c>
      <c r="L22" s="126">
        <f>+Actuals!I292</f>
        <v>0</v>
      </c>
      <c r="M22" s="127">
        <f>+Actuals!J292</f>
        <v>0</v>
      </c>
      <c r="N22" s="126">
        <f>+Actuals!K292</f>
        <v>0</v>
      </c>
      <c r="O22" s="127">
        <f>+Actuals!L292</f>
        <v>0</v>
      </c>
      <c r="P22" s="126">
        <f>+Actuals!M492</f>
        <v>0</v>
      </c>
      <c r="Q22" s="127">
        <f>+Actuals!N492</f>
        <v>0</v>
      </c>
      <c r="R22" s="126">
        <f>+Actuals!O492</f>
        <v>0</v>
      </c>
      <c r="S22" s="127">
        <f>+Actuals!P492</f>
        <v>0</v>
      </c>
      <c r="T22" s="126">
        <f>+Actuals!Q492</f>
        <v>0</v>
      </c>
      <c r="U22" s="127">
        <f>+Actuals!R492</f>
        <v>0</v>
      </c>
      <c r="V22" s="126">
        <f>+Actuals!S492</f>
        <v>0</v>
      </c>
      <c r="W22" s="127">
        <f>+Actuals!T492</f>
        <v>0</v>
      </c>
      <c r="X22" s="126">
        <f>+Actuals!U492</f>
        <v>0</v>
      </c>
      <c r="Y22" s="127">
        <f>+Actuals!V492</f>
        <v>0</v>
      </c>
      <c r="Z22" s="126">
        <f>+Actuals!W492</f>
        <v>0</v>
      </c>
      <c r="AA22" s="127">
        <f>+Actuals!X492</f>
        <v>0</v>
      </c>
      <c r="AB22" s="126">
        <f>+Actuals!Y292</f>
        <v>0</v>
      </c>
      <c r="AC22" s="127">
        <f>+Actuals!Z292</f>
        <v>0</v>
      </c>
      <c r="AD22" s="126">
        <f>+Actuals!AA292</f>
        <v>0</v>
      </c>
      <c r="AE22" s="127">
        <f>+Actuals!AB292</f>
        <v>0</v>
      </c>
      <c r="AF22" s="126">
        <f>+Actuals!AC292</f>
        <v>0</v>
      </c>
      <c r="AG22" s="127">
        <f>+Actuals!AD292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310319</v>
      </c>
      <c r="E23" s="38">
        <f t="shared" si="3"/>
        <v>818000.8820000001</v>
      </c>
      <c r="F23" s="81">
        <f>'TIE-OUT'!P23+RECLASS!N23</f>
        <v>0</v>
      </c>
      <c r="G23" s="82">
        <f>'TIE-OUT'!Q23+RECLASS!O23</f>
        <v>0</v>
      </c>
      <c r="H23" s="126">
        <f>+Actuals!E293</f>
        <v>351125</v>
      </c>
      <c r="I23" s="127">
        <f>+Actuals!F293</f>
        <v>925565.5</v>
      </c>
      <c r="J23" s="126">
        <f>+Actuals!G293</f>
        <v>-30213</v>
      </c>
      <c r="K23" s="127">
        <f>+Actuals!H293</f>
        <v>-79641.467999999993</v>
      </c>
      <c r="L23" s="126">
        <f>+Actuals!I293</f>
        <v>-10370</v>
      </c>
      <c r="M23" s="127">
        <f>+Actuals!J293</f>
        <v>-27335.32</v>
      </c>
      <c r="N23" s="126">
        <f>+Actuals!K293</f>
        <v>376</v>
      </c>
      <c r="O23" s="127">
        <f>+Actuals!L293</f>
        <v>991.13599999999997</v>
      </c>
      <c r="P23" s="126">
        <f>+Actuals!M493</f>
        <v>-595</v>
      </c>
      <c r="Q23" s="127">
        <f>+Actuals!N493</f>
        <v>-1568.42</v>
      </c>
      <c r="R23" s="126">
        <f>+Actuals!O493</f>
        <v>0</v>
      </c>
      <c r="S23" s="127">
        <f>+Actuals!P493</f>
        <v>0</v>
      </c>
      <c r="T23" s="126">
        <f>+Actuals!Q493</f>
        <v>-57</v>
      </c>
      <c r="U23" s="127">
        <f>+Actuals!R493</f>
        <v>-150.25200000000001</v>
      </c>
      <c r="V23" s="126">
        <f>+Actuals!S493</f>
        <v>56</v>
      </c>
      <c r="W23" s="127">
        <f>+Actuals!T493</f>
        <v>147.61600000000001</v>
      </c>
      <c r="X23" s="126">
        <f>+Actuals!U493</f>
        <v>0</v>
      </c>
      <c r="Y23" s="127">
        <f>+Actuals!V493</f>
        <v>0</v>
      </c>
      <c r="Z23" s="126">
        <f>+Actuals!W493</f>
        <v>0</v>
      </c>
      <c r="AA23" s="127">
        <f>+Actuals!X493</f>
        <v>0</v>
      </c>
      <c r="AB23" s="126">
        <f>+Actuals!Y293</f>
        <v>0</v>
      </c>
      <c r="AC23" s="127">
        <f>+Actuals!Z293</f>
        <v>0</v>
      </c>
      <c r="AD23" s="126">
        <v>-2</v>
      </c>
      <c r="AE23" s="127">
        <v>-5.27</v>
      </c>
      <c r="AF23" s="126">
        <v>-1</v>
      </c>
      <c r="AG23" s="127">
        <v>-2.64</v>
      </c>
    </row>
    <row r="24" spans="1:33" x14ac:dyDescent="0.25">
      <c r="A24" s="9"/>
      <c r="B24" s="7" t="s">
        <v>33</v>
      </c>
      <c r="C24" s="6"/>
      <c r="D24" s="61">
        <f t="shared" ref="D24:AE24" si="4">SUM(D19:D23)</f>
        <v>-45435028</v>
      </c>
      <c r="E24" s="39">
        <f t="shared" si="4"/>
        <v>-116006541.068</v>
      </c>
      <c r="F24" s="61">
        <f t="shared" si="4"/>
        <v>0</v>
      </c>
      <c r="G24" s="39">
        <f t="shared" si="4"/>
        <v>-2418239.29</v>
      </c>
      <c r="H24" s="61">
        <f t="shared" si="4"/>
        <v>-45327957</v>
      </c>
      <c r="I24" s="39">
        <f t="shared" si="4"/>
        <v>-112915627.15000001</v>
      </c>
      <c r="J24" s="61">
        <f t="shared" si="4"/>
        <v>-595633</v>
      </c>
      <c r="K24" s="39">
        <f t="shared" si="4"/>
        <v>-1756009.6779999998</v>
      </c>
      <c r="L24" s="61">
        <f t="shared" si="4"/>
        <v>-25571</v>
      </c>
      <c r="M24" s="39">
        <f t="shared" si="4"/>
        <v>-81150.36</v>
      </c>
      <c r="N24" s="61">
        <f t="shared" si="4"/>
        <v>15679353</v>
      </c>
      <c r="O24" s="39">
        <f t="shared" si="4"/>
        <v>38125767.086000003</v>
      </c>
      <c r="P24" s="61">
        <f t="shared" si="4"/>
        <v>-15665509</v>
      </c>
      <c r="Q24" s="39">
        <f t="shared" si="4"/>
        <v>-38343122.130000003</v>
      </c>
      <c r="R24" s="61">
        <f t="shared" ref="R24:W24" si="5">SUM(R19:R23)</f>
        <v>0</v>
      </c>
      <c r="S24" s="39">
        <f t="shared" si="5"/>
        <v>13121.25</v>
      </c>
      <c r="T24" s="61">
        <f t="shared" si="5"/>
        <v>15678920</v>
      </c>
      <c r="U24" s="39">
        <f t="shared" si="5"/>
        <v>38378525.748000003</v>
      </c>
      <c r="V24" s="61">
        <f t="shared" si="5"/>
        <v>-25079</v>
      </c>
      <c r="W24" s="39">
        <f t="shared" si="5"/>
        <v>-68613.784</v>
      </c>
      <c r="X24" s="61">
        <f>SUM(X19:X23)</f>
        <v>0</v>
      </c>
      <c r="Y24" s="39">
        <f>SUM(Y19:Y23)</f>
        <v>0</v>
      </c>
      <c r="Z24" s="61">
        <f>SUM(Z19:Z23)</f>
        <v>-15154169</v>
      </c>
      <c r="AA24" s="39">
        <f>SUM(AA19:AA23)</f>
        <v>-36942817</v>
      </c>
      <c r="AB24" s="61">
        <f t="shared" si="4"/>
        <v>0</v>
      </c>
      <c r="AC24" s="39">
        <f t="shared" si="4"/>
        <v>0</v>
      </c>
      <c r="AD24" s="61">
        <f t="shared" si="4"/>
        <v>618</v>
      </c>
      <c r="AE24" s="39">
        <f t="shared" si="4"/>
        <v>1626.88</v>
      </c>
      <c r="AF24" s="61">
        <f>SUM(AF19:AF23)</f>
        <v>-1</v>
      </c>
      <c r="AG24" s="39">
        <f>SUM(AG19:AG23)</f>
        <v>-2.64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1135500</v>
      </c>
      <c r="E27" s="38">
        <f>SUM(G27,I27,K27,M27,O27,Q27,S27,U27,W27,Y27,AA27,AC27,AE27,AG27)</f>
        <v>3090021.15</v>
      </c>
      <c r="F27" s="64">
        <f>'TIE-OUT'!P27+RECLASS!N27</f>
        <v>0</v>
      </c>
      <c r="G27" s="68">
        <f>'TIE-OUT'!Q27+RECLASS!O27</f>
        <v>0</v>
      </c>
      <c r="H27" s="126">
        <f>+Actuals!E294</f>
        <v>1140500</v>
      </c>
      <c r="I27" s="127">
        <f>+Actuals!F294</f>
        <v>3104046.15</v>
      </c>
      <c r="J27" s="126">
        <f>+Actuals!G294</f>
        <v>0</v>
      </c>
      <c r="K27" s="127">
        <f>+Actuals!H294</f>
        <v>0</v>
      </c>
      <c r="L27" s="126">
        <f>+Actuals!I294</f>
        <v>-5000</v>
      </c>
      <c r="M27" s="127">
        <f>+Actuals!J294</f>
        <v>-14025</v>
      </c>
      <c r="N27" s="126">
        <f>+Actuals!K294</f>
        <v>0</v>
      </c>
      <c r="O27" s="127">
        <f>+Actuals!L294</f>
        <v>0</v>
      </c>
      <c r="P27" s="126">
        <f>+Actuals!M494</f>
        <v>0</v>
      </c>
      <c r="Q27" s="127">
        <f>+Actuals!N494</f>
        <v>0</v>
      </c>
      <c r="R27" s="126">
        <f>+Actuals!O494</f>
        <v>0</v>
      </c>
      <c r="S27" s="127">
        <f>+Actuals!P494</f>
        <v>0</v>
      </c>
      <c r="T27" s="126">
        <f>+Actuals!Q494</f>
        <v>5000</v>
      </c>
      <c r="U27" s="127">
        <f>+Actuals!R494</f>
        <v>14025</v>
      </c>
      <c r="V27" s="126">
        <f>+Actuals!S494</f>
        <v>0</v>
      </c>
      <c r="W27" s="127">
        <f>+Actuals!T494</f>
        <v>0</v>
      </c>
      <c r="X27" s="126">
        <f>+Actuals!U494</f>
        <v>0</v>
      </c>
      <c r="Y27" s="127">
        <f>+Actuals!V494</f>
        <v>0</v>
      </c>
      <c r="Z27" s="126">
        <f>+Actuals!W494</f>
        <v>0</v>
      </c>
      <c r="AA27" s="127">
        <f>+Actuals!X494</f>
        <v>0</v>
      </c>
      <c r="AB27" s="126">
        <f>+Actuals!Y294</f>
        <v>0</v>
      </c>
      <c r="AC27" s="127">
        <f>+Actuals!Z294</f>
        <v>0</v>
      </c>
      <c r="AD27" s="126">
        <f>+Actuals!AA294</f>
        <v>0</v>
      </c>
      <c r="AE27" s="127">
        <f>+Actuals!AB294</f>
        <v>0</v>
      </c>
      <c r="AF27" s="126">
        <v>-5000</v>
      </c>
      <c r="AG27" s="127">
        <v>-14025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-15000</v>
      </c>
      <c r="E28" s="38">
        <f>SUM(G28,I28,K28,M28,O28,Q28,S28,U28,W28,Y28,AA28,AC28,AE28,AG28)</f>
        <v>-36625</v>
      </c>
      <c r="F28" s="81">
        <f>'TIE-OUT'!P28+RECLASS!N28</f>
        <v>0</v>
      </c>
      <c r="G28" s="82">
        <f>'TIE-OUT'!Q28+RECLASS!O28</f>
        <v>0</v>
      </c>
      <c r="H28" s="126">
        <f>+Actuals!E295</f>
        <v>-15000</v>
      </c>
      <c r="I28" s="127">
        <f>+Actuals!F295</f>
        <v>-36625</v>
      </c>
      <c r="J28" s="126">
        <f>+Actuals!G295</f>
        <v>5000</v>
      </c>
      <c r="K28" s="127">
        <f>+Actuals!H295</f>
        <v>12275</v>
      </c>
      <c r="L28" s="126">
        <f>+Actuals!I295</f>
        <v>0</v>
      </c>
      <c r="M28" s="127">
        <f>+Actuals!J295</f>
        <v>0</v>
      </c>
      <c r="N28" s="126">
        <f>+Actuals!K295</f>
        <v>0</v>
      </c>
      <c r="O28" s="127">
        <f>+Actuals!L295</f>
        <v>0</v>
      </c>
      <c r="P28" s="126">
        <f>+Actuals!M495</f>
        <v>0</v>
      </c>
      <c r="Q28" s="127">
        <f>+Actuals!N495</f>
        <v>0</v>
      </c>
      <c r="R28" s="126">
        <f>+Actuals!O495</f>
        <v>0</v>
      </c>
      <c r="S28" s="127">
        <f>+Actuals!P495</f>
        <v>0</v>
      </c>
      <c r="T28" s="126">
        <f>+Actuals!Q495</f>
        <v>-5000</v>
      </c>
      <c r="U28" s="127">
        <f>+Actuals!R495</f>
        <v>-12275</v>
      </c>
      <c r="V28" s="126">
        <f>+Actuals!S495</f>
        <v>0</v>
      </c>
      <c r="W28" s="127">
        <f>+Actuals!T495</f>
        <v>0</v>
      </c>
      <c r="X28" s="126">
        <f>+Actuals!U495</f>
        <v>0</v>
      </c>
      <c r="Y28" s="127">
        <f>+Actuals!V495</f>
        <v>0</v>
      </c>
      <c r="Z28" s="126">
        <f>+Actuals!W495</f>
        <v>0</v>
      </c>
      <c r="AA28" s="127">
        <f>+Actuals!X495</f>
        <v>0</v>
      </c>
      <c r="AB28" s="126">
        <f>+Actuals!Y295</f>
        <v>0</v>
      </c>
      <c r="AC28" s="127">
        <f>+Actuals!Z295</f>
        <v>0</v>
      </c>
      <c r="AD28" s="126">
        <f>+Actuals!AA295</f>
        <v>0</v>
      </c>
      <c r="AE28" s="127">
        <f>+Actuals!AB295</f>
        <v>0</v>
      </c>
      <c r="AF28" s="126">
        <f>+Actuals!AC295</f>
        <v>0</v>
      </c>
      <c r="AG28" s="127">
        <f>+Actuals!AD295</f>
        <v>0</v>
      </c>
    </row>
    <row r="29" spans="1:33" x14ac:dyDescent="0.25">
      <c r="A29" s="9"/>
      <c r="B29" s="7" t="s">
        <v>37</v>
      </c>
      <c r="C29" s="18"/>
      <c r="D29" s="61">
        <f t="shared" ref="D29:AE29" si="6">SUM(D27:D28)</f>
        <v>1120500</v>
      </c>
      <c r="E29" s="39">
        <f t="shared" si="6"/>
        <v>3053396.15</v>
      </c>
      <c r="F29" s="61">
        <f t="shared" si="6"/>
        <v>0</v>
      </c>
      <c r="G29" s="39">
        <f t="shared" si="6"/>
        <v>0</v>
      </c>
      <c r="H29" s="61">
        <f t="shared" si="6"/>
        <v>1125500</v>
      </c>
      <c r="I29" s="39">
        <f t="shared" si="6"/>
        <v>3067421.15</v>
      </c>
      <c r="J29" s="61">
        <f t="shared" si="6"/>
        <v>5000</v>
      </c>
      <c r="K29" s="39">
        <f t="shared" si="6"/>
        <v>12275</v>
      </c>
      <c r="L29" s="61">
        <f t="shared" si="6"/>
        <v>-5000</v>
      </c>
      <c r="M29" s="39">
        <f t="shared" si="6"/>
        <v>-14025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1750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-5000</v>
      </c>
      <c r="AG29" s="39">
        <f>SUM(AG27:AG28)</f>
        <v>-14025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-60812</v>
      </c>
      <c r="E32" s="38">
        <f t="shared" si="8"/>
        <v>-160300.10600000003</v>
      </c>
      <c r="F32" s="64">
        <f>'TIE-OUT'!P32+RECLASS!N32</f>
        <v>0</v>
      </c>
      <c r="G32" s="68">
        <f>'TIE-OUT'!Q32+RECLASS!O32</f>
        <v>0</v>
      </c>
      <c r="H32" s="126">
        <f>+Actuals!E296</f>
        <v>31852</v>
      </c>
      <c r="I32" s="127">
        <f>+Actuals!F296</f>
        <v>92307.1</v>
      </c>
      <c r="J32" s="126">
        <f>+Actuals!G296</f>
        <v>-121646</v>
      </c>
      <c r="K32" s="127">
        <f>+Actuals!H296</f>
        <v>-329003.76</v>
      </c>
      <c r="L32" s="126">
        <f>+Actuals!I296</f>
        <v>-33772</v>
      </c>
      <c r="M32" s="127">
        <f>+Actuals!J296</f>
        <v>-89022.991999999998</v>
      </c>
      <c r="N32" s="126">
        <f>+Actuals!K296</f>
        <v>9256</v>
      </c>
      <c r="O32" s="127">
        <f>+Actuals!L296</f>
        <v>24398.815999999999</v>
      </c>
      <c r="P32" s="126">
        <f>+Actuals!M496</f>
        <v>478</v>
      </c>
      <c r="Q32" s="127">
        <f>+Actuals!N496</f>
        <v>1260.008</v>
      </c>
      <c r="R32" s="126">
        <f>+Actuals!O496</f>
        <v>1</v>
      </c>
      <c r="S32" s="127">
        <f>+Actuals!P496</f>
        <v>2.6360000000000001</v>
      </c>
      <c r="T32" s="126">
        <f>+Actuals!Q496</f>
        <v>78374</v>
      </c>
      <c r="U32" s="127">
        <f>+Actuals!R496</f>
        <v>206593.864</v>
      </c>
      <c r="V32" s="126">
        <f>+Actuals!S496</f>
        <v>-25358</v>
      </c>
      <c r="W32" s="127">
        <f>+Actuals!T496</f>
        <v>-66843.687999999995</v>
      </c>
      <c r="X32" s="126">
        <f>+Actuals!U496</f>
        <v>0</v>
      </c>
      <c r="Y32" s="127">
        <f>+Actuals!V496</f>
        <v>0</v>
      </c>
      <c r="Z32" s="126">
        <f>+Actuals!W496</f>
        <v>0</v>
      </c>
      <c r="AA32" s="127">
        <f>+Actuals!X496</f>
        <v>0</v>
      </c>
      <c r="AB32" s="126">
        <f>+Actuals!Y296</f>
        <v>0</v>
      </c>
      <c r="AC32" s="127">
        <f>+Actuals!Z296</f>
        <v>0</v>
      </c>
      <c r="AD32" s="126">
        <v>2</v>
      </c>
      <c r="AE32" s="127">
        <v>5.27</v>
      </c>
      <c r="AF32" s="126">
        <v>1</v>
      </c>
      <c r="AG32" s="127">
        <v>2.64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-21</v>
      </c>
      <c r="E33" s="38">
        <f t="shared" si="8"/>
        <v>-51.49</v>
      </c>
      <c r="F33" s="60">
        <f>'TIE-OUT'!P33+RECLASS!N33</f>
        <v>0</v>
      </c>
      <c r="G33" s="38">
        <f>'TIE-OUT'!Q33+RECLASS!O33</f>
        <v>0</v>
      </c>
      <c r="H33" s="126">
        <f>+Actuals!E297</f>
        <v>0</v>
      </c>
      <c r="I33" s="127">
        <f>+Actuals!F297</f>
        <v>0</v>
      </c>
      <c r="J33" s="126">
        <f>+Actuals!G297</f>
        <v>0</v>
      </c>
      <c r="K33" s="127">
        <f>+Actuals!H297</f>
        <v>0</v>
      </c>
      <c r="L33" s="126">
        <f>+Actuals!I297</f>
        <v>-21</v>
      </c>
      <c r="M33" s="127">
        <f>+Actuals!J297</f>
        <v>-51.49</v>
      </c>
      <c r="N33" s="126">
        <f>+Actuals!K297</f>
        <v>0</v>
      </c>
      <c r="O33" s="127">
        <f>+Actuals!L297</f>
        <v>0</v>
      </c>
      <c r="P33" s="126">
        <f>+Actuals!M497</f>
        <v>0</v>
      </c>
      <c r="Q33" s="127">
        <f>+Actuals!N497</f>
        <v>0</v>
      </c>
      <c r="R33" s="126">
        <f>+Actuals!O497</f>
        <v>0</v>
      </c>
      <c r="S33" s="127">
        <f>+Actuals!P497</f>
        <v>0</v>
      </c>
      <c r="T33" s="126">
        <f>+Actuals!Q497</f>
        <v>0</v>
      </c>
      <c r="U33" s="127">
        <f>+Actuals!R497</f>
        <v>0</v>
      </c>
      <c r="V33" s="126">
        <f>+Actuals!S497</f>
        <v>0</v>
      </c>
      <c r="W33" s="127">
        <f>+Actuals!T497</f>
        <v>0</v>
      </c>
      <c r="X33" s="126">
        <f>+Actuals!U497</f>
        <v>0</v>
      </c>
      <c r="Y33" s="127">
        <f>+Actuals!V497</f>
        <v>0</v>
      </c>
      <c r="Z33" s="126">
        <f>+Actuals!W497</f>
        <v>0</v>
      </c>
      <c r="AA33" s="127">
        <f>+Actuals!X497</f>
        <v>0</v>
      </c>
      <c r="AB33" s="126">
        <f>+Actuals!Y297</f>
        <v>0</v>
      </c>
      <c r="AC33" s="127">
        <f>+Actuals!Z297</f>
        <v>0</v>
      </c>
      <c r="AD33" s="126">
        <f>+Actuals!AA297</f>
        <v>0</v>
      </c>
      <c r="AE33" s="127">
        <f>+Actuals!AB297</f>
        <v>0</v>
      </c>
      <c r="AF33" s="126">
        <f>+Actuals!AC297</f>
        <v>0</v>
      </c>
      <c r="AG33" s="127">
        <f>+Actuals!AD297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10415</v>
      </c>
      <c r="E34" s="38">
        <f t="shared" si="8"/>
        <v>27495.599999999999</v>
      </c>
      <c r="F34" s="60">
        <f>'TIE-OUT'!P34+RECLASS!N34</f>
        <v>0</v>
      </c>
      <c r="G34" s="38">
        <f>'TIE-OUT'!Q34+RECLASS!O34</f>
        <v>0</v>
      </c>
      <c r="H34" s="126">
        <f>+Actuals!E298</f>
        <v>0</v>
      </c>
      <c r="I34" s="127">
        <f>+Actuals!F298</f>
        <v>0</v>
      </c>
      <c r="J34" s="126">
        <f>+Actuals!G298</f>
        <v>10415</v>
      </c>
      <c r="K34" s="127">
        <f>+Actuals!H298</f>
        <v>27495.599999999999</v>
      </c>
      <c r="L34" s="126">
        <f>+Actuals!I298</f>
        <v>0</v>
      </c>
      <c r="M34" s="127">
        <f>+Actuals!J298</f>
        <v>0</v>
      </c>
      <c r="N34" s="126">
        <f>+Actuals!K298</f>
        <v>0</v>
      </c>
      <c r="O34" s="127">
        <f>+Actuals!L298</f>
        <v>0</v>
      </c>
      <c r="P34" s="126">
        <f>+Actuals!M498</f>
        <v>0</v>
      </c>
      <c r="Q34" s="127">
        <f>+Actuals!N498</f>
        <v>0</v>
      </c>
      <c r="R34" s="126">
        <f>+Actuals!O498</f>
        <v>0</v>
      </c>
      <c r="S34" s="127">
        <f>+Actuals!P498</f>
        <v>0</v>
      </c>
      <c r="T34" s="126">
        <f>+Actuals!Q498</f>
        <v>0</v>
      </c>
      <c r="U34" s="127">
        <f>+Actuals!R498</f>
        <v>0</v>
      </c>
      <c r="V34" s="126">
        <f>+Actuals!S498</f>
        <v>0</v>
      </c>
      <c r="W34" s="127">
        <f>+Actuals!T498</f>
        <v>0</v>
      </c>
      <c r="X34" s="126">
        <f>+Actuals!U498</f>
        <v>0</v>
      </c>
      <c r="Y34" s="127">
        <f>+Actuals!V498</f>
        <v>0</v>
      </c>
      <c r="Z34" s="126">
        <f>+Actuals!W498</f>
        <v>0</v>
      </c>
      <c r="AA34" s="127">
        <f>+Actuals!X498</f>
        <v>0</v>
      </c>
      <c r="AB34" s="126">
        <f>+Actuals!Y298</f>
        <v>0</v>
      </c>
      <c r="AC34" s="127">
        <f>+Actuals!Z298</f>
        <v>0</v>
      </c>
      <c r="AD34" s="126">
        <f>+Actuals!AA298</f>
        <v>0</v>
      </c>
      <c r="AE34" s="127">
        <f>+Actuals!AB298</f>
        <v>0</v>
      </c>
      <c r="AF34" s="126">
        <f>+Actuals!AC298</f>
        <v>0</v>
      </c>
      <c r="AG34" s="127">
        <f>+Actuals!AD298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-28723</v>
      </c>
      <c r="E35" s="38">
        <f t="shared" si="8"/>
        <v>-6253.070000000007</v>
      </c>
      <c r="F35" s="81">
        <f>'TIE-OUT'!P35+RECLASS!N35</f>
        <v>0</v>
      </c>
      <c r="G35" s="82">
        <f>'TIE-OUT'!Q35+RECLASS!O35</f>
        <v>0</v>
      </c>
      <c r="H35" s="126">
        <f>+Actuals!E299</f>
        <v>0</v>
      </c>
      <c r="I35" s="127">
        <f>+Actuals!F299</f>
        <v>0</v>
      </c>
      <c r="J35" s="126">
        <f>+Actuals!G299</f>
        <v>0</v>
      </c>
      <c r="K35" s="127">
        <f>+Actuals!H299</f>
        <v>0</v>
      </c>
      <c r="L35" s="126">
        <f>+Actuals!I299</f>
        <v>0</v>
      </c>
      <c r="M35" s="127">
        <f>+Actuals!J299</f>
        <v>0</v>
      </c>
      <c r="N35" s="126">
        <f>+Actuals!K299</f>
        <v>0</v>
      </c>
      <c r="O35" s="127">
        <f>+Actuals!L299</f>
        <v>0</v>
      </c>
      <c r="P35" s="126">
        <f>+Actuals!M499</f>
        <v>0</v>
      </c>
      <c r="Q35" s="127">
        <f>+Actuals!N499</f>
        <v>0</v>
      </c>
      <c r="R35" s="126">
        <f>+Actuals!O499</f>
        <v>0</v>
      </c>
      <c r="S35" s="127">
        <f>+Actuals!P499</f>
        <v>0</v>
      </c>
      <c r="T35" s="126">
        <f>+Actuals!Q499</f>
        <v>0</v>
      </c>
      <c r="U35" s="127">
        <f>+Actuals!R499</f>
        <v>0</v>
      </c>
      <c r="V35" s="126">
        <f>+Actuals!S499</f>
        <v>0</v>
      </c>
      <c r="W35" s="127">
        <f>+Actuals!T499</f>
        <v>0</v>
      </c>
      <c r="X35" s="126">
        <f>+Actuals!U499</f>
        <v>0</v>
      </c>
      <c r="Y35" s="127">
        <f>+Actuals!V499</f>
        <v>0</v>
      </c>
      <c r="Z35" s="126">
        <f>+Actuals!W499</f>
        <v>0</v>
      </c>
      <c r="AA35" s="127">
        <f>+Actuals!X499</f>
        <v>-74022</v>
      </c>
      <c r="AB35" s="126">
        <f>+Actuals!Y299</f>
        <v>0</v>
      </c>
      <c r="AC35" s="127">
        <v>67768.929999999993</v>
      </c>
      <c r="AD35" s="126">
        <v>-28723</v>
      </c>
      <c r="AE35" s="127">
        <f>+Actuals!AB299</f>
        <v>0</v>
      </c>
      <c r="AF35" s="126">
        <v>0</v>
      </c>
      <c r="AG35" s="127">
        <f>+Actuals!AD299</f>
        <v>0</v>
      </c>
    </row>
    <row r="36" spans="1:33" x14ac:dyDescent="0.25">
      <c r="A36" s="9"/>
      <c r="B36" s="7" t="s">
        <v>43</v>
      </c>
      <c r="C36" s="6"/>
      <c r="D36" s="61">
        <f t="shared" ref="D36:AE36" si="9">SUM(D32:D35)</f>
        <v>-79141</v>
      </c>
      <c r="E36" s="39">
        <f t="shared" si="9"/>
        <v>-139109.06600000002</v>
      </c>
      <c r="F36" s="61">
        <f t="shared" si="9"/>
        <v>0</v>
      </c>
      <c r="G36" s="39">
        <f t="shared" si="9"/>
        <v>0</v>
      </c>
      <c r="H36" s="61">
        <f t="shared" si="9"/>
        <v>31852</v>
      </c>
      <c r="I36" s="39">
        <f t="shared" si="9"/>
        <v>92307.1</v>
      </c>
      <c r="J36" s="61">
        <f t="shared" si="9"/>
        <v>-111231</v>
      </c>
      <c r="K36" s="39">
        <f t="shared" si="9"/>
        <v>-301508.16000000003</v>
      </c>
      <c r="L36" s="61">
        <f t="shared" si="9"/>
        <v>-33793</v>
      </c>
      <c r="M36" s="39">
        <f t="shared" si="9"/>
        <v>-89074.482000000004</v>
      </c>
      <c r="N36" s="61">
        <f t="shared" si="9"/>
        <v>9256</v>
      </c>
      <c r="O36" s="39">
        <f t="shared" si="9"/>
        <v>24398.815999999999</v>
      </c>
      <c r="P36" s="61">
        <f t="shared" si="9"/>
        <v>478</v>
      </c>
      <c r="Q36" s="39">
        <f t="shared" si="9"/>
        <v>1260.008</v>
      </c>
      <c r="R36" s="61">
        <f t="shared" ref="R36:W36" si="10">SUM(R32:R35)</f>
        <v>1</v>
      </c>
      <c r="S36" s="39">
        <f t="shared" si="10"/>
        <v>2.6360000000000001</v>
      </c>
      <c r="T36" s="61">
        <f t="shared" si="10"/>
        <v>78374</v>
      </c>
      <c r="U36" s="39">
        <f t="shared" si="10"/>
        <v>206593.864</v>
      </c>
      <c r="V36" s="61">
        <f t="shared" si="10"/>
        <v>-25358</v>
      </c>
      <c r="W36" s="39">
        <f t="shared" si="10"/>
        <v>-66843.687999999995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-74022</v>
      </c>
      <c r="AB36" s="61">
        <f t="shared" si="9"/>
        <v>0</v>
      </c>
      <c r="AC36" s="39">
        <f t="shared" si="9"/>
        <v>67768.929999999993</v>
      </c>
      <c r="AD36" s="61">
        <f t="shared" si="9"/>
        <v>-28721</v>
      </c>
      <c r="AE36" s="39">
        <f t="shared" si="9"/>
        <v>5.27</v>
      </c>
      <c r="AF36" s="61">
        <f>SUM(AF32:AF35)</f>
        <v>1</v>
      </c>
      <c r="AG36" s="39">
        <f>SUM(AG32:AG35)</f>
        <v>2.64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322383</v>
      </c>
      <c r="E39" s="38">
        <f t="shared" si="11"/>
        <v>-46782.370000000155</v>
      </c>
      <c r="F39" s="64">
        <f>'TIE-OUT'!P39+RECLASS!N39</f>
        <v>0</v>
      </c>
      <c r="G39" s="68">
        <f>'TIE-OUT'!Q39+RECLASS!O39</f>
        <v>0</v>
      </c>
      <c r="H39" s="126">
        <f>+Actuals!E300</f>
        <v>0</v>
      </c>
      <c r="I39" s="127">
        <f>+Actuals!F300</f>
        <v>0</v>
      </c>
      <c r="J39" s="126">
        <f>+Actuals!G300</f>
        <v>23655</v>
      </c>
      <c r="K39" s="127">
        <f>+Actuals!H300</f>
        <v>58644.45</v>
      </c>
      <c r="L39" s="126">
        <f>+Actuals!I300</f>
        <v>270005</v>
      </c>
      <c r="M39" s="127">
        <f>+Actuals!J300</f>
        <v>711733.18</v>
      </c>
      <c r="N39" s="126">
        <f>+Actuals!K300</f>
        <v>0</v>
      </c>
      <c r="O39" s="127">
        <f>+Actuals!L300</f>
        <v>0</v>
      </c>
      <c r="P39" s="126">
        <f>+Actuals!M500</f>
        <v>28723</v>
      </c>
      <c r="Q39" s="127">
        <f>+Actuals!N500</f>
        <v>75713.83</v>
      </c>
      <c r="R39" s="126">
        <f>+Actuals!O500</f>
        <v>0</v>
      </c>
      <c r="S39" s="127">
        <f>+Actuals!P500</f>
        <v>0</v>
      </c>
      <c r="T39" s="126">
        <f>+Actuals!Q500</f>
        <v>257400</v>
      </c>
      <c r="U39" s="127">
        <f>+Actuals!R500</f>
        <v>678506.4</v>
      </c>
      <c r="V39" s="126">
        <f>+Actuals!S500</f>
        <v>-257400</v>
      </c>
      <c r="W39" s="127">
        <f>+Actuals!T500</f>
        <v>-678506.4</v>
      </c>
      <c r="X39" s="126">
        <f>+Actuals!U500</f>
        <v>0</v>
      </c>
      <c r="Y39" s="127">
        <f>+Actuals!V500</f>
        <v>-817160</v>
      </c>
      <c r="Z39" s="126">
        <f>+Actuals!W500</f>
        <v>0</v>
      </c>
      <c r="AA39" s="127">
        <f>+Actuals!X500</f>
        <v>-75713.83</v>
      </c>
      <c r="AB39" s="126">
        <f>+Actuals!Y300</f>
        <v>0</v>
      </c>
      <c r="AC39" s="127">
        <f>+Actuals!Z300</f>
        <v>0</v>
      </c>
      <c r="AD39" s="126">
        <f>+Actuals!AA300</f>
        <v>0</v>
      </c>
      <c r="AE39" s="127">
        <f>+Actuals!AB300</f>
        <v>0</v>
      </c>
      <c r="AF39" s="126">
        <f>+Actuals!AC300</f>
        <v>0</v>
      </c>
      <c r="AG39" s="127">
        <f>+Actuals!AD300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-12464</v>
      </c>
      <c r="E40" s="38">
        <f t="shared" si="11"/>
        <v>-27919.360000000001</v>
      </c>
      <c r="F40" s="60">
        <f>'TIE-OUT'!P40+RECLASS!N40</f>
        <v>0</v>
      </c>
      <c r="G40" s="38">
        <f>'TIE-OUT'!Q40+RECLASS!O40</f>
        <v>0</v>
      </c>
      <c r="H40" s="126">
        <f>+Actuals!E301</f>
        <v>0</v>
      </c>
      <c r="I40" s="127">
        <f>+Actuals!F301</f>
        <v>0</v>
      </c>
      <c r="J40" s="126">
        <f>+Actuals!G301</f>
        <v>0</v>
      </c>
      <c r="K40" s="127">
        <f>+Actuals!H301</f>
        <v>0</v>
      </c>
      <c r="L40" s="126">
        <f>+Actuals!I301</f>
        <v>-12464</v>
      </c>
      <c r="M40" s="127">
        <f>+Actuals!J301</f>
        <v>-27919.360000000001</v>
      </c>
      <c r="N40" s="126">
        <f>+Actuals!K301</f>
        <v>0</v>
      </c>
      <c r="O40" s="127">
        <f>+Actuals!L301</f>
        <v>0</v>
      </c>
      <c r="P40" s="126">
        <f>+Actuals!M501</f>
        <v>0</v>
      </c>
      <c r="Q40" s="127">
        <f>+Actuals!N501</f>
        <v>0</v>
      </c>
      <c r="R40" s="126">
        <f>+Actuals!O501</f>
        <v>0</v>
      </c>
      <c r="S40" s="127">
        <f>+Actuals!P501</f>
        <v>0</v>
      </c>
      <c r="T40" s="126">
        <f>+Actuals!Q501</f>
        <v>0</v>
      </c>
      <c r="U40" s="127">
        <f>+Actuals!R501</f>
        <v>0</v>
      </c>
      <c r="V40" s="126">
        <f>+Actuals!S501</f>
        <v>0</v>
      </c>
      <c r="W40" s="127">
        <f>+Actuals!T501</f>
        <v>0</v>
      </c>
      <c r="X40" s="126">
        <f>+Actuals!U501</f>
        <v>0</v>
      </c>
      <c r="Y40" s="127">
        <f>+Actuals!V501</f>
        <v>0</v>
      </c>
      <c r="Z40" s="126">
        <f>+Actuals!W501</f>
        <v>0</v>
      </c>
      <c r="AA40" s="127">
        <f>+Actuals!X501</f>
        <v>0</v>
      </c>
      <c r="AB40" s="126">
        <f>+Actuals!Y301</f>
        <v>0</v>
      </c>
      <c r="AC40" s="127">
        <f>+Actuals!Z301</f>
        <v>0</v>
      </c>
      <c r="AD40" s="126">
        <f>+Actuals!AA301</f>
        <v>0</v>
      </c>
      <c r="AE40" s="127">
        <f>+Actuals!AB301</f>
        <v>0</v>
      </c>
      <c r="AF40" s="126">
        <f>+Actuals!AC301</f>
        <v>0</v>
      </c>
      <c r="AG40" s="127">
        <f>+Actuals!AD301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6">
        <f>+Actuals!E302</f>
        <v>0</v>
      </c>
      <c r="I41" s="127">
        <f>+Actuals!F302</f>
        <v>0</v>
      </c>
      <c r="J41" s="126">
        <f>+Actuals!G302</f>
        <v>0</v>
      </c>
      <c r="K41" s="127">
        <f>+Actuals!H302</f>
        <v>0</v>
      </c>
      <c r="L41" s="126">
        <f>+Actuals!I302</f>
        <v>0</v>
      </c>
      <c r="M41" s="127">
        <f>+Actuals!J302</f>
        <v>0</v>
      </c>
      <c r="N41" s="126">
        <f>+Actuals!K302</f>
        <v>0</v>
      </c>
      <c r="O41" s="127">
        <f>+Actuals!L302</f>
        <v>0</v>
      </c>
      <c r="P41" s="126">
        <f>+Actuals!M502</f>
        <v>0</v>
      </c>
      <c r="Q41" s="127">
        <f>+Actuals!N502</f>
        <v>0</v>
      </c>
      <c r="R41" s="126">
        <f>+Actuals!O502</f>
        <v>0</v>
      </c>
      <c r="S41" s="127">
        <f>+Actuals!P502</f>
        <v>0</v>
      </c>
      <c r="T41" s="126">
        <f>+Actuals!Q502</f>
        <v>0</v>
      </c>
      <c r="U41" s="127">
        <f>+Actuals!R502</f>
        <v>0</v>
      </c>
      <c r="V41" s="126">
        <f>+Actuals!S502</f>
        <v>0</v>
      </c>
      <c r="W41" s="127">
        <f>+Actuals!T502</f>
        <v>0</v>
      </c>
      <c r="X41" s="126">
        <f>+Actuals!U502</f>
        <v>0</v>
      </c>
      <c r="Y41" s="127">
        <f>+Actuals!V502</f>
        <v>0</v>
      </c>
      <c r="Z41" s="126">
        <f>+Actuals!W502</f>
        <v>0</v>
      </c>
      <c r="AA41" s="127">
        <f>+Actuals!X502</f>
        <v>0</v>
      </c>
      <c r="AB41" s="126">
        <f>+Actuals!Y302</f>
        <v>0</v>
      </c>
      <c r="AC41" s="127">
        <f>+Actuals!Z302</f>
        <v>0</v>
      </c>
      <c r="AD41" s="126">
        <f>+Actuals!AA302</f>
        <v>0</v>
      </c>
      <c r="AE41" s="127">
        <f>+Actuals!AB302</f>
        <v>0</v>
      </c>
      <c r="AF41" s="126">
        <f>+Actuals!AC302</f>
        <v>0</v>
      </c>
      <c r="AG41" s="127">
        <f>+Actuals!AD302</f>
        <v>0</v>
      </c>
    </row>
    <row r="42" spans="1:33" x14ac:dyDescent="0.25">
      <c r="A42" s="9"/>
      <c r="B42" s="7"/>
      <c r="C42" s="53" t="s">
        <v>48</v>
      </c>
      <c r="D42" s="61">
        <f t="shared" ref="D42:AE42" si="12">SUM(D40:D41)</f>
        <v>-12464</v>
      </c>
      <c r="E42" s="39">
        <f t="shared" si="12"/>
        <v>-27919.360000000001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-12464</v>
      </c>
      <c r="M42" s="39">
        <f t="shared" si="12"/>
        <v>-27919.360000000001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AE43" si="14">D42+D39</f>
        <v>309919</v>
      </c>
      <c r="E43" s="39">
        <f t="shared" si="14"/>
        <v>-74701.730000000156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23655</v>
      </c>
      <c r="K43" s="39">
        <f t="shared" si="14"/>
        <v>58644.45</v>
      </c>
      <c r="L43" s="61">
        <f t="shared" si="14"/>
        <v>257541</v>
      </c>
      <c r="M43" s="39">
        <f t="shared" si="14"/>
        <v>683813.82000000007</v>
      </c>
      <c r="N43" s="61">
        <f t="shared" si="14"/>
        <v>0</v>
      </c>
      <c r="O43" s="39">
        <f t="shared" si="14"/>
        <v>0</v>
      </c>
      <c r="P43" s="61">
        <f t="shared" si="14"/>
        <v>28723</v>
      </c>
      <c r="Q43" s="39">
        <f t="shared" si="14"/>
        <v>75713.83</v>
      </c>
      <c r="R43" s="61">
        <f t="shared" ref="R43:W43" si="15">R42+R39</f>
        <v>0</v>
      </c>
      <c r="S43" s="39">
        <f t="shared" si="15"/>
        <v>0</v>
      </c>
      <c r="T43" s="61">
        <f t="shared" si="15"/>
        <v>257400</v>
      </c>
      <c r="U43" s="39">
        <f t="shared" si="15"/>
        <v>678506.4</v>
      </c>
      <c r="V43" s="61">
        <f t="shared" si="15"/>
        <v>-257400</v>
      </c>
      <c r="W43" s="39">
        <f t="shared" si="15"/>
        <v>-678506.4</v>
      </c>
      <c r="X43" s="61">
        <f>X42+X39</f>
        <v>0</v>
      </c>
      <c r="Y43" s="39">
        <f>Y42+Y39</f>
        <v>-817160</v>
      </c>
      <c r="Z43" s="61">
        <f>Z42+Z39</f>
        <v>0</v>
      </c>
      <c r="AA43" s="39">
        <f>AA42+AA39</f>
        <v>-75713.83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'TIE-OUT'!P45+RECLASS!N45</f>
        <v>0</v>
      </c>
      <c r="G45" s="68">
        <f>'TIE-OUT'!Q45+RECLASS!O45</f>
        <v>0</v>
      </c>
      <c r="H45" s="126">
        <f>+Actuals!E303</f>
        <v>0</v>
      </c>
      <c r="I45" s="127">
        <f>+Actuals!F303</f>
        <v>0</v>
      </c>
      <c r="J45" s="126">
        <f>+Actuals!G303</f>
        <v>0</v>
      </c>
      <c r="K45" s="127">
        <f>+Actuals!H303</f>
        <v>0</v>
      </c>
      <c r="L45" s="126">
        <f>+Actuals!I303</f>
        <v>0</v>
      </c>
      <c r="M45" s="127">
        <f>+Actuals!J303</f>
        <v>0</v>
      </c>
      <c r="N45" s="126">
        <f>+Actuals!K303</f>
        <v>0</v>
      </c>
      <c r="O45" s="127">
        <f>+Actuals!L303</f>
        <v>0</v>
      </c>
      <c r="P45" s="126">
        <f>+Actuals!M503</f>
        <v>0</v>
      </c>
      <c r="Q45" s="127">
        <f>+Actuals!N503</f>
        <v>0</v>
      </c>
      <c r="R45" s="126">
        <f>+Actuals!O503</f>
        <v>0</v>
      </c>
      <c r="S45" s="127">
        <f>+Actuals!P503</f>
        <v>0</v>
      </c>
      <c r="T45" s="126">
        <f>+Actuals!Q503</f>
        <v>0</v>
      </c>
      <c r="U45" s="127">
        <f>+Actuals!R503</f>
        <v>0</v>
      </c>
      <c r="V45" s="126">
        <f>+Actuals!S503</f>
        <v>0</v>
      </c>
      <c r="W45" s="127">
        <f>+Actuals!T503</f>
        <v>0</v>
      </c>
      <c r="X45" s="126">
        <f>+Actuals!U503</f>
        <v>0</v>
      </c>
      <c r="Y45" s="127">
        <f>+Actuals!V503</f>
        <v>0</v>
      </c>
      <c r="Z45" s="126">
        <f>+Actuals!W503</f>
        <v>0</v>
      </c>
      <c r="AA45" s="127">
        <f>+Actuals!X503</f>
        <v>0</v>
      </c>
      <c r="AB45" s="126">
        <f>+Actuals!Y303</f>
        <v>0</v>
      </c>
      <c r="AC45" s="127">
        <f>+Actuals!Z303</f>
        <v>0</v>
      </c>
      <c r="AD45" s="126">
        <f>+Actuals!AA303</f>
        <v>0</v>
      </c>
      <c r="AE45" s="127">
        <f>+Actuals!AB303</f>
        <v>0</v>
      </c>
      <c r="AF45" s="126">
        <f>+Actuals!AC303</f>
        <v>0</v>
      </c>
      <c r="AG45" s="127">
        <f>+Actuals!AD303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'TIE-OUT'!P47+RECLASS!N47</f>
        <v>0</v>
      </c>
      <c r="G47" s="38">
        <f>'TIE-OUT'!Q47+RECLASS!O47</f>
        <v>0</v>
      </c>
      <c r="H47" s="126">
        <f>+Actuals!E304</f>
        <v>0</v>
      </c>
      <c r="I47" s="127">
        <f>+Actuals!F304</f>
        <v>0</v>
      </c>
      <c r="J47" s="126">
        <f>+Actuals!G304</f>
        <v>0</v>
      </c>
      <c r="K47" s="127">
        <f>+Actuals!H304</f>
        <v>0</v>
      </c>
      <c r="L47" s="126">
        <f>+Actuals!I304</f>
        <v>0</v>
      </c>
      <c r="M47" s="127">
        <f>+Actuals!J304</f>
        <v>0</v>
      </c>
      <c r="N47" s="126">
        <f>+Actuals!K304</f>
        <v>0</v>
      </c>
      <c r="O47" s="127">
        <f>+Actuals!L304</f>
        <v>0</v>
      </c>
      <c r="P47" s="126">
        <f>+Actuals!M504</f>
        <v>0</v>
      </c>
      <c r="Q47" s="127">
        <f>+Actuals!N504</f>
        <v>0</v>
      </c>
      <c r="R47" s="126">
        <f>+Actuals!O504</f>
        <v>0</v>
      </c>
      <c r="S47" s="127">
        <f>+Actuals!P504</f>
        <v>0</v>
      </c>
      <c r="T47" s="126">
        <f>+Actuals!Q504</f>
        <v>0</v>
      </c>
      <c r="U47" s="127">
        <f>+Actuals!R504</f>
        <v>0</v>
      </c>
      <c r="V47" s="126">
        <f>+Actuals!S504</f>
        <v>0</v>
      </c>
      <c r="W47" s="127">
        <f>+Actuals!T504</f>
        <v>0</v>
      </c>
      <c r="X47" s="126">
        <f>+Actuals!U504</f>
        <v>0</v>
      </c>
      <c r="Y47" s="127">
        <f>+Actuals!V504</f>
        <v>0</v>
      </c>
      <c r="Z47" s="126">
        <f>+Actuals!W504</f>
        <v>0</v>
      </c>
      <c r="AA47" s="127">
        <f>+Actuals!X504</f>
        <v>0</v>
      </c>
      <c r="AB47" s="126">
        <f>+Actuals!Y304</f>
        <v>0</v>
      </c>
      <c r="AC47" s="127">
        <f>+Actuals!Z304</f>
        <v>0</v>
      </c>
      <c r="AD47" s="126">
        <f>+Actuals!AA304</f>
        <v>0</v>
      </c>
      <c r="AE47" s="127">
        <f>+Actuals!AB304</f>
        <v>0</v>
      </c>
      <c r="AF47" s="126">
        <f>+Actuals!AC304</f>
        <v>0</v>
      </c>
      <c r="AG47" s="127">
        <f>+Actuals!AD304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-101007</v>
      </c>
      <c r="E49" s="38">
        <f>SUM(G49,I49,K49,M49,O49,Q49,S49,U49,W49,Y49,AA49,AC49,AE49,AG49)</f>
        <v>-266254.45000000036</v>
      </c>
      <c r="F49" s="60">
        <f>'TIE-OUT'!P49+RECLASS!N49</f>
        <v>0</v>
      </c>
      <c r="G49" s="38">
        <f>'TIE-OUT'!Q49+RECLASS!O49</f>
        <v>0</v>
      </c>
      <c r="H49" s="126">
        <f>+Actuals!E305</f>
        <v>123008</v>
      </c>
      <c r="I49" s="127">
        <f>+Actuals!F305</f>
        <v>324249.08799999999</v>
      </c>
      <c r="J49" s="126">
        <f>+Actuals!G305</f>
        <v>169898</v>
      </c>
      <c r="K49" s="127">
        <f>+Actuals!H305</f>
        <v>447851.12800000003</v>
      </c>
      <c r="L49" s="126">
        <f>+Actuals!I305</f>
        <v>-736275</v>
      </c>
      <c r="M49" s="127">
        <f>+Actuals!J305</f>
        <v>-1940820.9</v>
      </c>
      <c r="N49" s="126">
        <f>+Actuals!K305</f>
        <v>512019</v>
      </c>
      <c r="O49" s="127">
        <f>+Actuals!L305</f>
        <v>1349682.084</v>
      </c>
      <c r="P49" s="126">
        <f>+Actuals!M505</f>
        <v>-1063335</v>
      </c>
      <c r="Q49" s="127">
        <f>+Actuals!N505</f>
        <v>-2802951.06</v>
      </c>
      <c r="R49" s="126">
        <f>+Actuals!O505</f>
        <v>-5</v>
      </c>
      <c r="S49" s="127">
        <f>+Actuals!P505</f>
        <v>-13.18</v>
      </c>
      <c r="T49" s="126">
        <f>+Actuals!Q505</f>
        <v>708899</v>
      </c>
      <c r="U49" s="127">
        <f>+Actuals!R505</f>
        <v>1868657.764</v>
      </c>
      <c r="V49" s="126">
        <f>+Actuals!S505</f>
        <v>151681</v>
      </c>
      <c r="W49" s="127">
        <f>+Actuals!T505</f>
        <v>399831.11599999998</v>
      </c>
      <c r="X49" s="126">
        <f>+Actuals!U505</f>
        <v>0</v>
      </c>
      <c r="Y49" s="127">
        <f>+Actuals!V505</f>
        <v>0</v>
      </c>
      <c r="Z49" s="126">
        <f>+Actuals!W505</f>
        <v>0</v>
      </c>
      <c r="AA49" s="127">
        <f>+Actuals!X505</f>
        <v>0</v>
      </c>
      <c r="AB49" s="126">
        <f>+Actuals!Y305</f>
        <v>0</v>
      </c>
      <c r="AC49" s="127">
        <f>+Actuals!Z305</f>
        <v>0</v>
      </c>
      <c r="AD49" s="126">
        <v>28103</v>
      </c>
      <c r="AE49" s="127">
        <v>74079.509999999995</v>
      </c>
      <c r="AF49" s="126">
        <v>5000</v>
      </c>
      <c r="AG49" s="127">
        <v>13180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-310319</v>
      </c>
      <c r="E51" s="38">
        <f>SUM(G51,I51,K51,M51,O51,Q51,S51,U51,W51,Y51,AA51,AC51,AE51,AG51)</f>
        <v>-818000.8820000001</v>
      </c>
      <c r="F51" s="60">
        <f>'TIE-OUT'!P51+RECLASS!N51</f>
        <v>0</v>
      </c>
      <c r="G51" s="38">
        <f>'TIE-OUT'!Q51+RECLASS!O51</f>
        <v>0</v>
      </c>
      <c r="H51" s="126">
        <f>+Actuals!E306</f>
        <v>-351125</v>
      </c>
      <c r="I51" s="127">
        <f>+Actuals!F306</f>
        <v>-925565.5</v>
      </c>
      <c r="J51" s="126">
        <f>+Actuals!G306</f>
        <v>30213</v>
      </c>
      <c r="K51" s="127">
        <f>+Actuals!H306</f>
        <v>79641.467999999993</v>
      </c>
      <c r="L51" s="126">
        <f>+Actuals!I306</f>
        <v>10370</v>
      </c>
      <c r="M51" s="127">
        <f>+Actuals!J306</f>
        <v>27335.32</v>
      </c>
      <c r="N51" s="126">
        <f>+Actuals!K306</f>
        <v>-376</v>
      </c>
      <c r="O51" s="127">
        <f>+Actuals!L306</f>
        <v>-991.13599999999997</v>
      </c>
      <c r="P51" s="126">
        <f>+Actuals!M506</f>
        <v>595</v>
      </c>
      <c r="Q51" s="127">
        <f>+Actuals!N506</f>
        <v>1568.42</v>
      </c>
      <c r="R51" s="126">
        <f>+Actuals!O506</f>
        <v>0</v>
      </c>
      <c r="S51" s="127">
        <f>+Actuals!P506</f>
        <v>0</v>
      </c>
      <c r="T51" s="126">
        <f>+Actuals!Q506</f>
        <v>57</v>
      </c>
      <c r="U51" s="127">
        <f>+Actuals!R506</f>
        <v>150.25200000000001</v>
      </c>
      <c r="V51" s="126">
        <f>+Actuals!S506</f>
        <v>-56</v>
      </c>
      <c r="W51" s="127">
        <f>+Actuals!T506</f>
        <v>-147.61600000000001</v>
      </c>
      <c r="X51" s="126">
        <f>+Actuals!U506</f>
        <v>0</v>
      </c>
      <c r="Y51" s="127">
        <f>+Actuals!V506</f>
        <v>0</v>
      </c>
      <c r="Z51" s="126">
        <f>+Actuals!W506</f>
        <v>0</v>
      </c>
      <c r="AA51" s="127">
        <f>+Actuals!X506</f>
        <v>0</v>
      </c>
      <c r="AB51" s="126">
        <f>+Actuals!Y306</f>
        <v>0</v>
      </c>
      <c r="AC51" s="127">
        <f>+Actuals!Z306</f>
        <v>0</v>
      </c>
      <c r="AD51" s="126">
        <v>2</v>
      </c>
      <c r="AE51" s="127">
        <v>5.27</v>
      </c>
      <c r="AF51" s="126">
        <v>1</v>
      </c>
      <c r="AG51" s="127">
        <v>2.64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-21334254</v>
      </c>
      <c r="E54" s="38">
        <f>SUM(G54,I54,K54,M54,O54,Q54,S54,U54,W54,Y54,AA54,AC54,AE54,AG54)</f>
        <v>-209258.54400000005</v>
      </c>
      <c r="F54" s="64">
        <f>'TIE-OUT'!P54+RECLASS!N54</f>
        <v>0</v>
      </c>
      <c r="G54" s="68">
        <f>'TIE-OUT'!Q54+RECLASS!O54</f>
        <v>0</v>
      </c>
      <c r="H54" s="126">
        <f>+Actuals!E307</f>
        <v>-20589943</v>
      </c>
      <c r="I54" s="127">
        <f>+Actuals!F307</f>
        <v>-265908.87</v>
      </c>
      <c r="J54" s="126">
        <f>+Actuals!G307</f>
        <v>-2209702</v>
      </c>
      <c r="K54" s="127">
        <f>+Actuals!H307</f>
        <v>-632226.43000000005</v>
      </c>
      <c r="L54" s="126">
        <f>+Actuals!I307</f>
        <v>7841737</v>
      </c>
      <c r="M54" s="127">
        <f>+Actuals!J307</f>
        <v>911263.41</v>
      </c>
      <c r="N54" s="126">
        <f>+Actuals!K307</f>
        <v>200821</v>
      </c>
      <c r="O54" s="127">
        <f>+Actuals!L307</f>
        <v>-153312.95000000001</v>
      </c>
      <c r="P54" s="126">
        <f>+Actuals!M507</f>
        <v>257343</v>
      </c>
      <c r="Q54" s="127">
        <f>+Actuals!N507</f>
        <v>-71291.81</v>
      </c>
      <c r="R54" s="126">
        <f>+Actuals!O507</f>
        <v>-2952984</v>
      </c>
      <c r="S54" s="127">
        <f>+Actuals!P507</f>
        <v>614.6</v>
      </c>
      <c r="T54" s="126">
        <f>+Actuals!Q507</f>
        <v>-8005</v>
      </c>
      <c r="U54" s="127">
        <f>+Actuals!R507</f>
        <v>-104938.38</v>
      </c>
      <c r="V54" s="126">
        <f>+Actuals!S507</f>
        <v>-686403</v>
      </c>
      <c r="W54" s="127">
        <f>+Actuals!T507</f>
        <v>104585.25</v>
      </c>
      <c r="X54" s="126">
        <f>+Actuals!U507</f>
        <v>0</v>
      </c>
      <c r="Y54" s="127">
        <f>+Actuals!V507</f>
        <v>1930.5</v>
      </c>
      <c r="Z54" s="126">
        <f>+Actuals!W507</f>
        <v>44437</v>
      </c>
      <c r="AA54" s="127">
        <f>+Actuals!X507</f>
        <v>71.5</v>
      </c>
      <c r="AB54" s="126">
        <v>-44330</v>
      </c>
      <c r="AC54" s="127">
        <v>0</v>
      </c>
      <c r="AD54" s="126">
        <v>-3899</v>
      </c>
      <c r="AE54" s="127">
        <f>+Actuals!AB307</f>
        <v>0</v>
      </c>
      <c r="AF54" s="126">
        <v>-3183326</v>
      </c>
      <c r="AG54" s="127">
        <v>-45.363999999999997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-1884397.9600000004</v>
      </c>
      <c r="F55" s="81">
        <f>'TIE-OUT'!P55+RECLASS!N55</f>
        <v>0</v>
      </c>
      <c r="G55" s="82">
        <f>'TIE-OUT'!Q55+RECLASS!O55</f>
        <v>524468</v>
      </c>
      <c r="H55" s="126">
        <f>+Actuals!E308</f>
        <v>0</v>
      </c>
      <c r="I55" s="127">
        <f>+Actuals!F308</f>
        <v>-1375660.69</v>
      </c>
      <c r="J55" s="126">
        <f>+Actuals!G308</f>
        <v>0</v>
      </c>
      <c r="K55" s="127">
        <f>+Actuals!H308</f>
        <v>-482012.12</v>
      </c>
      <c r="L55" s="126">
        <f>+Actuals!I308</f>
        <v>0</v>
      </c>
      <c r="M55" s="127">
        <f>+Actuals!J308</f>
        <v>-544492.14</v>
      </c>
      <c r="N55" s="126">
        <f>+Actuals!K308</f>
        <v>0</v>
      </c>
      <c r="O55" s="127">
        <f>+Actuals!L308</f>
        <v>-13017.6</v>
      </c>
      <c r="P55" s="126">
        <f>+Actuals!M508</f>
        <v>0</v>
      </c>
      <c r="Q55" s="127">
        <f>+Actuals!N508</f>
        <v>21881.919999999998</v>
      </c>
      <c r="R55" s="126">
        <f>+Actuals!O508</f>
        <v>0</v>
      </c>
      <c r="S55" s="127">
        <f>+Actuals!P508</f>
        <v>-6205.21</v>
      </c>
      <c r="T55" s="126">
        <f>+Actuals!Q508</f>
        <v>0</v>
      </c>
      <c r="U55" s="127">
        <f>+Actuals!R508</f>
        <v>-300.7</v>
      </c>
      <c r="V55" s="126">
        <f>+Actuals!S508</f>
        <v>0</v>
      </c>
      <c r="W55" s="127">
        <f>+Actuals!T508</f>
        <v>405.43</v>
      </c>
      <c r="X55" s="126">
        <f>+Actuals!U508</f>
        <v>0</v>
      </c>
      <c r="Y55" s="127">
        <f>+Actuals!V508</f>
        <v>-9464.35</v>
      </c>
      <c r="Z55" s="126">
        <f>+Actuals!W508</f>
        <v>0</v>
      </c>
      <c r="AA55" s="127">
        <f>+Actuals!X508</f>
        <v>-0.5</v>
      </c>
      <c r="AB55" s="126">
        <f>+Actuals!Y308</f>
        <v>0</v>
      </c>
      <c r="AC55" s="127">
        <f>+Actuals!Z308</f>
        <v>0</v>
      </c>
      <c r="AD55" s="126">
        <f>+Actuals!AA308</f>
        <v>0</v>
      </c>
      <c r="AE55" s="127">
        <f>+Actuals!AB308</f>
        <v>0</v>
      </c>
      <c r="AF55" s="126">
        <f>+Actuals!AC308</f>
        <v>0</v>
      </c>
      <c r="AG55" s="127">
        <f>+Actuals!AD308</f>
        <v>0</v>
      </c>
    </row>
    <row r="56" spans="1:33" x14ac:dyDescent="0.25">
      <c r="A56" s="9"/>
      <c r="B56" s="7" t="s">
        <v>57</v>
      </c>
      <c r="C56" s="6"/>
      <c r="D56" s="61">
        <f t="shared" ref="D56:AE56" si="16">SUM(D54:D55)</f>
        <v>-21334254</v>
      </c>
      <c r="E56" s="39">
        <f t="shared" si="16"/>
        <v>-2093656.5040000004</v>
      </c>
      <c r="F56" s="61">
        <f t="shared" si="16"/>
        <v>0</v>
      </c>
      <c r="G56" s="39">
        <f t="shared" si="16"/>
        <v>524468</v>
      </c>
      <c r="H56" s="61">
        <f t="shared" si="16"/>
        <v>-20589943</v>
      </c>
      <c r="I56" s="39">
        <f t="shared" si="16"/>
        <v>-1641569.56</v>
      </c>
      <c r="J56" s="61">
        <f t="shared" si="16"/>
        <v>-2209702</v>
      </c>
      <c r="K56" s="39">
        <f t="shared" si="16"/>
        <v>-1114238.55</v>
      </c>
      <c r="L56" s="61">
        <f t="shared" si="16"/>
        <v>7841737</v>
      </c>
      <c r="M56" s="39">
        <f t="shared" si="16"/>
        <v>366771.27</v>
      </c>
      <c r="N56" s="61">
        <f t="shared" si="16"/>
        <v>200821</v>
      </c>
      <c r="O56" s="39">
        <f t="shared" si="16"/>
        <v>-166330.55000000002</v>
      </c>
      <c r="P56" s="61">
        <f t="shared" si="16"/>
        <v>257343</v>
      </c>
      <c r="Q56" s="39">
        <f t="shared" si="16"/>
        <v>-49409.89</v>
      </c>
      <c r="R56" s="61">
        <f t="shared" ref="R56:W56" si="17">SUM(R54:R55)</f>
        <v>-2952984</v>
      </c>
      <c r="S56" s="39">
        <f t="shared" si="17"/>
        <v>-5590.61</v>
      </c>
      <c r="T56" s="61">
        <f t="shared" si="17"/>
        <v>-8005</v>
      </c>
      <c r="U56" s="39">
        <f t="shared" si="17"/>
        <v>-105239.08</v>
      </c>
      <c r="V56" s="61">
        <f t="shared" si="17"/>
        <v>-686403</v>
      </c>
      <c r="W56" s="39">
        <f t="shared" si="17"/>
        <v>104990.68</v>
      </c>
      <c r="X56" s="61">
        <f>SUM(X54:X55)</f>
        <v>0</v>
      </c>
      <c r="Y56" s="39">
        <f>SUM(Y54:Y55)</f>
        <v>-7533.85</v>
      </c>
      <c r="Z56" s="61">
        <f>SUM(Z54:Z55)</f>
        <v>44437</v>
      </c>
      <c r="AA56" s="39">
        <f>SUM(AA54:AA55)</f>
        <v>71</v>
      </c>
      <c r="AB56" s="61">
        <f t="shared" si="16"/>
        <v>-44330</v>
      </c>
      <c r="AC56" s="39">
        <f t="shared" si="16"/>
        <v>0</v>
      </c>
      <c r="AD56" s="61">
        <f t="shared" si="16"/>
        <v>-3899</v>
      </c>
      <c r="AE56" s="39">
        <f t="shared" si="16"/>
        <v>0</v>
      </c>
      <c r="AF56" s="61">
        <f>SUM(AF54:AF55)</f>
        <v>-3183326</v>
      </c>
      <c r="AG56" s="39">
        <f>SUM(AG54:AG55)</f>
        <v>-45.363999999999997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'TIE-OUT'!P59+RECLASS!N59</f>
        <v>0</v>
      </c>
      <c r="G59" s="68">
        <f>'TIE-OUT'!Q59+RECLASS!O59</f>
        <v>0</v>
      </c>
      <c r="H59" s="126">
        <f>+Actuals!E309</f>
        <v>0</v>
      </c>
      <c r="I59" s="127">
        <f>+Actuals!F309</f>
        <v>0</v>
      </c>
      <c r="J59" s="126">
        <f>+Actuals!G309</f>
        <v>0</v>
      </c>
      <c r="K59" s="127">
        <f>+Actuals!H309</f>
        <v>0</v>
      </c>
      <c r="L59" s="126">
        <f>+Actuals!I309</f>
        <v>0</v>
      </c>
      <c r="M59" s="127">
        <f>+Actuals!J309</f>
        <v>0</v>
      </c>
      <c r="N59" s="126">
        <f>+Actuals!K309</f>
        <v>0</v>
      </c>
      <c r="O59" s="127">
        <f>+Actuals!L309</f>
        <v>0</v>
      </c>
      <c r="P59" s="126">
        <f>+Actuals!M509</f>
        <v>0</v>
      </c>
      <c r="Q59" s="127">
        <f>+Actuals!N509</f>
        <v>0</v>
      </c>
      <c r="R59" s="126">
        <f>+Actuals!O509</f>
        <v>0</v>
      </c>
      <c r="S59" s="127">
        <f>+Actuals!P509</f>
        <v>0</v>
      </c>
      <c r="T59" s="126">
        <f>+Actuals!Q509</f>
        <v>0</v>
      </c>
      <c r="U59" s="127">
        <f>+Actuals!R509</f>
        <v>0</v>
      </c>
      <c r="V59" s="126">
        <f>+Actuals!S509</f>
        <v>0</v>
      </c>
      <c r="W59" s="127">
        <f>+Actuals!T509</f>
        <v>0</v>
      </c>
      <c r="X59" s="126">
        <f>+Actuals!U509</f>
        <v>0</v>
      </c>
      <c r="Y59" s="127">
        <f>+Actuals!V509</f>
        <v>0</v>
      </c>
      <c r="Z59" s="126">
        <f>+Actuals!W509</f>
        <v>0</v>
      </c>
      <c r="AA59" s="127">
        <f>+Actuals!X509</f>
        <v>0</v>
      </c>
      <c r="AB59" s="126">
        <f>+Actuals!Y309</f>
        <v>0</v>
      </c>
      <c r="AC59" s="127">
        <f>+Actuals!Z309</f>
        <v>0</v>
      </c>
      <c r="AD59" s="126">
        <f>+Actuals!AA309</f>
        <v>0</v>
      </c>
      <c r="AE59" s="127">
        <f>+Actuals!AB309</f>
        <v>0</v>
      </c>
      <c r="AF59" s="126">
        <f>+Actuals!AC309</f>
        <v>0</v>
      </c>
      <c r="AG59" s="127">
        <f>+Actuals!AD309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'TIE-OUT'!P60+RECLASS!N60</f>
        <v>0</v>
      </c>
      <c r="G60" s="82">
        <f>'TIE-OUT'!Q60+RECLASS!O60</f>
        <v>0</v>
      </c>
      <c r="H60" s="126">
        <f>+Actuals!E310</f>
        <v>0</v>
      </c>
      <c r="I60" s="127">
        <f>+Actuals!F310</f>
        <v>0</v>
      </c>
      <c r="J60" s="126">
        <f>+Actuals!G310</f>
        <v>0</v>
      </c>
      <c r="K60" s="127">
        <f>+Actuals!H310</f>
        <v>0</v>
      </c>
      <c r="L60" s="126">
        <f>+Actuals!I310</f>
        <v>0</v>
      </c>
      <c r="M60" s="127">
        <f>+Actuals!J310</f>
        <v>0</v>
      </c>
      <c r="N60" s="126">
        <f>+Actuals!K310</f>
        <v>0</v>
      </c>
      <c r="O60" s="127">
        <f>+Actuals!L310</f>
        <v>0</v>
      </c>
      <c r="P60" s="126">
        <f>+Actuals!M510</f>
        <v>0</v>
      </c>
      <c r="Q60" s="127">
        <f>+Actuals!N510</f>
        <v>0</v>
      </c>
      <c r="R60" s="126">
        <f>+Actuals!O510</f>
        <v>0</v>
      </c>
      <c r="S60" s="127">
        <f>+Actuals!P510</f>
        <v>0</v>
      </c>
      <c r="T60" s="126">
        <f>+Actuals!Q510</f>
        <v>0</v>
      </c>
      <c r="U60" s="127">
        <f>+Actuals!R510</f>
        <v>0</v>
      </c>
      <c r="V60" s="126">
        <f>+Actuals!S510</f>
        <v>0</v>
      </c>
      <c r="W60" s="127">
        <f>+Actuals!T510</f>
        <v>0</v>
      </c>
      <c r="X60" s="126">
        <f>+Actuals!U510</f>
        <v>0</v>
      </c>
      <c r="Y60" s="127">
        <f>+Actuals!V510</f>
        <v>0</v>
      </c>
      <c r="Z60" s="126">
        <f>+Actuals!W510</f>
        <v>0</v>
      </c>
      <c r="AA60" s="127">
        <f>+Actuals!X510</f>
        <v>0</v>
      </c>
      <c r="AB60" s="126">
        <f>+Actuals!Y310</f>
        <v>0</v>
      </c>
      <c r="AC60" s="127">
        <f>+Actuals!Z310</f>
        <v>0</v>
      </c>
      <c r="AD60" s="126">
        <f>+Actuals!AA310</f>
        <v>0</v>
      </c>
      <c r="AE60" s="127">
        <f>+Actuals!AB310</f>
        <v>0</v>
      </c>
      <c r="AF60" s="126">
        <f>+Actuals!AC310</f>
        <v>0</v>
      </c>
      <c r="AG60" s="127">
        <f>+Actuals!AD310</f>
        <v>0</v>
      </c>
    </row>
    <row r="61" spans="1:33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'TIE-OUT'!P64+RECLASS!N64</f>
        <v>0</v>
      </c>
      <c r="G64" s="68">
        <f>'TIE-OUT'!Q64+RECLASS!O64</f>
        <v>0</v>
      </c>
      <c r="H64" s="126">
        <f>+Actuals!E311</f>
        <v>0</v>
      </c>
      <c r="I64" s="127">
        <f>+Actuals!F311</f>
        <v>0</v>
      </c>
      <c r="J64" s="126">
        <f>+Actuals!G311</f>
        <v>0</v>
      </c>
      <c r="K64" s="127">
        <f>+Actuals!H311</f>
        <v>0</v>
      </c>
      <c r="L64" s="126">
        <f>+Actuals!I311</f>
        <v>0</v>
      </c>
      <c r="M64" s="127">
        <f>+Actuals!J311</f>
        <v>0</v>
      </c>
      <c r="N64" s="126">
        <f>+Actuals!K311</f>
        <v>0</v>
      </c>
      <c r="O64" s="127">
        <f>+Actuals!L311</f>
        <v>0</v>
      </c>
      <c r="P64" s="126">
        <f>+Actuals!M511</f>
        <v>0</v>
      </c>
      <c r="Q64" s="127">
        <f>+Actuals!N511</f>
        <v>0</v>
      </c>
      <c r="R64" s="126">
        <f>+Actuals!O511</f>
        <v>0</v>
      </c>
      <c r="S64" s="127">
        <f>+Actuals!P511</f>
        <v>0</v>
      </c>
      <c r="T64" s="126">
        <f>+Actuals!Q511</f>
        <v>0</v>
      </c>
      <c r="U64" s="127">
        <f>+Actuals!R511</f>
        <v>0</v>
      </c>
      <c r="V64" s="126">
        <f>+Actuals!S511</f>
        <v>0</v>
      </c>
      <c r="W64" s="127">
        <f>+Actuals!T511</f>
        <v>0</v>
      </c>
      <c r="X64" s="126">
        <f>+Actuals!U511</f>
        <v>0</v>
      </c>
      <c r="Y64" s="127">
        <f>+Actuals!V511</f>
        <v>0</v>
      </c>
      <c r="Z64" s="126">
        <f>+Actuals!W511</f>
        <v>0</v>
      </c>
      <c r="AA64" s="127">
        <f>+Actuals!X511</f>
        <v>0</v>
      </c>
      <c r="AB64" s="126">
        <f>+Actuals!Y311</f>
        <v>0</v>
      </c>
      <c r="AC64" s="127">
        <f>+Actuals!Z311</f>
        <v>0</v>
      </c>
      <c r="AD64" s="126">
        <f>+Actuals!AA311</f>
        <v>0</v>
      </c>
      <c r="AE64" s="127">
        <f>+Actuals!AB311</f>
        <v>0</v>
      </c>
      <c r="AF64" s="126">
        <f>+Actuals!AC311</f>
        <v>0</v>
      </c>
      <c r="AG64" s="127">
        <f>+Actuals!AD311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'TIE-OUT'!P65+RECLASS!N65</f>
        <v>0</v>
      </c>
      <c r="G65" s="82">
        <f>'TIE-OUT'!Q65+RECLASS!O65</f>
        <v>0</v>
      </c>
      <c r="H65" s="126">
        <f>+Actuals!E312</f>
        <v>0</v>
      </c>
      <c r="I65" s="127">
        <f>+Actuals!F312</f>
        <v>0</v>
      </c>
      <c r="J65" s="126">
        <f>+Actuals!G312</f>
        <v>0</v>
      </c>
      <c r="K65" s="127">
        <f>+Actuals!H312</f>
        <v>0</v>
      </c>
      <c r="L65" s="126">
        <f>+Actuals!I312</f>
        <v>0</v>
      </c>
      <c r="M65" s="127">
        <f>+Actuals!J312</f>
        <v>0</v>
      </c>
      <c r="N65" s="126">
        <f>+Actuals!K312</f>
        <v>0</v>
      </c>
      <c r="O65" s="127">
        <f>+Actuals!L312</f>
        <v>0</v>
      </c>
      <c r="P65" s="126">
        <f>+Actuals!M512</f>
        <v>0</v>
      </c>
      <c r="Q65" s="127">
        <f>+Actuals!N512</f>
        <v>0</v>
      </c>
      <c r="R65" s="126">
        <f>+Actuals!O512</f>
        <v>0</v>
      </c>
      <c r="S65" s="127">
        <f>+Actuals!P512</f>
        <v>0</v>
      </c>
      <c r="T65" s="126">
        <f>+Actuals!Q512</f>
        <v>0</v>
      </c>
      <c r="U65" s="127">
        <f>+Actuals!R512</f>
        <v>0</v>
      </c>
      <c r="V65" s="126">
        <f>+Actuals!S512</f>
        <v>0</v>
      </c>
      <c r="W65" s="127">
        <f>+Actuals!T512</f>
        <v>0</v>
      </c>
      <c r="X65" s="126">
        <f>+Actuals!U512</f>
        <v>0</v>
      </c>
      <c r="Y65" s="127">
        <f>+Actuals!V512</f>
        <v>0</v>
      </c>
      <c r="Z65" s="126">
        <f>+Actuals!W512</f>
        <v>0</v>
      </c>
      <c r="AA65" s="127">
        <f>+Actuals!X512</f>
        <v>0</v>
      </c>
      <c r="AB65" s="126">
        <f>+Actuals!Y312</f>
        <v>0</v>
      </c>
      <c r="AC65" s="127">
        <f>+Actuals!Z312</f>
        <v>0</v>
      </c>
      <c r="AD65" s="126">
        <f>+Actuals!AA312</f>
        <v>0</v>
      </c>
      <c r="AE65" s="127">
        <f>+Actuals!AB312</f>
        <v>0</v>
      </c>
      <c r="AF65" s="126">
        <f>+Actuals!AC312</f>
        <v>0</v>
      </c>
      <c r="AG65" s="127">
        <f>+Actuals!AD312</f>
        <v>0</v>
      </c>
    </row>
    <row r="66" spans="1:33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2316418.4</v>
      </c>
      <c r="F70" s="64">
        <f>'TIE-OUT'!P70+RECLASS!N70</f>
        <v>0</v>
      </c>
      <c r="G70" s="68">
        <f>'TIE-OUT'!Q70+RECLASS!O70</f>
        <v>2316418.4</v>
      </c>
      <c r="H70" s="126">
        <f>+Actuals!E313</f>
        <v>0</v>
      </c>
      <c r="I70" s="127">
        <f>+Actuals!F313</f>
        <v>0</v>
      </c>
      <c r="J70" s="126">
        <f>+Actuals!G313</f>
        <v>0</v>
      </c>
      <c r="K70" s="127">
        <f>+Actuals!H313</f>
        <v>0</v>
      </c>
      <c r="L70" s="126">
        <f>+Actuals!I313</f>
        <v>0</v>
      </c>
      <c r="M70" s="127">
        <f>+Actuals!J313</f>
        <v>0</v>
      </c>
      <c r="N70" s="126">
        <f>+Actuals!K313</f>
        <v>0</v>
      </c>
      <c r="O70" s="127">
        <f>+Actuals!L313</f>
        <v>0</v>
      </c>
      <c r="P70" s="126">
        <f>+Actuals!M513</f>
        <v>0</v>
      </c>
      <c r="Q70" s="127">
        <f>+Actuals!N513</f>
        <v>0</v>
      </c>
      <c r="R70" s="126">
        <f>+Actuals!O513</f>
        <v>0</v>
      </c>
      <c r="S70" s="127">
        <f>+Actuals!P513</f>
        <v>0</v>
      </c>
      <c r="T70" s="126">
        <f>+Actuals!Q513</f>
        <v>0</v>
      </c>
      <c r="U70" s="127">
        <f>+Actuals!R513</f>
        <v>0</v>
      </c>
      <c r="V70" s="126">
        <f>+Actuals!S513</f>
        <v>0</v>
      </c>
      <c r="W70" s="127">
        <f>+Actuals!T513</f>
        <v>0</v>
      </c>
      <c r="X70" s="126">
        <f>+Actuals!U513</f>
        <v>0</v>
      </c>
      <c r="Y70" s="127">
        <f>+Actuals!V513</f>
        <v>0</v>
      </c>
      <c r="Z70" s="126">
        <f>+Actuals!W513</f>
        <v>0</v>
      </c>
      <c r="AA70" s="127">
        <f>+Actuals!X513</f>
        <v>0</v>
      </c>
      <c r="AB70" s="126">
        <f>+Actuals!Y313</f>
        <v>0</v>
      </c>
      <c r="AC70" s="127">
        <f>+Actuals!Z313</f>
        <v>0</v>
      </c>
      <c r="AD70" s="126">
        <f>+Actuals!AA313</f>
        <v>0</v>
      </c>
      <c r="AE70" s="127">
        <f>+Actuals!AB313</f>
        <v>0</v>
      </c>
      <c r="AF70" s="126">
        <f>+Actuals!AC313</f>
        <v>0</v>
      </c>
      <c r="AG70" s="127">
        <f>+Actuals!AD313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-1281047.17</v>
      </c>
      <c r="F71" s="81">
        <f>'TIE-OUT'!P71+RECLASS!N71</f>
        <v>0</v>
      </c>
      <c r="G71" s="82">
        <f>'TIE-OUT'!Q71+RECLASS!O71</f>
        <v>-1281047.17</v>
      </c>
      <c r="H71" s="126">
        <f>+Actuals!E314</f>
        <v>0</v>
      </c>
      <c r="I71" s="127">
        <f>+Actuals!F314</f>
        <v>0</v>
      </c>
      <c r="J71" s="126">
        <f>+Actuals!G314</f>
        <v>0</v>
      </c>
      <c r="K71" s="127">
        <f>+Actuals!H314</f>
        <v>0</v>
      </c>
      <c r="L71" s="126">
        <f>+Actuals!I314</f>
        <v>0</v>
      </c>
      <c r="M71" s="127">
        <f>+Actuals!J314</f>
        <v>0</v>
      </c>
      <c r="N71" s="126">
        <f>+Actuals!K314</f>
        <v>0</v>
      </c>
      <c r="O71" s="127">
        <f>+Actuals!L314</f>
        <v>0</v>
      </c>
      <c r="P71" s="126">
        <f>+Actuals!M514</f>
        <v>0</v>
      </c>
      <c r="Q71" s="127">
        <f>+Actuals!N514</f>
        <v>0</v>
      </c>
      <c r="R71" s="126">
        <f>+Actuals!O514</f>
        <v>0</v>
      </c>
      <c r="S71" s="127">
        <f>+Actuals!P514</f>
        <v>0</v>
      </c>
      <c r="T71" s="126">
        <f>+Actuals!Q514</f>
        <v>0</v>
      </c>
      <c r="U71" s="127">
        <f>+Actuals!R514</f>
        <v>0</v>
      </c>
      <c r="V71" s="126">
        <f>+Actuals!S514</f>
        <v>0</v>
      </c>
      <c r="W71" s="127">
        <f>+Actuals!T514</f>
        <v>0</v>
      </c>
      <c r="X71" s="126">
        <f>+Actuals!U514</f>
        <v>0</v>
      </c>
      <c r="Y71" s="127">
        <f>+Actuals!V514</f>
        <v>0</v>
      </c>
      <c r="Z71" s="126">
        <f>+Actuals!W514</f>
        <v>0</v>
      </c>
      <c r="AA71" s="127">
        <f>+Actuals!X514</f>
        <v>0</v>
      </c>
      <c r="AB71" s="126">
        <f>+Actuals!Y314</f>
        <v>0</v>
      </c>
      <c r="AC71" s="127">
        <f>+Actuals!Z314</f>
        <v>0</v>
      </c>
      <c r="AD71" s="126">
        <f>+Actuals!AA314</f>
        <v>0</v>
      </c>
      <c r="AE71" s="127">
        <f>+Actuals!AB314</f>
        <v>0</v>
      </c>
      <c r="AF71" s="126">
        <f>+Actuals!AC314</f>
        <v>0</v>
      </c>
      <c r="AG71" s="127">
        <f>+Actuals!AD314</f>
        <v>0</v>
      </c>
    </row>
    <row r="72" spans="1:33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1035371.23</v>
      </c>
      <c r="F72" s="61">
        <f t="shared" si="22"/>
        <v>0</v>
      </c>
      <c r="G72" s="39">
        <f t="shared" si="22"/>
        <v>1035371.23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'TIE-OUT'!P73+RECLASS!N73</f>
        <v>0</v>
      </c>
      <c r="G73" s="60">
        <f>'TIE-OUT'!Q73+RECLASS!O73</f>
        <v>0</v>
      </c>
      <c r="H73" s="126">
        <f>+Actuals!E315</f>
        <v>0</v>
      </c>
      <c r="I73" s="127">
        <f>+Actuals!F315</f>
        <v>0</v>
      </c>
      <c r="J73" s="126">
        <f>+Actuals!G315</f>
        <v>0</v>
      </c>
      <c r="K73" s="127">
        <f>+Actuals!H315</f>
        <v>0</v>
      </c>
      <c r="L73" s="126">
        <f>+Actuals!I315</f>
        <v>0</v>
      </c>
      <c r="M73" s="127">
        <f>+Actuals!J315</f>
        <v>0</v>
      </c>
      <c r="N73" s="126">
        <f>+Actuals!K315</f>
        <v>0</v>
      </c>
      <c r="O73" s="127">
        <f>+Actuals!L315</f>
        <v>0</v>
      </c>
      <c r="P73" s="126">
        <f>+Actuals!M515</f>
        <v>0</v>
      </c>
      <c r="Q73" s="127">
        <f>+Actuals!N515</f>
        <v>0</v>
      </c>
      <c r="R73" s="126">
        <f>+Actuals!O515</f>
        <v>0</v>
      </c>
      <c r="S73" s="127">
        <f>+Actuals!P515</f>
        <v>0</v>
      </c>
      <c r="T73" s="126">
        <f>+Actuals!Q515</f>
        <v>0</v>
      </c>
      <c r="U73" s="127">
        <f>+Actuals!R515</f>
        <v>0</v>
      </c>
      <c r="V73" s="126">
        <f>+Actuals!S515</f>
        <v>0</v>
      </c>
      <c r="W73" s="127">
        <f>+Actuals!T515</f>
        <v>0</v>
      </c>
      <c r="X73" s="126">
        <f>+Actuals!U515</f>
        <v>0</v>
      </c>
      <c r="Y73" s="127">
        <f>+Actuals!V515</f>
        <v>0</v>
      </c>
      <c r="Z73" s="126">
        <f>+Actuals!W515</f>
        <v>0</v>
      </c>
      <c r="AA73" s="127">
        <f>+Actuals!X515</f>
        <v>0</v>
      </c>
      <c r="AB73" s="126">
        <f>+Actuals!Y315</f>
        <v>0</v>
      </c>
      <c r="AC73" s="127">
        <f>+Actuals!Z315</f>
        <v>0</v>
      </c>
      <c r="AD73" s="126">
        <f>+Actuals!AA315</f>
        <v>0</v>
      </c>
      <c r="AE73" s="127">
        <f>+Actuals!AB315</f>
        <v>0</v>
      </c>
      <c r="AF73" s="126">
        <f>+Actuals!AC315</f>
        <v>0</v>
      </c>
      <c r="AG73" s="127">
        <f>+Actuals!AD315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351430</v>
      </c>
      <c r="F74" s="60">
        <f>'TIE-OUT'!P74+RECLASS!N74</f>
        <v>0</v>
      </c>
      <c r="G74" s="60">
        <f>'TIE-OUT'!Q74+RECLASS!O74</f>
        <v>362530</v>
      </c>
      <c r="H74" s="126">
        <f>+Actuals!E316</f>
        <v>0</v>
      </c>
      <c r="I74" s="127">
        <f>+Actuals!F316</f>
        <v>0</v>
      </c>
      <c r="J74" s="126">
        <f>+Actuals!G316</f>
        <v>0</v>
      </c>
      <c r="K74" s="153">
        <v>0</v>
      </c>
      <c r="L74" s="126">
        <f>+Actuals!I316</f>
        <v>0</v>
      </c>
      <c r="M74" s="127">
        <f>+Actuals!J316</f>
        <v>0</v>
      </c>
      <c r="N74" s="126">
        <f>+Actuals!K316</f>
        <v>0</v>
      </c>
      <c r="O74" s="127">
        <f>+Actuals!L316</f>
        <v>0</v>
      </c>
      <c r="P74" s="126">
        <f>+Actuals!M516</f>
        <v>0</v>
      </c>
      <c r="Q74" s="153">
        <v>-11100</v>
      </c>
      <c r="R74" s="126">
        <f>+Actuals!O516</f>
        <v>0</v>
      </c>
      <c r="S74" s="126">
        <f>+Actuals!P516</f>
        <v>0</v>
      </c>
      <c r="T74" s="126">
        <f>+Actuals!Q516</f>
        <v>0</v>
      </c>
      <c r="U74" s="127">
        <f>+Actuals!R516</f>
        <v>0</v>
      </c>
      <c r="V74" s="126">
        <f>+Actuals!S516</f>
        <v>0</v>
      </c>
      <c r="W74" s="127">
        <f>+Actuals!T516</f>
        <v>0</v>
      </c>
      <c r="X74" s="126">
        <f>+Actuals!U516</f>
        <v>0</v>
      </c>
      <c r="Y74" s="127">
        <f>+Actuals!V516</f>
        <v>0</v>
      </c>
      <c r="Z74" s="126">
        <f>+Actuals!W516</f>
        <v>0</v>
      </c>
      <c r="AA74" s="127">
        <f>+Actuals!X516</f>
        <v>0</v>
      </c>
      <c r="AB74" s="126">
        <f>+Actuals!Y316</f>
        <v>0</v>
      </c>
      <c r="AC74" s="127">
        <f>+Actuals!Z316</f>
        <v>0</v>
      </c>
      <c r="AD74" s="126">
        <f>+Actuals!AA316</f>
        <v>0</v>
      </c>
      <c r="AE74" s="127">
        <f>+Actuals!AB316</f>
        <v>0</v>
      </c>
      <c r="AF74" s="126">
        <f>+Actuals!AC316</f>
        <v>0</v>
      </c>
      <c r="AG74" s="127">
        <f>+Actuals!AD316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13500</v>
      </c>
      <c r="F75" s="60">
        <f>'TIE-OUT'!P75+RECLASS!N75</f>
        <v>0</v>
      </c>
      <c r="G75" s="60">
        <f>'TIE-OUT'!Q75+RECLASS!O75</f>
        <v>13500</v>
      </c>
      <c r="H75" s="126">
        <f>+Actuals!E317</f>
        <v>0</v>
      </c>
      <c r="I75" s="127">
        <f>+Actuals!F317</f>
        <v>0</v>
      </c>
      <c r="J75" s="126">
        <f>+Actuals!G317</f>
        <v>0</v>
      </c>
      <c r="K75" s="127">
        <f>+Actuals!H317</f>
        <v>0</v>
      </c>
      <c r="L75" s="126">
        <f>+Actuals!I317</f>
        <v>0</v>
      </c>
      <c r="M75" s="127">
        <f>+Actuals!J317</f>
        <v>0</v>
      </c>
      <c r="N75" s="126">
        <f>+Actuals!K317</f>
        <v>0</v>
      </c>
      <c r="O75" s="127">
        <f>+Actuals!L317</f>
        <v>0</v>
      </c>
      <c r="P75" s="126">
        <f>+Actuals!M517</f>
        <v>0</v>
      </c>
      <c r="Q75" s="127">
        <f>+Actuals!N517</f>
        <v>0</v>
      </c>
      <c r="R75" s="126">
        <f>+Actuals!O517</f>
        <v>0</v>
      </c>
      <c r="S75" s="127">
        <f>+Actuals!P517</f>
        <v>0</v>
      </c>
      <c r="T75" s="126">
        <f>+Actuals!Q517</f>
        <v>0</v>
      </c>
      <c r="U75" s="127">
        <f>+Actuals!R517</f>
        <v>0</v>
      </c>
      <c r="V75" s="126">
        <f>+Actuals!S517</f>
        <v>0</v>
      </c>
      <c r="W75" s="127">
        <f>+Actuals!T517</f>
        <v>0</v>
      </c>
      <c r="X75" s="126">
        <f>+Actuals!U517</f>
        <v>0</v>
      </c>
      <c r="Y75" s="127">
        <f>+Actuals!V517</f>
        <v>0</v>
      </c>
      <c r="Z75" s="126">
        <f>+Actuals!W517</f>
        <v>0</v>
      </c>
      <c r="AA75" s="127">
        <f>+Actuals!X517</f>
        <v>0</v>
      </c>
      <c r="AB75" s="126">
        <f>+Actuals!Y317</f>
        <v>0</v>
      </c>
      <c r="AC75" s="127">
        <f>+Actuals!Z317</f>
        <v>0</v>
      </c>
      <c r="AD75" s="126">
        <f>+Actuals!AA317</f>
        <v>0</v>
      </c>
      <c r="AE75" s="127">
        <f>+Actuals!AB317</f>
        <v>0</v>
      </c>
      <c r="AF75" s="126">
        <f>+Actuals!AC317</f>
        <v>0</v>
      </c>
      <c r="AG75" s="127">
        <f>+Actuals!AD317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-11861.84</v>
      </c>
      <c r="F76" s="60">
        <f>'TIE-OUT'!P76+RECLASS!N76</f>
        <v>0</v>
      </c>
      <c r="G76" s="60">
        <f>'TIE-OUT'!Q76+RECLASS!O76</f>
        <v>0</v>
      </c>
      <c r="H76" s="126">
        <f>+Actuals!E318</f>
        <v>0</v>
      </c>
      <c r="I76" s="127">
        <f>+Actuals!F318</f>
        <v>-11658.39</v>
      </c>
      <c r="J76" s="126">
        <f>+Actuals!G318</f>
        <v>0</v>
      </c>
      <c r="K76" s="127">
        <f>+Actuals!H318</f>
        <v>-18302.86</v>
      </c>
      <c r="L76" s="126">
        <f>+Actuals!I318</f>
        <v>0</v>
      </c>
      <c r="M76" s="127">
        <f>+Actuals!J318</f>
        <v>18099.41</v>
      </c>
      <c r="N76" s="126">
        <f>+Actuals!K318</f>
        <v>0</v>
      </c>
      <c r="O76" s="127">
        <f>+Actuals!L318</f>
        <v>0</v>
      </c>
      <c r="P76" s="126">
        <f>+Actuals!M518</f>
        <v>0</v>
      </c>
      <c r="Q76" s="127">
        <f>+Actuals!N518</f>
        <v>0</v>
      </c>
      <c r="R76" s="126">
        <f>+Actuals!O518</f>
        <v>0</v>
      </c>
      <c r="S76" s="127">
        <f>+Actuals!P518</f>
        <v>0</v>
      </c>
      <c r="T76" s="126">
        <f>+Actuals!Q518</f>
        <v>0</v>
      </c>
      <c r="U76" s="127">
        <f>+Actuals!R518</f>
        <v>0</v>
      </c>
      <c r="V76" s="126">
        <f>+Actuals!S518</f>
        <v>0</v>
      </c>
      <c r="W76" s="127">
        <f>+Actuals!T518</f>
        <v>0</v>
      </c>
      <c r="X76" s="126">
        <f>+Actuals!U518</f>
        <v>0</v>
      </c>
      <c r="Y76" s="127">
        <f>+Actuals!V518</f>
        <v>0</v>
      </c>
      <c r="Z76" s="126">
        <f>+Actuals!W518</f>
        <v>0</v>
      </c>
      <c r="AA76" s="127">
        <f>+Actuals!X518</f>
        <v>0</v>
      </c>
      <c r="AB76" s="126">
        <f>+Actuals!Y318</f>
        <v>0</v>
      </c>
      <c r="AC76" s="127">
        <f>+Actuals!Z318</f>
        <v>0</v>
      </c>
      <c r="AD76" s="126">
        <f>+Actuals!AA318</f>
        <v>0</v>
      </c>
      <c r="AE76" s="127">
        <f>+Actuals!AB318</f>
        <v>0</v>
      </c>
      <c r="AF76" s="126">
        <f>+Actuals!AC318</f>
        <v>0</v>
      </c>
      <c r="AG76" s="127">
        <f>+Actuals!AD318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'TIE-OUT'!P77+RECLASS!N77</f>
        <v>0</v>
      </c>
      <c r="G77" s="60">
        <f>'TIE-OUT'!Q77+RECLASS!O77</f>
        <v>0</v>
      </c>
      <c r="H77" s="126">
        <f>+Actuals!E319</f>
        <v>0</v>
      </c>
      <c r="I77" s="127">
        <f>+Actuals!F319</f>
        <v>0</v>
      </c>
      <c r="J77" s="126">
        <f>+Actuals!G319</f>
        <v>0</v>
      </c>
      <c r="K77" s="127">
        <f>+Actuals!H319</f>
        <v>0</v>
      </c>
      <c r="L77" s="126">
        <f>+Actuals!I319</f>
        <v>0</v>
      </c>
      <c r="M77" s="127">
        <f>+Actuals!J319</f>
        <v>0</v>
      </c>
      <c r="N77" s="126">
        <f>+Actuals!K319</f>
        <v>0</v>
      </c>
      <c r="O77" s="127">
        <f>+Actuals!L319</f>
        <v>0</v>
      </c>
      <c r="P77" s="126">
        <f>+Actuals!M519</f>
        <v>0</v>
      </c>
      <c r="Q77" s="127">
        <f>+Actuals!N519</f>
        <v>0</v>
      </c>
      <c r="R77" s="126">
        <f>+Actuals!O519</f>
        <v>0</v>
      </c>
      <c r="S77" s="127">
        <f>+Actuals!P519</f>
        <v>0</v>
      </c>
      <c r="T77" s="126">
        <f>+Actuals!Q519</f>
        <v>0</v>
      </c>
      <c r="U77" s="127">
        <f>+Actuals!R519</f>
        <v>0</v>
      </c>
      <c r="V77" s="126">
        <f>+Actuals!S519</f>
        <v>0</v>
      </c>
      <c r="W77" s="127">
        <f>+Actuals!T519</f>
        <v>0</v>
      </c>
      <c r="X77" s="126">
        <f>+Actuals!U519</f>
        <v>0</v>
      </c>
      <c r="Y77" s="127">
        <f>+Actuals!V519</f>
        <v>0</v>
      </c>
      <c r="Z77" s="126">
        <f>+Actuals!W519</f>
        <v>0</v>
      </c>
      <c r="AA77" s="127">
        <f>+Actuals!X519</f>
        <v>0</v>
      </c>
      <c r="AB77" s="126">
        <f>+Actuals!Y319</f>
        <v>0</v>
      </c>
      <c r="AC77" s="127">
        <f>+Actuals!Z319</f>
        <v>0</v>
      </c>
      <c r="AD77" s="126">
        <f>+Actuals!AA319</f>
        <v>0</v>
      </c>
      <c r="AE77" s="127">
        <f>+Actuals!AB319</f>
        <v>0</v>
      </c>
      <c r="AF77" s="126">
        <f>+Actuals!AC319</f>
        <v>0</v>
      </c>
      <c r="AG77" s="127">
        <f>+Actuals!AD319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'TIE-OUT'!P78+RECLASS!N78</f>
        <v>0</v>
      </c>
      <c r="G78" s="60">
        <f>'TIE-OUT'!Q78+RECLASS!O78</f>
        <v>0</v>
      </c>
      <c r="H78" s="126">
        <f>+Actuals!E320</f>
        <v>0</v>
      </c>
      <c r="I78" s="127">
        <f>+Actuals!F320</f>
        <v>0</v>
      </c>
      <c r="J78" s="126">
        <f>+Actuals!G320</f>
        <v>0</v>
      </c>
      <c r="K78" s="127">
        <f>+Actuals!H320</f>
        <v>0</v>
      </c>
      <c r="L78" s="126">
        <f>+Actuals!I320</f>
        <v>0</v>
      </c>
      <c r="M78" s="127">
        <f>+Actuals!J320</f>
        <v>0</v>
      </c>
      <c r="N78" s="126">
        <f>+Actuals!K320</f>
        <v>0</v>
      </c>
      <c r="O78" s="127">
        <f>+Actuals!L320</f>
        <v>0</v>
      </c>
      <c r="P78" s="126">
        <f>+Actuals!M520</f>
        <v>0</v>
      </c>
      <c r="Q78" s="127">
        <f>+Actuals!N520</f>
        <v>0</v>
      </c>
      <c r="R78" s="126">
        <f>+Actuals!O520</f>
        <v>0</v>
      </c>
      <c r="S78" s="127">
        <f>+Actuals!P520</f>
        <v>0</v>
      </c>
      <c r="T78" s="126">
        <f>+Actuals!Q520</f>
        <v>0</v>
      </c>
      <c r="U78" s="127">
        <f>+Actuals!R520</f>
        <v>0</v>
      </c>
      <c r="V78" s="126">
        <f>+Actuals!S520</f>
        <v>0</v>
      </c>
      <c r="W78" s="127">
        <f>+Actuals!T520</f>
        <v>0</v>
      </c>
      <c r="X78" s="126">
        <f>+Actuals!U520</f>
        <v>0</v>
      </c>
      <c r="Y78" s="127">
        <f>+Actuals!V520</f>
        <v>0</v>
      </c>
      <c r="Z78" s="126">
        <f>+Actuals!W520</f>
        <v>0</v>
      </c>
      <c r="AA78" s="127">
        <f>+Actuals!X520</f>
        <v>0</v>
      </c>
      <c r="AB78" s="126">
        <f>+Actuals!Y320</f>
        <v>0</v>
      </c>
      <c r="AC78" s="127">
        <f>+Actuals!Z320</f>
        <v>0</v>
      </c>
      <c r="AD78" s="126">
        <f>+Actuals!AA320</f>
        <v>0</v>
      </c>
      <c r="AE78" s="127">
        <f>+Actuals!AB320</f>
        <v>0</v>
      </c>
      <c r="AF78" s="126">
        <f>+Actuals!AC320</f>
        <v>0</v>
      </c>
      <c r="AG78" s="127">
        <f>+Actuals!AD320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'TIE-OUT'!P79+RECLASS!N79</f>
        <v>0</v>
      </c>
      <c r="G79" s="60">
        <f>'TIE-OUT'!Q79+RECLASS!O79</f>
        <v>0</v>
      </c>
      <c r="H79" s="126">
        <f>+Actuals!E321</f>
        <v>0</v>
      </c>
      <c r="I79" s="127">
        <f>+Actuals!F321</f>
        <v>0</v>
      </c>
      <c r="J79" s="126">
        <f>+Actuals!G321</f>
        <v>0</v>
      </c>
      <c r="K79" s="127">
        <f>+Actuals!H321</f>
        <v>0</v>
      </c>
      <c r="L79" s="126">
        <f>+Actuals!I321</f>
        <v>0</v>
      </c>
      <c r="M79" s="127">
        <f>+Actuals!J321</f>
        <v>0</v>
      </c>
      <c r="N79" s="126">
        <f>+Actuals!K321</f>
        <v>0</v>
      </c>
      <c r="O79" s="127">
        <f>+Actuals!L321</f>
        <v>0</v>
      </c>
      <c r="P79" s="126">
        <f>+Actuals!M521</f>
        <v>0</v>
      </c>
      <c r="Q79" s="127">
        <f>+Actuals!N521</f>
        <v>0</v>
      </c>
      <c r="R79" s="126">
        <f>+Actuals!O521</f>
        <v>0</v>
      </c>
      <c r="S79" s="127">
        <f>+Actuals!P521</f>
        <v>0</v>
      </c>
      <c r="T79" s="126">
        <f>+Actuals!Q521</f>
        <v>0</v>
      </c>
      <c r="U79" s="127">
        <f>+Actuals!R521</f>
        <v>0</v>
      </c>
      <c r="V79" s="126">
        <f>+Actuals!S521</f>
        <v>0</v>
      </c>
      <c r="W79" s="127">
        <f>+Actuals!T521</f>
        <v>0</v>
      </c>
      <c r="X79" s="126">
        <f>+Actuals!U521</f>
        <v>0</v>
      </c>
      <c r="Y79" s="127">
        <f>+Actuals!V521</f>
        <v>0</v>
      </c>
      <c r="Z79" s="126">
        <f>+Actuals!W521</f>
        <v>0</v>
      </c>
      <c r="AA79" s="127">
        <f>+Actuals!X521</f>
        <v>0</v>
      </c>
      <c r="AB79" s="126">
        <f>+Actuals!Y321</f>
        <v>0</v>
      </c>
      <c r="AC79" s="127">
        <f>+Actuals!Z321</f>
        <v>0</v>
      </c>
      <c r="AD79" s="126">
        <f>+Actuals!AA321</f>
        <v>0</v>
      </c>
      <c r="AE79" s="127">
        <f>+Actuals!AB321</f>
        <v>0</v>
      </c>
      <c r="AF79" s="126">
        <f>+Actuals!AC321</f>
        <v>0</v>
      </c>
      <c r="AG79" s="127">
        <f>+Actuals!AD321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'TIE-OUT'!P80+RECLASS!N80</f>
        <v>0</v>
      </c>
      <c r="G80" s="60">
        <f>'TIE-OUT'!Q80+RECLASS!O80</f>
        <v>0</v>
      </c>
      <c r="H80" s="126">
        <f>+Actuals!E322</f>
        <v>0</v>
      </c>
      <c r="I80" s="127">
        <f>+Actuals!F322</f>
        <v>0</v>
      </c>
      <c r="J80" s="126">
        <f>+Actuals!G322</f>
        <v>0</v>
      </c>
      <c r="K80" s="127">
        <f>+Actuals!H322</f>
        <v>0</v>
      </c>
      <c r="L80" s="126">
        <f>+Actuals!I322</f>
        <v>0</v>
      </c>
      <c r="M80" s="127">
        <f>+Actuals!J322</f>
        <v>0</v>
      </c>
      <c r="N80" s="126">
        <f>+Actuals!K322</f>
        <v>0</v>
      </c>
      <c r="O80" s="127">
        <f>+Actuals!L322</f>
        <v>0</v>
      </c>
      <c r="P80" s="126">
        <f>+Actuals!M522</f>
        <v>0</v>
      </c>
      <c r="Q80" s="127">
        <f>+Actuals!N522</f>
        <v>0</v>
      </c>
      <c r="R80" s="126">
        <f>+Actuals!O522</f>
        <v>0</v>
      </c>
      <c r="S80" s="127">
        <f>+Actuals!P522</f>
        <v>0</v>
      </c>
      <c r="T80" s="126">
        <f>+Actuals!Q522</f>
        <v>0</v>
      </c>
      <c r="U80" s="127">
        <f>+Actuals!R522</f>
        <v>0</v>
      </c>
      <c r="V80" s="126">
        <f>+Actuals!S522</f>
        <v>0</v>
      </c>
      <c r="W80" s="127">
        <f>+Actuals!T522</f>
        <v>0</v>
      </c>
      <c r="X80" s="126">
        <f>+Actuals!U522</f>
        <v>0</v>
      </c>
      <c r="Y80" s="127">
        <f>+Actuals!V522</f>
        <v>0</v>
      </c>
      <c r="Z80" s="126">
        <f>+Actuals!W522</f>
        <v>0</v>
      </c>
      <c r="AA80" s="127">
        <f>+Actuals!X522</f>
        <v>0</v>
      </c>
      <c r="AB80" s="126">
        <f>+Actuals!Y322</f>
        <v>0</v>
      </c>
      <c r="AC80" s="127">
        <f>+Actuals!Z322</f>
        <v>0</v>
      </c>
      <c r="AD80" s="126">
        <f>+Actuals!AA322</f>
        <v>0</v>
      </c>
      <c r="AE80" s="127">
        <f>+Actuals!AB322</f>
        <v>0</v>
      </c>
      <c r="AF80" s="126">
        <f>+Actuals!AC322</f>
        <v>0</v>
      </c>
      <c r="AG80" s="127">
        <f>+Actuals!AD322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58384.86</v>
      </c>
      <c r="F81" s="60">
        <f>'TIE-OUT'!P81+RECLASS!N81</f>
        <v>0</v>
      </c>
      <c r="G81" s="60">
        <f>'TIE-OUT'!Q81+RECLASS!O81</f>
        <v>0</v>
      </c>
      <c r="H81" s="126">
        <f>+Actuals!E323</f>
        <v>0</v>
      </c>
      <c r="I81" s="127">
        <f>+Actuals!F323</f>
        <v>59687.86</v>
      </c>
      <c r="J81" s="126">
        <f>+Actuals!G323</f>
        <v>0</v>
      </c>
      <c r="K81" s="127">
        <f>+Actuals!H323</f>
        <v>-1303</v>
      </c>
      <c r="L81" s="126">
        <f>+Actuals!I323</f>
        <v>0</v>
      </c>
      <c r="M81" s="127">
        <f>+Actuals!J323</f>
        <v>0</v>
      </c>
      <c r="N81" s="126">
        <f>+Actuals!K323</f>
        <v>0</v>
      </c>
      <c r="O81" s="127">
        <f>+Actuals!L323</f>
        <v>0</v>
      </c>
      <c r="P81" s="126">
        <f>+Actuals!M523</f>
        <v>0</v>
      </c>
      <c r="Q81" s="127">
        <f>+Actuals!N523</f>
        <v>0</v>
      </c>
      <c r="R81" s="126">
        <f>+Actuals!O523</f>
        <v>0</v>
      </c>
      <c r="S81" s="127">
        <f>+Actuals!P523</f>
        <v>0</v>
      </c>
      <c r="T81" s="126">
        <f>+Actuals!Q523</f>
        <v>0</v>
      </c>
      <c r="U81" s="127">
        <f>+Actuals!R523</f>
        <v>0</v>
      </c>
      <c r="V81" s="126">
        <f>+Actuals!S523</f>
        <v>0</v>
      </c>
      <c r="W81" s="127">
        <f>+Actuals!T523</f>
        <v>0</v>
      </c>
      <c r="X81" s="126">
        <f>+Actuals!U523</f>
        <v>0</v>
      </c>
      <c r="Y81" s="127">
        <f>+Actuals!V523</f>
        <v>0</v>
      </c>
      <c r="Z81" s="126">
        <f>+Actuals!W523</f>
        <v>0</v>
      </c>
      <c r="AA81" s="127">
        <f>+Actuals!X523</f>
        <v>0</v>
      </c>
      <c r="AB81" s="126">
        <f>+Actuals!Y323</f>
        <v>0</v>
      </c>
      <c r="AC81" s="127">
        <f>+Actuals!Z323</f>
        <v>0</v>
      </c>
      <c r="AD81" s="126">
        <f>+Actuals!AA323</f>
        <v>0</v>
      </c>
      <c r="AE81" s="127">
        <f>+Actuals!AB323</f>
        <v>0</v>
      </c>
      <c r="AF81" s="126">
        <f>+Actuals!AC323</f>
        <v>0</v>
      </c>
      <c r="AG81" s="127">
        <f>+Actuals!AD323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1459337.129999988</v>
      </c>
      <c r="F82" s="91">
        <f>F16+F24+F29+F36+F43+F45+F47+F49</f>
        <v>0</v>
      </c>
      <c r="G82" s="92">
        <f>SUM(G72:G81)+G16+G24+G29+G36+G43+G45+G47+G49+G51+G56+G61+G66</f>
        <v>2822828.51</v>
      </c>
      <c r="H82" s="91">
        <f>H16+H24+H29+H36+H43+H45+H47+H49</f>
        <v>0</v>
      </c>
      <c r="I82" s="92">
        <f>SUM(I72:I81)+I16+I24+I29+I36+I43+I45+I47+I49+I51+I56+I61+I66</f>
        <v>1065237.6979999868</v>
      </c>
      <c r="J82" s="91">
        <f>J16+J24+J29+J36+J43+J45+J47+J49</f>
        <v>0</v>
      </c>
      <c r="K82" s="154">
        <f>SUM(K72:K81)+K16+K24+K29+K36+K43+K45+K47+K49+K51+K56+K61+K66</f>
        <v>-1150345.5619999999</v>
      </c>
      <c r="L82" s="91">
        <f>L16+L24+L29+L36+L43+L45+L47+L49</f>
        <v>0</v>
      </c>
      <c r="M82" s="92">
        <f>SUM(M72:M81)+M16+M24+M29+M36+M43+M45+M47+M49+M51+M56+M61+M66</f>
        <v>-337145.87199999986</v>
      </c>
      <c r="N82" s="91">
        <f>N16+N24+N29+N36+N43+N45+N47+N49</f>
        <v>0</v>
      </c>
      <c r="O82" s="92">
        <f>SUM(O72:O81)+O16+O24+O29+O36+O43+O45+O47+O49+O51+O56+O61+O66</f>
        <v>-467455.27999999514</v>
      </c>
      <c r="P82" s="91">
        <f>P16+P24+P29+P36+P43+P45+P47+P49</f>
        <v>0</v>
      </c>
      <c r="Q82" s="92">
        <f>SUM(Q72:Q81)+Q16+Q24+Q29+Q36+Q43+Q45+Q47+Q49+Q51+Q56+Q61+Q66</f>
        <v>38875.437999995163</v>
      </c>
      <c r="R82" s="91">
        <f>R16+R24+R29+R36+R43+R45+R47+R49</f>
        <v>0</v>
      </c>
      <c r="S82" s="92">
        <f>SUM(S72:S81)+S16+S24+S29+S36+S43+S45+S47+S49+S51+S56+S61+S66</f>
        <v>7668.8460000000005</v>
      </c>
      <c r="T82" s="91">
        <f>T16+T24+T29+T36+T43+T45+T47+T49</f>
        <v>0</v>
      </c>
      <c r="U82" s="92">
        <f>SUM(U72:U81)+U16+U24+U29+U36+U43+U45+U47+U49+U51+U56+U61+U66</f>
        <v>223490.13800000091</v>
      </c>
      <c r="V82" s="91">
        <f>V16+V24+V29+V36+V43+V45+V47+V49</f>
        <v>0</v>
      </c>
      <c r="W82" s="92">
        <f>SUM(W72:W81)+W16+W24+W29+W36+W43+W45+W47+W49+W51+W56+W61+W66</f>
        <v>87123.757999999943</v>
      </c>
      <c r="X82" s="91">
        <f>X16+X24+X29+X36+X43+X45+X47+X49</f>
        <v>0</v>
      </c>
      <c r="Y82" s="92">
        <f>SUM(Y72:Y81)+Y16+Y24+Y29+Y36+Y43+Y45+Y47+Y49+Y51+Y56+Y61+Y66</f>
        <v>-824693.85</v>
      </c>
      <c r="Z82" s="91">
        <f>Z16+Z24+Z29+Z36+Z43+Z45+Z47+Z49</f>
        <v>0</v>
      </c>
      <c r="AA82" s="92">
        <f>SUM(AA72:AA81)+AA16+AA24+AA29+AA36+AA43+AA45+AA47+AA49+AA51+AA56+AA61+AA66</f>
        <v>-148844.83000000002</v>
      </c>
      <c r="AB82" s="91">
        <f>AB16+AB24+AB29+AB36+AB43+AB45+AB47+AB49</f>
        <v>0</v>
      </c>
      <c r="AC82" s="92">
        <f>SUM(AC72:AC81)+AC16+AC24+AC29+AC36+AC43+AC45+AC47+AC49+AC51+AC56+AC61+AC66</f>
        <v>67768.929999999993</v>
      </c>
      <c r="AD82" s="91">
        <f>AD16+AD24+AD29+AD36+AD43+AD45+AD47+AD49</f>
        <v>0</v>
      </c>
      <c r="AE82" s="92">
        <f>SUM(AE72:AE81)+AE16+AE24+AE29+AE36+AE43+AE45+AE47+AE49+AE51+AE56+AE61+AE66</f>
        <v>75716.929999999993</v>
      </c>
      <c r="AF82" s="91">
        <f>AF16+AF24+AF29+AF36+AF43+AF45+AF47+AF49</f>
        <v>0</v>
      </c>
      <c r="AG82" s="92">
        <f>SUM(AG72:AG81)+AG16+AG24+AG29+AG36+AG43+AG45+AG47+AG49+AG51+AG56+AG61+AG66</f>
        <v>-887.72400000000005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G179"/>
  <sheetViews>
    <sheetView zoomScale="75" workbookViewId="0">
      <pane xSplit="3" ySplit="9" topLeftCell="L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6366410</v>
      </c>
      <c r="E11" s="38">
        <f t="shared" si="0"/>
        <v>21435251</v>
      </c>
      <c r="F11" s="60">
        <f>'TIE-OUT'!AD11+RECLASS!AB11</f>
        <v>0</v>
      </c>
      <c r="G11" s="38">
        <f>'TIE-OUT'!AE11+RECLASS!AC11</f>
        <v>15867257</v>
      </c>
      <c r="H11" s="129">
        <f>19650+6393818</f>
        <v>6413468</v>
      </c>
      <c r="I11" s="130">
        <f>56802+9406040</f>
        <v>9462842</v>
      </c>
      <c r="J11" s="129">
        <v>-47058</v>
      </c>
      <c r="K11" s="145">
        <v>388318</v>
      </c>
      <c r="L11" s="129">
        <v>0</v>
      </c>
      <c r="M11" s="130">
        <f>3502841-7786007</f>
        <v>-4283166</v>
      </c>
      <c r="N11" s="129">
        <f>+Actuals!K84</f>
        <v>0</v>
      </c>
      <c r="O11" s="130">
        <f>+Actuals!L84</f>
        <v>0</v>
      </c>
      <c r="P11" s="126">
        <f>+Actuals!M124</f>
        <v>0</v>
      </c>
      <c r="Q11" s="127">
        <f>+Actuals!N124</f>
        <v>0</v>
      </c>
      <c r="R11" s="129">
        <f>+Actuals!O124</f>
        <v>0</v>
      </c>
      <c r="S11" s="130">
        <f>+Actuals!P124</f>
        <v>0</v>
      </c>
      <c r="T11" s="129">
        <f>+Actuals!Q124</f>
        <v>0</v>
      </c>
      <c r="U11" s="130">
        <f>+Actuals!R124</f>
        <v>0</v>
      </c>
      <c r="V11" s="129">
        <f>+Actuals!S124</f>
        <v>0</v>
      </c>
      <c r="W11" s="130">
        <f>+Actuals!T124</f>
        <v>0</v>
      </c>
      <c r="X11" s="129">
        <f>+Actuals!U124</f>
        <v>0</v>
      </c>
      <c r="Y11" s="130">
        <f>+Actuals!V124</f>
        <v>0</v>
      </c>
      <c r="Z11" s="129">
        <f>+Actuals!W124</f>
        <v>0</v>
      </c>
      <c r="AA11" s="130">
        <f>+Actuals!X124</f>
        <v>0</v>
      </c>
      <c r="AB11" s="129">
        <f>+Actuals!Y84</f>
        <v>0</v>
      </c>
      <c r="AC11" s="130">
        <f>+Actuals!Z84</f>
        <v>0</v>
      </c>
      <c r="AD11" s="129">
        <f>+Actuals!AA84</f>
        <v>0</v>
      </c>
      <c r="AE11" s="130">
        <f>+Actuals!AB84</f>
        <v>0</v>
      </c>
      <c r="AF11" s="129">
        <f>+Actuals!AC84</f>
        <v>0</v>
      </c>
      <c r="AG11" s="130">
        <f>+Actuals!AD84</f>
        <v>0</v>
      </c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29">
        <f>+Actuals!E85</f>
        <v>0</v>
      </c>
      <c r="I12" s="130">
        <f>+Actuals!F85</f>
        <v>0</v>
      </c>
      <c r="J12" s="129">
        <f>+Actuals!G85</f>
        <v>0</v>
      </c>
      <c r="K12" s="145">
        <v>0</v>
      </c>
      <c r="L12" s="129">
        <f>+Actuals!I85</f>
        <v>0</v>
      </c>
      <c r="M12" s="130">
        <f>+Actuals!J85</f>
        <v>0</v>
      </c>
      <c r="N12" s="129">
        <f>+Actuals!K85</f>
        <v>0</v>
      </c>
      <c r="O12" s="130">
        <f>+Actuals!L85</f>
        <v>0</v>
      </c>
      <c r="P12" s="126">
        <f>+Actuals!M125</f>
        <v>0</v>
      </c>
      <c r="Q12" s="127">
        <f>+Actuals!N125</f>
        <v>0</v>
      </c>
      <c r="R12" s="129">
        <f>+Actuals!O125</f>
        <v>0</v>
      </c>
      <c r="S12" s="130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+Actuals!U125</f>
        <v>0</v>
      </c>
      <c r="Y12" s="130">
        <f>+Actuals!V125</f>
        <v>0</v>
      </c>
      <c r="Z12" s="129">
        <f>+Actuals!W125</f>
        <v>0</v>
      </c>
      <c r="AA12" s="130">
        <f>+Actuals!X125</f>
        <v>0</v>
      </c>
      <c r="AB12" s="129">
        <f>+Actuals!Y85</f>
        <v>0</v>
      </c>
      <c r="AC12" s="130">
        <f>+Actuals!Z85</f>
        <v>0</v>
      </c>
      <c r="AD12" s="129">
        <f>+Actuals!AA85</f>
        <v>0</v>
      </c>
      <c r="AE12" s="130">
        <f>+Actuals!AB85</f>
        <v>0</v>
      </c>
      <c r="AF12" s="129">
        <f>+Actuals!AC85</f>
        <v>0</v>
      </c>
      <c r="AG12" s="130">
        <f>+Actuals!AD85</f>
        <v>0</v>
      </c>
    </row>
    <row r="13" spans="1:33" x14ac:dyDescent="0.25">
      <c r="A13" s="9">
        <v>3</v>
      </c>
      <c r="B13" s="7"/>
      <c r="C13" s="18" t="s">
        <v>27</v>
      </c>
      <c r="D13" s="60">
        <f t="shared" si="0"/>
        <v>14467229</v>
      </c>
      <c r="E13" s="38">
        <f t="shared" si="0"/>
        <v>41012395</v>
      </c>
      <c r="F13" s="60">
        <f>'TIE-OUT'!AD13+RECLASS!AB13</f>
        <v>0</v>
      </c>
      <c r="G13" s="38">
        <f>'TIE-OUT'!AE13+RECLASS!AC13</f>
        <v>0</v>
      </c>
      <c r="H13" s="129">
        <v>14467229</v>
      </c>
      <c r="I13" s="130">
        <v>41012395</v>
      </c>
      <c r="J13" s="129">
        <v>2688637</v>
      </c>
      <c r="K13" s="145">
        <v>7786007</v>
      </c>
      <c r="L13" s="129">
        <v>2688637</v>
      </c>
      <c r="M13" s="130">
        <v>7786007</v>
      </c>
      <c r="N13" s="129">
        <v>-17155866</v>
      </c>
      <c r="O13" s="130">
        <v>-48798402</v>
      </c>
      <c r="P13" s="126">
        <f>+Actuals!M126</f>
        <v>19844503</v>
      </c>
      <c r="Q13" s="127">
        <f>+Actuals!N126</f>
        <v>56584409</v>
      </c>
      <c r="R13" s="129">
        <f>+Actuals!O126</f>
        <v>0</v>
      </c>
      <c r="S13" s="130">
        <f>+Actuals!P126</f>
        <v>0</v>
      </c>
      <c r="T13" s="129">
        <f>+Actuals!Q126</f>
        <v>-19844503</v>
      </c>
      <c r="U13" s="130">
        <f>+Actuals!R126</f>
        <v>-56584409</v>
      </c>
      <c r="V13" s="129">
        <f>+Actuals!S126</f>
        <v>0</v>
      </c>
      <c r="W13" s="130">
        <f>+Actuals!T126</f>
        <v>0</v>
      </c>
      <c r="X13" s="129">
        <f>+Actuals!U126</f>
        <v>0</v>
      </c>
      <c r="Y13" s="130">
        <f>+Actuals!V126</f>
        <v>0</v>
      </c>
      <c r="Z13" s="129">
        <f>+Actuals!W126</f>
        <v>11778592</v>
      </c>
      <c r="AA13" s="130">
        <f>+Actuals!X126</f>
        <v>33226388</v>
      </c>
      <c r="AB13" s="129">
        <f>+Actuals!Y86</f>
        <v>0</v>
      </c>
      <c r="AC13" s="130">
        <f>+Actuals!Z86</f>
        <v>0</v>
      </c>
      <c r="AD13" s="129">
        <f>+Actuals!AA86</f>
        <v>0</v>
      </c>
      <c r="AE13" s="130">
        <f>+Actuals!AB86</f>
        <v>0</v>
      </c>
      <c r="AF13" s="129">
        <f>+Actuals!AC86</f>
        <v>0</v>
      </c>
      <c r="AG13" s="130">
        <f>+Actuals!AD86</f>
        <v>0</v>
      </c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29">
        <f>+Actuals!E87</f>
        <v>0</v>
      </c>
      <c r="I14" s="130">
        <f>+Actuals!F87</f>
        <v>0</v>
      </c>
      <c r="J14" s="129">
        <f>+Actuals!G87</f>
        <v>0</v>
      </c>
      <c r="K14" s="145">
        <f>+Actuals!H87</f>
        <v>0</v>
      </c>
      <c r="L14" s="129">
        <f>+Actuals!I87</f>
        <v>0</v>
      </c>
      <c r="M14" s="130">
        <f>+Actuals!J87</f>
        <v>0</v>
      </c>
      <c r="N14" s="129">
        <f>+Actuals!K87</f>
        <v>0</v>
      </c>
      <c r="O14" s="130">
        <f>+Actuals!L87</f>
        <v>0</v>
      </c>
      <c r="P14" s="126">
        <f>+Actuals!M127</f>
        <v>0</v>
      </c>
      <c r="Q14" s="127">
        <f>+Actuals!N127</f>
        <v>0</v>
      </c>
      <c r="R14" s="129">
        <f>+Actuals!O127</f>
        <v>0</v>
      </c>
      <c r="S14" s="130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+Actuals!U127</f>
        <v>0</v>
      </c>
      <c r="Y14" s="130">
        <f>+Actuals!V127</f>
        <v>0</v>
      </c>
      <c r="Z14" s="129">
        <f>+Actuals!W127</f>
        <v>0</v>
      </c>
      <c r="AA14" s="130">
        <f>+Actuals!X127</f>
        <v>0</v>
      </c>
      <c r="AB14" s="129">
        <f>+Actuals!Y87</f>
        <v>0</v>
      </c>
      <c r="AC14" s="130">
        <f>+Actuals!Z87</f>
        <v>0</v>
      </c>
      <c r="AD14" s="129">
        <f>+Actuals!AA87</f>
        <v>0</v>
      </c>
      <c r="AE14" s="130">
        <f>+Actuals!AB87</f>
        <v>0</v>
      </c>
      <c r="AF14" s="129">
        <f>+Actuals!AC87</f>
        <v>0</v>
      </c>
      <c r="AG14" s="130">
        <f>+Actuals!AD87</f>
        <v>0</v>
      </c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10335461</v>
      </c>
      <c r="F15" s="81">
        <f>'TIE-OUT'!AD15+RECLASS!AB15</f>
        <v>0</v>
      </c>
      <c r="G15" s="82">
        <f>'TIE-OUT'!AE15+RECLASS!AC15</f>
        <v>-4142552</v>
      </c>
      <c r="H15" s="129">
        <f>+Actuals!E88</f>
        <v>0</v>
      </c>
      <c r="I15" s="130">
        <v>14433395</v>
      </c>
      <c r="J15" s="129">
        <f>+Actuals!G88</f>
        <v>0</v>
      </c>
      <c r="K15" s="145">
        <v>72954</v>
      </c>
      <c r="L15" s="129">
        <f>+Actuals!I88</f>
        <v>0</v>
      </c>
      <c r="M15" s="130">
        <f>+Actuals!J88</f>
        <v>0</v>
      </c>
      <c r="N15" s="129">
        <f>+Actuals!K88</f>
        <v>0</v>
      </c>
      <c r="O15" s="130">
        <f>+Actuals!L88</f>
        <v>0</v>
      </c>
      <c r="P15" s="126">
        <f>+Actuals!M128</f>
        <v>0</v>
      </c>
      <c r="Q15" s="128">
        <f>+Actuals!N128</f>
        <v>0</v>
      </c>
      <c r="R15" s="129">
        <f>+Actuals!O128</f>
        <v>0</v>
      </c>
      <c r="S15" s="130">
        <f>+Actuals!P128</f>
        <v>-26</v>
      </c>
      <c r="T15" s="129">
        <f>+Actuals!Q128</f>
        <v>0</v>
      </c>
      <c r="U15" s="130">
        <f>+Actuals!R128</f>
        <v>-28310</v>
      </c>
      <c r="V15" s="129">
        <f>+Actuals!S128</f>
        <v>0</v>
      </c>
      <c r="W15" s="130">
        <f>+Actuals!T128</f>
        <v>0</v>
      </c>
      <c r="X15" s="129">
        <f>+Actuals!U128</f>
        <v>0</v>
      </c>
      <c r="Y15" s="130">
        <f>+Actuals!V128</f>
        <v>0</v>
      </c>
      <c r="Z15" s="129">
        <f>+Actuals!W128</f>
        <v>0</v>
      </c>
      <c r="AA15" s="130">
        <f>+Actuals!X128</f>
        <v>0</v>
      </c>
      <c r="AB15" s="129">
        <f>+Actuals!Y88</f>
        <v>0</v>
      </c>
      <c r="AC15" s="130">
        <f>+Actuals!Z88</f>
        <v>0</v>
      </c>
      <c r="AD15" s="129">
        <f>+Actuals!AA88</f>
        <v>0</v>
      </c>
      <c r="AE15" s="130">
        <f>+Actuals!AB88</f>
        <v>0</v>
      </c>
      <c r="AF15" s="129">
        <f>+Actuals!AC88</f>
        <v>0</v>
      </c>
      <c r="AG15" s="130">
        <f>+Actuals!AD88</f>
        <v>0</v>
      </c>
    </row>
    <row r="16" spans="1:33" x14ac:dyDescent="0.25">
      <c r="A16" s="9"/>
      <c r="B16" s="7" t="s">
        <v>30</v>
      </c>
      <c r="C16" s="6"/>
      <c r="D16" s="61">
        <f t="shared" ref="D16:AE16" si="1">SUM(D11:D15)</f>
        <v>20833639</v>
      </c>
      <c r="E16" s="39">
        <f t="shared" si="1"/>
        <v>72783107</v>
      </c>
      <c r="F16" s="61">
        <f t="shared" si="1"/>
        <v>0</v>
      </c>
      <c r="G16" s="39">
        <f t="shared" si="1"/>
        <v>11724705</v>
      </c>
      <c r="H16" s="61">
        <f t="shared" si="1"/>
        <v>20880697</v>
      </c>
      <c r="I16" s="39">
        <f t="shared" si="1"/>
        <v>64908632</v>
      </c>
      <c r="J16" s="61">
        <f t="shared" si="1"/>
        <v>2641579</v>
      </c>
      <c r="K16" s="146">
        <f t="shared" si="1"/>
        <v>8247279</v>
      </c>
      <c r="L16" s="61">
        <f t="shared" si="1"/>
        <v>2688637</v>
      </c>
      <c r="M16" s="39">
        <f t="shared" si="1"/>
        <v>3502841</v>
      </c>
      <c r="N16" s="61">
        <f t="shared" si="1"/>
        <v>-17155866</v>
      </c>
      <c r="O16" s="39">
        <f t="shared" si="1"/>
        <v>-48798402</v>
      </c>
      <c r="P16" s="61">
        <f t="shared" si="1"/>
        <v>19844503</v>
      </c>
      <c r="Q16" s="82">
        <f t="shared" si="1"/>
        <v>56584409</v>
      </c>
      <c r="R16" s="61">
        <f t="shared" ref="R16:W16" si="2">SUM(R11:R15)</f>
        <v>0</v>
      </c>
      <c r="S16" s="39">
        <f t="shared" si="2"/>
        <v>-26</v>
      </c>
      <c r="T16" s="61">
        <f t="shared" si="2"/>
        <v>-19844503</v>
      </c>
      <c r="U16" s="39">
        <f t="shared" si="2"/>
        <v>-56612719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11778592</v>
      </c>
      <c r="AA16" s="39">
        <f>SUM(AA11:AA15)</f>
        <v>33226388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-6491207</v>
      </c>
      <c r="E19" s="38">
        <f t="shared" si="3"/>
        <v>-32356699.449999999</v>
      </c>
      <c r="F19" s="64">
        <f>'TIE-OUT'!AD19+RECLASS!AB19</f>
        <v>0</v>
      </c>
      <c r="G19" s="68">
        <f>'TIE-OUT'!AE19+RECLASS!AC19</f>
        <v>-11967771</v>
      </c>
      <c r="H19" s="129">
        <f>-6487198-5525</f>
        <v>-6492723</v>
      </c>
      <c r="I19" s="130">
        <f>-18309153-15746</f>
        <v>-18324899</v>
      </c>
      <c r="J19" s="129">
        <v>1516</v>
      </c>
      <c r="K19" s="145">
        <v>-2063992</v>
      </c>
      <c r="L19" s="129">
        <v>0</v>
      </c>
      <c r="M19" s="130">
        <v>0</v>
      </c>
      <c r="N19" s="129">
        <f>+Actuals!K89</f>
        <v>0</v>
      </c>
      <c r="O19" s="130">
        <f>+Actuals!L89</f>
        <v>0</v>
      </c>
      <c r="P19" s="126">
        <f>+Actuals!M129</f>
        <v>0</v>
      </c>
      <c r="Q19" s="127">
        <f>+Actuals!N129</f>
        <v>-36.450000000000003</v>
      </c>
      <c r="R19" s="129">
        <f>+Actuals!O129</f>
        <v>0</v>
      </c>
      <c r="S19" s="130">
        <f>+Actuals!P129</f>
        <v>-1</v>
      </c>
      <c r="T19" s="129">
        <f>+Actuals!Q129</f>
        <v>0</v>
      </c>
      <c r="U19" s="130">
        <f>+Actuals!R129</f>
        <v>0</v>
      </c>
      <c r="V19" s="129">
        <f>+Actuals!S129</f>
        <v>0</v>
      </c>
      <c r="W19" s="130">
        <f>+Actuals!T129</f>
        <v>0</v>
      </c>
      <c r="X19" s="129">
        <f>+Actuals!U129</f>
        <v>0</v>
      </c>
      <c r="Y19" s="130">
        <f>+Actuals!V129</f>
        <v>0</v>
      </c>
      <c r="Z19" s="129">
        <f>+Actuals!W129</f>
        <v>0</v>
      </c>
      <c r="AA19" s="130">
        <f>+Actuals!X129</f>
        <v>0</v>
      </c>
      <c r="AB19" s="129">
        <f>+Actuals!Y89</f>
        <v>0</v>
      </c>
      <c r="AC19" s="130">
        <f>+Actuals!Z89</f>
        <v>0</v>
      </c>
      <c r="AD19" s="129">
        <f>+Actuals!AA89</f>
        <v>0</v>
      </c>
      <c r="AE19" s="130">
        <f>+Actuals!AB89</f>
        <v>0</v>
      </c>
      <c r="AF19" s="129">
        <f>+Actuals!AC89</f>
        <v>0</v>
      </c>
      <c r="AG19" s="130">
        <f>+Actuals!AD89</f>
        <v>0</v>
      </c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11877735</v>
      </c>
      <c r="F20" s="60">
        <f>'TIE-OUT'!AD20+RECLASS!AB20</f>
        <v>0</v>
      </c>
      <c r="G20" s="38">
        <f>'TIE-OUT'!AE20+RECLASS!AC20</f>
        <v>-122265</v>
      </c>
      <c r="H20" s="129">
        <f>+Actuals!E90</f>
        <v>0</v>
      </c>
      <c r="I20" s="130">
        <f>+Actuals!F90</f>
        <v>0</v>
      </c>
      <c r="J20" s="129">
        <f>+Actuals!G90</f>
        <v>0</v>
      </c>
      <c r="K20" s="145">
        <f>+Actuals!H90</f>
        <v>0</v>
      </c>
      <c r="L20" s="129">
        <f>+Actuals!I90</f>
        <v>0</v>
      </c>
      <c r="M20" s="130">
        <f>+Actuals!J90</f>
        <v>0</v>
      </c>
      <c r="N20" s="129">
        <f>+Actuals!K90</f>
        <v>0</v>
      </c>
      <c r="O20" s="153">
        <f>+Actuals!L90+12000000</f>
        <v>12000000</v>
      </c>
      <c r="P20" s="126">
        <f>+Actuals!M130</f>
        <v>0</v>
      </c>
      <c r="Q20" s="127">
        <f>+Actuals!N130</f>
        <v>0</v>
      </c>
      <c r="R20" s="129">
        <f>+Actuals!O130</f>
        <v>0</v>
      </c>
      <c r="S20" s="130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+Actuals!U130</f>
        <v>0</v>
      </c>
      <c r="Y20" s="130">
        <f>+Actuals!V130</f>
        <v>0</v>
      </c>
      <c r="Z20" s="129">
        <f>+Actuals!W130</f>
        <v>0</v>
      </c>
      <c r="AA20" s="130">
        <f>+Actuals!X130</f>
        <v>0</v>
      </c>
      <c r="AB20" s="129">
        <f>+Actuals!Y90</f>
        <v>0</v>
      </c>
      <c r="AC20" s="130">
        <f>+Actuals!Z90</f>
        <v>0</v>
      </c>
      <c r="AD20" s="129">
        <f>+Actuals!AA90</f>
        <v>0</v>
      </c>
      <c r="AE20" s="130">
        <f>+Actuals!AB90</f>
        <v>0</v>
      </c>
      <c r="AF20" s="129">
        <f>+Actuals!AC90</f>
        <v>0</v>
      </c>
      <c r="AG20" s="130">
        <f>+Actuals!AD90</f>
        <v>0</v>
      </c>
    </row>
    <row r="21" spans="1:33" x14ac:dyDescent="0.25">
      <c r="A21" s="9">
        <v>8</v>
      </c>
      <c r="B21" s="7"/>
      <c r="C21" s="18" t="s">
        <v>27</v>
      </c>
      <c r="D21" s="60">
        <f t="shared" si="3"/>
        <v>-16876830</v>
      </c>
      <c r="E21" s="38">
        <f t="shared" si="3"/>
        <v>-47287506</v>
      </c>
      <c r="F21" s="60">
        <f>'TIE-OUT'!AD21+RECLASS!AB21</f>
        <v>0</v>
      </c>
      <c r="G21" s="38">
        <f>'TIE-OUT'!AE21+RECLASS!AC21</f>
        <v>0</v>
      </c>
      <c r="H21" s="129">
        <v>-16876830</v>
      </c>
      <c r="I21" s="130">
        <v>-47287507</v>
      </c>
      <c r="J21" s="129">
        <v>-2688637</v>
      </c>
      <c r="K21" s="145">
        <v>-7786007</v>
      </c>
      <c r="L21" s="129">
        <v>-6041915</v>
      </c>
      <c r="M21" s="130">
        <v>-17028875</v>
      </c>
      <c r="N21" s="129">
        <v>19565467</v>
      </c>
      <c r="O21" s="130">
        <v>55073514</v>
      </c>
      <c r="P21" s="126">
        <f>+Actuals!M131</f>
        <v>-25607382</v>
      </c>
      <c r="Q21" s="127">
        <f>+Actuals!N131</f>
        <v>-72102389</v>
      </c>
      <c r="R21" s="129">
        <f>+Actuals!O131</f>
        <v>0</v>
      </c>
      <c r="S21" s="130">
        <f>+Actuals!P131</f>
        <v>0</v>
      </c>
      <c r="T21" s="129">
        <f>+Actuals!Q131</f>
        <v>25607382</v>
      </c>
      <c r="U21" s="130">
        <f>+Actuals!R131</f>
        <v>72102389</v>
      </c>
      <c r="V21" s="129">
        <f>+Actuals!S131</f>
        <v>0</v>
      </c>
      <c r="W21" s="130">
        <f>+Actuals!T131</f>
        <v>0</v>
      </c>
      <c r="X21" s="129">
        <f>+Actuals!U131</f>
        <v>0</v>
      </c>
      <c r="Y21" s="130">
        <f>+Actuals!V131</f>
        <v>0</v>
      </c>
      <c r="Z21" s="129">
        <f>+Actuals!W131</f>
        <v>-10834915</v>
      </c>
      <c r="AA21" s="130">
        <f>+Actuals!X131</f>
        <v>-30258631</v>
      </c>
      <c r="AB21" s="129">
        <f>+Actuals!Y91</f>
        <v>0</v>
      </c>
      <c r="AC21" s="130">
        <f>+Actuals!Z91</f>
        <v>0</v>
      </c>
      <c r="AD21" s="129">
        <f>+Actuals!AA91</f>
        <v>0</v>
      </c>
      <c r="AE21" s="130">
        <f>+Actuals!AB91</f>
        <v>0</v>
      </c>
      <c r="AF21" s="129">
        <f>+Actuals!AC91</f>
        <v>0</v>
      </c>
      <c r="AG21" s="130">
        <f>+Actuals!AD91</f>
        <v>0</v>
      </c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29">
        <f>+Actuals!E92</f>
        <v>0</v>
      </c>
      <c r="I22" s="130">
        <f>+Actuals!F92</f>
        <v>0</v>
      </c>
      <c r="J22" s="129">
        <f>+Actuals!G92</f>
        <v>0</v>
      </c>
      <c r="K22" s="145">
        <f>+Actuals!H92</f>
        <v>0</v>
      </c>
      <c r="L22" s="129">
        <f>+Actuals!I92</f>
        <v>0</v>
      </c>
      <c r="M22" s="130">
        <f>+Actuals!J92</f>
        <v>0</v>
      </c>
      <c r="N22" s="129">
        <f>+Actuals!K92</f>
        <v>0</v>
      </c>
      <c r="O22" s="130">
        <f>+Actuals!L92</f>
        <v>0</v>
      </c>
      <c r="P22" s="126">
        <f>+Actuals!M132</f>
        <v>0</v>
      </c>
      <c r="Q22" s="127">
        <f>+Actuals!N132</f>
        <v>0</v>
      </c>
      <c r="R22" s="129">
        <f>+Actuals!O132</f>
        <v>0</v>
      </c>
      <c r="S22" s="130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+Actuals!U132</f>
        <v>0</v>
      </c>
      <c r="Y22" s="130">
        <f>+Actuals!V132</f>
        <v>0</v>
      </c>
      <c r="Z22" s="129">
        <f>+Actuals!W132</f>
        <v>0</v>
      </c>
      <c r="AA22" s="130">
        <f>+Actuals!X132</f>
        <v>0</v>
      </c>
      <c r="AB22" s="129">
        <f>+Actuals!Y92</f>
        <v>0</v>
      </c>
      <c r="AC22" s="130">
        <f>+Actuals!Z92</f>
        <v>0</v>
      </c>
      <c r="AD22" s="129">
        <f>+Actuals!AA92</f>
        <v>0</v>
      </c>
      <c r="AE22" s="130">
        <f>+Actuals!AB92</f>
        <v>0</v>
      </c>
      <c r="AF22" s="129">
        <f>+Actuals!AC92</f>
        <v>0</v>
      </c>
      <c r="AG22" s="130">
        <f>+Actuals!AD92</f>
        <v>0</v>
      </c>
    </row>
    <row r="23" spans="1:33" x14ac:dyDescent="0.25">
      <c r="A23" s="9">
        <v>10</v>
      </c>
      <c r="B23" s="7"/>
      <c r="C23" s="18" t="s">
        <v>32</v>
      </c>
      <c r="D23" s="60">
        <f t="shared" si="3"/>
        <v>352755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29">
        <f>+Actuals!E93</f>
        <v>0</v>
      </c>
      <c r="I23" s="130">
        <f>+Actuals!F93</f>
        <v>0</v>
      </c>
      <c r="J23" s="129">
        <f>+Actuals!G93</f>
        <v>0</v>
      </c>
      <c r="K23" s="145">
        <f>+Actuals!H93</f>
        <v>0</v>
      </c>
      <c r="L23" s="129">
        <f>+Actuals!I93</f>
        <v>0</v>
      </c>
      <c r="M23" s="130">
        <f>+Actuals!J93</f>
        <v>0</v>
      </c>
      <c r="N23" s="129">
        <f>+Actuals!K93</f>
        <v>0</v>
      </c>
      <c r="O23" s="130">
        <f>+Actuals!L93</f>
        <v>0</v>
      </c>
      <c r="P23" s="126">
        <f>+Actuals!M133</f>
        <v>0</v>
      </c>
      <c r="Q23" s="128">
        <f>+Actuals!N133</f>
        <v>0</v>
      </c>
      <c r="R23" s="129">
        <f>+Actuals!O133</f>
        <v>352755</v>
      </c>
      <c r="S23" s="130">
        <f>+Actuals!P133</f>
        <v>0</v>
      </c>
      <c r="T23" s="129">
        <f>+Actuals!Q133</f>
        <v>0</v>
      </c>
      <c r="U23" s="130">
        <f>+Actuals!R133</f>
        <v>0</v>
      </c>
      <c r="V23" s="129">
        <f>+Actuals!S133</f>
        <v>0</v>
      </c>
      <c r="W23" s="130">
        <f>+Actuals!T133</f>
        <v>0</v>
      </c>
      <c r="X23" s="129">
        <f>+Actuals!U133</f>
        <v>0</v>
      </c>
      <c r="Y23" s="130">
        <f>+Actuals!V133</f>
        <v>0</v>
      </c>
      <c r="Z23" s="129">
        <f>+Actuals!W133</f>
        <v>0</v>
      </c>
      <c r="AA23" s="130">
        <f>+Actuals!X133</f>
        <v>0</v>
      </c>
      <c r="AB23" s="129">
        <f>+Actuals!Y93</f>
        <v>0</v>
      </c>
      <c r="AC23" s="130">
        <f>+Actuals!Z93</f>
        <v>0</v>
      </c>
      <c r="AD23" s="129">
        <f>+Actuals!AA93</f>
        <v>0</v>
      </c>
      <c r="AE23" s="130">
        <f>+Actuals!AB93</f>
        <v>0</v>
      </c>
      <c r="AF23" s="129">
        <f>+Actuals!AC93</f>
        <v>0</v>
      </c>
      <c r="AG23" s="130">
        <f>+Actuals!AD93</f>
        <v>0</v>
      </c>
    </row>
    <row r="24" spans="1:33" x14ac:dyDescent="0.25">
      <c r="A24" s="9"/>
      <c r="B24" s="7" t="s">
        <v>33</v>
      </c>
      <c r="C24" s="6"/>
      <c r="D24" s="61">
        <f t="shared" ref="D24:AE24" si="4">SUM(D19:D23)</f>
        <v>-23015282</v>
      </c>
      <c r="E24" s="39">
        <f t="shared" si="4"/>
        <v>-67766470.450000003</v>
      </c>
      <c r="F24" s="61">
        <f t="shared" si="4"/>
        <v>0</v>
      </c>
      <c r="G24" s="39">
        <f t="shared" si="4"/>
        <v>-12090036</v>
      </c>
      <c r="H24" s="61">
        <f t="shared" si="4"/>
        <v>-23369553</v>
      </c>
      <c r="I24" s="39">
        <f t="shared" si="4"/>
        <v>-65612406</v>
      </c>
      <c r="J24" s="61">
        <f t="shared" si="4"/>
        <v>-2687121</v>
      </c>
      <c r="K24" s="146">
        <f t="shared" si="4"/>
        <v>-9849999</v>
      </c>
      <c r="L24" s="61">
        <f t="shared" si="4"/>
        <v>-6041915</v>
      </c>
      <c r="M24" s="39">
        <f t="shared" si="4"/>
        <v>-17028875</v>
      </c>
      <c r="N24" s="61">
        <f t="shared" si="4"/>
        <v>19565467</v>
      </c>
      <c r="O24" s="39">
        <f t="shared" si="4"/>
        <v>67073514</v>
      </c>
      <c r="P24" s="61">
        <f t="shared" si="4"/>
        <v>-25607382</v>
      </c>
      <c r="Q24" s="39">
        <f t="shared" si="4"/>
        <v>-72102425.450000003</v>
      </c>
      <c r="R24" s="61">
        <f t="shared" ref="R24:W24" si="5">SUM(R19:R23)</f>
        <v>352755</v>
      </c>
      <c r="S24" s="39">
        <f t="shared" si="5"/>
        <v>-1</v>
      </c>
      <c r="T24" s="61">
        <f t="shared" si="5"/>
        <v>25607382</v>
      </c>
      <c r="U24" s="39">
        <f t="shared" si="5"/>
        <v>72102389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-10834915</v>
      </c>
      <c r="AA24" s="39">
        <f>SUM(AA19:AA23)</f>
        <v>-30258631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'TIE-OUT'!AD27+RECLASS!AB27</f>
        <v>0</v>
      </c>
      <c r="G27" s="68">
        <f>'TIE-OUT'!AE27+RECLASS!AC27</f>
        <v>0</v>
      </c>
      <c r="H27" s="129">
        <f>+Actuals!E94</f>
        <v>0</v>
      </c>
      <c r="I27" s="130">
        <f>+Actuals!F94</f>
        <v>0</v>
      </c>
      <c r="J27" s="129">
        <f>+Actuals!G94</f>
        <v>0</v>
      </c>
      <c r="K27" s="145">
        <f>+Actuals!H94</f>
        <v>0</v>
      </c>
      <c r="L27" s="129">
        <f>+Actuals!I94</f>
        <v>0</v>
      </c>
      <c r="M27" s="130">
        <f>+Actuals!J94</f>
        <v>0</v>
      </c>
      <c r="N27" s="129">
        <f>+Actuals!K94</f>
        <v>0</v>
      </c>
      <c r="O27" s="130">
        <f>+Actuals!L94</f>
        <v>0</v>
      </c>
      <c r="P27" s="126">
        <f>+Actuals!M134</f>
        <v>0</v>
      </c>
      <c r="Q27" s="127">
        <f>+Actuals!N134</f>
        <v>0</v>
      </c>
      <c r="R27" s="129">
        <f>+Actuals!O134</f>
        <v>0</v>
      </c>
      <c r="S27" s="130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+Actuals!U134</f>
        <v>0</v>
      </c>
      <c r="Y27" s="130">
        <f>+Actuals!V134</f>
        <v>0</v>
      </c>
      <c r="Z27" s="129">
        <f>+Actuals!W134</f>
        <v>0</v>
      </c>
      <c r="AA27" s="130">
        <f>+Actuals!X134</f>
        <v>0</v>
      </c>
      <c r="AB27" s="129">
        <f>+Actuals!Y94</f>
        <v>0</v>
      </c>
      <c r="AC27" s="130">
        <f>+Actuals!Z94</f>
        <v>0</v>
      </c>
      <c r="AD27" s="129">
        <f>+Actuals!AA94</f>
        <v>0</v>
      </c>
      <c r="AE27" s="130">
        <f>+Actuals!AB94</f>
        <v>0</v>
      </c>
      <c r="AF27" s="129">
        <f>+Actuals!AC94</f>
        <v>0</v>
      </c>
      <c r="AG27" s="130">
        <f>+Actuals!AD94</f>
        <v>0</v>
      </c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'TIE-OUT'!AD28+RECLASS!AB28</f>
        <v>0</v>
      </c>
      <c r="G28" s="82">
        <f>'TIE-OUT'!AE28+RECLASS!AC28</f>
        <v>0</v>
      </c>
      <c r="H28" s="129">
        <f>+Actuals!E95</f>
        <v>0</v>
      </c>
      <c r="I28" s="130">
        <f>+Actuals!F95</f>
        <v>0</v>
      </c>
      <c r="J28" s="129">
        <f>+Actuals!G95</f>
        <v>0</v>
      </c>
      <c r="K28" s="145">
        <f>+Actuals!H95</f>
        <v>0</v>
      </c>
      <c r="L28" s="129">
        <f>+Actuals!I95</f>
        <v>0</v>
      </c>
      <c r="M28" s="130">
        <f>+Actuals!J95</f>
        <v>0</v>
      </c>
      <c r="N28" s="129">
        <f>+Actuals!K95</f>
        <v>0</v>
      </c>
      <c r="O28" s="130">
        <f>+Actuals!L95</f>
        <v>0</v>
      </c>
      <c r="P28" s="126">
        <f>+Actuals!M135</f>
        <v>0</v>
      </c>
      <c r="Q28" s="127">
        <f>+Actuals!N135</f>
        <v>0</v>
      </c>
      <c r="R28" s="129">
        <f>+Actuals!O135</f>
        <v>0</v>
      </c>
      <c r="S28" s="130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+Actuals!U135</f>
        <v>0</v>
      </c>
      <c r="Y28" s="130">
        <f>+Actuals!V135</f>
        <v>0</v>
      </c>
      <c r="Z28" s="129">
        <f>+Actuals!W135</f>
        <v>0</v>
      </c>
      <c r="AA28" s="130">
        <f>+Actuals!X135</f>
        <v>0</v>
      </c>
      <c r="AB28" s="129">
        <f>+Actuals!Y95</f>
        <v>0</v>
      </c>
      <c r="AC28" s="130">
        <f>+Actuals!Z95</f>
        <v>0</v>
      </c>
      <c r="AD28" s="129">
        <f>+Actuals!AA95</f>
        <v>0</v>
      </c>
      <c r="AE28" s="130">
        <f>+Actuals!AB95</f>
        <v>0</v>
      </c>
      <c r="AF28" s="129">
        <f>+Actuals!AC95</f>
        <v>0</v>
      </c>
      <c r="AG28" s="130">
        <f>+Actuals!AD95</f>
        <v>0</v>
      </c>
    </row>
    <row r="29" spans="1:33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6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129"/>
      <c r="I31" s="130"/>
      <c r="J31" s="129"/>
      <c r="K31" s="145"/>
      <c r="L31" s="129"/>
      <c r="M31" s="130"/>
      <c r="N31" s="129"/>
      <c r="O31" s="130"/>
      <c r="P31" s="60"/>
      <c r="Q31" s="38"/>
      <c r="R31" s="129"/>
      <c r="S31" s="130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'TIE-OUT'!AD32+RECLASS!AB32</f>
        <v>0</v>
      </c>
      <c r="G32" s="68">
        <f>'TIE-OUT'!AE32+RECLASS!AC32</f>
        <v>0</v>
      </c>
      <c r="H32" s="129">
        <v>339406</v>
      </c>
      <c r="I32" s="130">
        <v>983599</v>
      </c>
      <c r="J32" s="129">
        <v>-339406</v>
      </c>
      <c r="K32" s="145">
        <v>-983599</v>
      </c>
      <c r="L32" s="129">
        <v>0</v>
      </c>
      <c r="M32" s="130">
        <v>0</v>
      </c>
      <c r="N32" s="129">
        <f>+Actuals!K96</f>
        <v>0</v>
      </c>
      <c r="O32" s="130">
        <f>+Actuals!L96</f>
        <v>0</v>
      </c>
      <c r="P32" s="126">
        <f>+Actuals!M136</f>
        <v>0</v>
      </c>
      <c r="Q32" s="127">
        <f>+Actuals!N136</f>
        <v>0</v>
      </c>
      <c r="R32" s="129">
        <f>+Actuals!O136</f>
        <v>0</v>
      </c>
      <c r="S32" s="130">
        <f>+Actuals!P136</f>
        <v>0</v>
      </c>
      <c r="T32" s="129">
        <f>+Actuals!Q136</f>
        <v>0</v>
      </c>
      <c r="U32" s="130">
        <f>+Actuals!R136</f>
        <v>0</v>
      </c>
      <c r="V32" s="129">
        <f>+Actuals!S136</f>
        <v>0</v>
      </c>
      <c r="W32" s="130">
        <f>+Actuals!T136</f>
        <v>0</v>
      </c>
      <c r="X32" s="129">
        <f>+Actuals!U136</f>
        <v>0</v>
      </c>
      <c r="Y32" s="130">
        <f>+Actuals!V136</f>
        <v>0</v>
      </c>
      <c r="Z32" s="129">
        <f>+Actuals!W136</f>
        <v>0</v>
      </c>
      <c r="AA32" s="130">
        <f>+Actuals!X136</f>
        <v>0</v>
      </c>
      <c r="AB32" s="129">
        <f>+Actuals!Y96</f>
        <v>0</v>
      </c>
      <c r="AC32" s="130">
        <f>+Actuals!Z96</f>
        <v>0</v>
      </c>
      <c r="AD32" s="129">
        <f>+Actuals!AA96</f>
        <v>0</v>
      </c>
      <c r="AE32" s="130">
        <f>+Actuals!AB96</f>
        <v>0</v>
      </c>
      <c r="AF32" s="129">
        <f>+Actuals!AC96</f>
        <v>0</v>
      </c>
      <c r="AG32" s="130">
        <f>+Actuals!AD96</f>
        <v>0</v>
      </c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29">
        <f>+Actuals!E97</f>
        <v>0</v>
      </c>
      <c r="I33" s="130">
        <f>+Actuals!F97</f>
        <v>0</v>
      </c>
      <c r="J33" s="129">
        <f>+Actuals!G97</f>
        <v>0</v>
      </c>
      <c r="K33" s="145">
        <f>+Actuals!H97</f>
        <v>0</v>
      </c>
      <c r="L33" s="129">
        <f>+Actuals!I97</f>
        <v>0</v>
      </c>
      <c r="M33" s="130">
        <f>+Actuals!J97</f>
        <v>0</v>
      </c>
      <c r="N33" s="129">
        <f>+Actuals!K97</f>
        <v>0</v>
      </c>
      <c r="O33" s="130">
        <f>+Actuals!L97</f>
        <v>0</v>
      </c>
      <c r="P33" s="126">
        <f>+Actuals!M137</f>
        <v>0</v>
      </c>
      <c r="Q33" s="127">
        <f>+Actuals!N137</f>
        <v>0</v>
      </c>
      <c r="R33" s="129">
        <f>+Actuals!O137</f>
        <v>0</v>
      </c>
      <c r="S33" s="130">
        <f>+Actuals!P137</f>
        <v>0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+Actuals!U137</f>
        <v>0</v>
      </c>
      <c r="Y33" s="130">
        <f>+Actuals!V137</f>
        <v>0</v>
      </c>
      <c r="Z33" s="129">
        <f>+Actuals!W137</f>
        <v>0</v>
      </c>
      <c r="AA33" s="130">
        <f>+Actuals!X137</f>
        <v>0</v>
      </c>
      <c r="AB33" s="129">
        <f>+Actuals!Y97</f>
        <v>0</v>
      </c>
      <c r="AC33" s="130">
        <f>+Actuals!Z97</f>
        <v>0</v>
      </c>
      <c r="AD33" s="129">
        <f>+Actuals!AA97</f>
        <v>0</v>
      </c>
      <c r="AE33" s="130">
        <f>+Actuals!AB97</f>
        <v>0</v>
      </c>
      <c r="AF33" s="129">
        <f>+Actuals!AC97</f>
        <v>0</v>
      </c>
      <c r="AG33" s="130">
        <f>+Actuals!AD97</f>
        <v>0</v>
      </c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29">
        <f>+Actuals!E98</f>
        <v>0</v>
      </c>
      <c r="I34" s="130">
        <f>+Actuals!F98</f>
        <v>0</v>
      </c>
      <c r="J34" s="129">
        <v>0</v>
      </c>
      <c r="K34" s="145">
        <v>0</v>
      </c>
      <c r="L34" s="129">
        <f>+Actuals!I98</f>
        <v>0</v>
      </c>
      <c r="M34" s="130">
        <f>+Actuals!J98</f>
        <v>0</v>
      </c>
      <c r="N34" s="129">
        <f>+Actuals!K98</f>
        <v>0</v>
      </c>
      <c r="O34" s="130">
        <f>+Actuals!L98</f>
        <v>0</v>
      </c>
      <c r="P34" s="126">
        <f>+Actuals!M138</f>
        <v>0</v>
      </c>
      <c r="Q34" s="127">
        <f>+Actuals!N138</f>
        <v>0</v>
      </c>
      <c r="R34" s="129">
        <f>+Actuals!O138</f>
        <v>0</v>
      </c>
      <c r="S34" s="130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0</v>
      </c>
      <c r="W34" s="130">
        <f>+Actuals!T138</f>
        <v>0</v>
      </c>
      <c r="X34" s="129">
        <f>+Actuals!U138</f>
        <v>0</v>
      </c>
      <c r="Y34" s="130">
        <f>+Actuals!V138</f>
        <v>0</v>
      </c>
      <c r="Z34" s="129">
        <f>+Actuals!W138</f>
        <v>0</v>
      </c>
      <c r="AA34" s="130">
        <f>+Actuals!X138</f>
        <v>0</v>
      </c>
      <c r="AB34" s="129">
        <f>+Actuals!Y98</f>
        <v>0</v>
      </c>
      <c r="AC34" s="130">
        <f>+Actuals!Z98</f>
        <v>0</v>
      </c>
      <c r="AD34" s="129">
        <f>+Actuals!AA98</f>
        <v>0</v>
      </c>
      <c r="AE34" s="130">
        <f>+Actuals!AB98</f>
        <v>0</v>
      </c>
      <c r="AF34" s="129">
        <f>+Actuals!AC98</f>
        <v>0</v>
      </c>
      <c r="AG34" s="130">
        <f>+Actuals!AD98</f>
        <v>0</v>
      </c>
    </row>
    <row r="35" spans="1:33" x14ac:dyDescent="0.25">
      <c r="A35" s="9">
        <v>16</v>
      </c>
      <c r="B35" s="7"/>
      <c r="C35" s="18" t="s">
        <v>42</v>
      </c>
      <c r="D35" s="60">
        <f t="shared" si="8"/>
        <v>20000</v>
      </c>
      <c r="E35" s="38">
        <f t="shared" si="8"/>
        <v>0</v>
      </c>
      <c r="F35" s="81">
        <f>'TIE-OUT'!AD35+RECLASS!AB35</f>
        <v>0</v>
      </c>
      <c r="G35" s="82">
        <f>'TIE-OUT'!AE35+RECLASS!AC35</f>
        <v>0</v>
      </c>
      <c r="H35" s="129">
        <f>+Actuals!E99</f>
        <v>0</v>
      </c>
      <c r="I35" s="130">
        <f>+Actuals!F99</f>
        <v>0</v>
      </c>
      <c r="J35" s="129">
        <f>+Actuals!G99</f>
        <v>0</v>
      </c>
      <c r="K35" s="145">
        <f>+Actuals!H99</f>
        <v>0</v>
      </c>
      <c r="L35" s="129">
        <f>+Actuals!I99</f>
        <v>0</v>
      </c>
      <c r="M35" s="130">
        <f>+Actuals!J99</f>
        <v>0</v>
      </c>
      <c r="N35" s="129">
        <f>+Actuals!K99</f>
        <v>0</v>
      </c>
      <c r="O35" s="130">
        <f>+Actuals!L99</f>
        <v>0</v>
      </c>
      <c r="P35" s="126">
        <f>+Actuals!M139</f>
        <v>0</v>
      </c>
      <c r="Q35" s="127">
        <f>+Actuals!N139</f>
        <v>0</v>
      </c>
      <c r="R35" s="129">
        <f>+Actuals!O139</f>
        <v>0</v>
      </c>
      <c r="S35" s="130">
        <f>+Actuals!P139</f>
        <v>0</v>
      </c>
      <c r="T35" s="129">
        <f>+Actuals!Q139</f>
        <v>20000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+Actuals!U139</f>
        <v>0</v>
      </c>
      <c r="Y35" s="130">
        <f>+Actuals!V139</f>
        <v>0</v>
      </c>
      <c r="Z35" s="129">
        <f>+Actuals!W139</f>
        <v>0</v>
      </c>
      <c r="AA35" s="130">
        <f>+Actuals!X139</f>
        <v>0</v>
      </c>
      <c r="AB35" s="129">
        <f>+Actuals!Y99</f>
        <v>0</v>
      </c>
      <c r="AC35" s="130">
        <f>+Actuals!Z99</f>
        <v>0</v>
      </c>
      <c r="AD35" s="129">
        <f>+Actuals!AA99</f>
        <v>0</v>
      </c>
      <c r="AE35" s="130">
        <f>+Actuals!AB99</f>
        <v>0</v>
      </c>
      <c r="AF35" s="129">
        <f>+Actuals!AC99</f>
        <v>0</v>
      </c>
      <c r="AG35" s="130">
        <f>+Actuals!AD99</f>
        <v>0</v>
      </c>
    </row>
    <row r="36" spans="1:33" x14ac:dyDescent="0.25">
      <c r="A36" s="9"/>
      <c r="B36" s="7" t="s">
        <v>43</v>
      </c>
      <c r="C36" s="6"/>
      <c r="D36" s="61">
        <f t="shared" ref="D36:AE36" si="9">SUM(D32:D35)</f>
        <v>20000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339406</v>
      </c>
      <c r="I36" s="39">
        <f t="shared" si="9"/>
        <v>983599</v>
      </c>
      <c r="J36" s="61">
        <f t="shared" si="9"/>
        <v>-339406</v>
      </c>
      <c r="K36" s="146">
        <f t="shared" si="9"/>
        <v>-983599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20000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2171212</v>
      </c>
      <c r="E39" s="38">
        <f t="shared" si="11"/>
        <v>6967631.7200000007</v>
      </c>
      <c r="F39" s="64">
        <f>'TIE-OUT'!AD39+RECLASS!AB39</f>
        <v>0</v>
      </c>
      <c r="G39" s="68">
        <f>'TIE-OUT'!AE39+RECLASS!AC39</f>
        <v>0</v>
      </c>
      <c r="H39" s="129">
        <v>2149450</v>
      </c>
      <c r="I39" s="130">
        <v>6897800</v>
      </c>
      <c r="J39" s="129">
        <v>-552262</v>
      </c>
      <c r="K39" s="145">
        <v>-1772264</v>
      </c>
      <c r="L39" s="129">
        <v>119938</v>
      </c>
      <c r="M39" s="130">
        <v>384893</v>
      </c>
      <c r="N39" s="129">
        <v>-38766</v>
      </c>
      <c r="O39" s="130">
        <v>-124404</v>
      </c>
      <c r="P39" s="126">
        <f>+Actuals!M140</f>
        <v>65423</v>
      </c>
      <c r="Q39" s="127">
        <f>+Actuals!N140</f>
        <v>209948.95</v>
      </c>
      <c r="R39" s="129">
        <f>+Actuals!O140</f>
        <v>-1545</v>
      </c>
      <c r="S39" s="130">
        <f>+Actuals!P140</f>
        <v>-4083.99</v>
      </c>
      <c r="T39" s="129">
        <f>+Actuals!Q140</f>
        <v>-2548</v>
      </c>
      <c r="U39" s="130">
        <f>+Actuals!R140</f>
        <v>-8176.53</v>
      </c>
      <c r="V39" s="129">
        <f>+Actuals!S140</f>
        <v>-203</v>
      </c>
      <c r="W39" s="130">
        <f>+Actuals!T140</f>
        <v>-652.30999999999995</v>
      </c>
      <c r="X39" s="129">
        <f>+Actuals!U140</f>
        <v>431725</v>
      </c>
      <c r="Y39" s="130">
        <f>+Actuals!V140</f>
        <v>1384570.6</v>
      </c>
      <c r="Z39" s="129">
        <f>+Actuals!W140</f>
        <v>0</v>
      </c>
      <c r="AA39" s="130">
        <f>+Actuals!X140</f>
        <v>0</v>
      </c>
      <c r="AB39" s="129">
        <f>+Actuals!Y100</f>
        <v>0</v>
      </c>
      <c r="AC39" s="130">
        <f>+Actuals!Z100</f>
        <v>0</v>
      </c>
      <c r="AD39" s="129">
        <f>+Actuals!AA100</f>
        <v>0</v>
      </c>
      <c r="AE39" s="130">
        <f>+Actuals!AB100</f>
        <v>0</v>
      </c>
      <c r="AF39" s="129">
        <f>+Actuals!AC100</f>
        <v>0</v>
      </c>
      <c r="AG39" s="130">
        <f>+Actuals!AD100</f>
        <v>0</v>
      </c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'TIE-OUT'!AD40+RECLASS!AB40</f>
        <v>0</v>
      </c>
      <c r="G40" s="38">
        <f>'TIE-OUT'!AE40+RECLASS!AC40</f>
        <v>0</v>
      </c>
      <c r="H40" s="129">
        <f>+Actuals!E101</f>
        <v>0</v>
      </c>
      <c r="I40" s="130">
        <f>+Actuals!F101</f>
        <v>0</v>
      </c>
      <c r="J40" s="129">
        <f>+Actuals!G101</f>
        <v>0</v>
      </c>
      <c r="K40" s="145">
        <f>+Actuals!H101</f>
        <v>0</v>
      </c>
      <c r="L40" s="129">
        <f>+Actuals!I101</f>
        <v>0</v>
      </c>
      <c r="M40" s="130">
        <f>+Actuals!J101</f>
        <v>0</v>
      </c>
      <c r="N40" s="129">
        <f>+Actuals!K101</f>
        <v>0</v>
      </c>
      <c r="O40" s="130">
        <f>+Actuals!L101</f>
        <v>0</v>
      </c>
      <c r="P40" s="126">
        <f>+Actuals!M141</f>
        <v>0</v>
      </c>
      <c r="Q40" s="127">
        <f>+Actuals!N141</f>
        <v>0</v>
      </c>
      <c r="R40" s="129">
        <f>+Actuals!O141</f>
        <v>0</v>
      </c>
      <c r="S40" s="130">
        <f>+Actuals!P141</f>
        <v>0</v>
      </c>
      <c r="T40" s="129">
        <f>+Actuals!Q141</f>
        <v>0</v>
      </c>
      <c r="U40" s="130">
        <f>+Actuals!R141</f>
        <v>0</v>
      </c>
      <c r="V40" s="129">
        <f>+Actuals!S141</f>
        <v>0</v>
      </c>
      <c r="W40" s="130">
        <f>+Actuals!T141</f>
        <v>0</v>
      </c>
      <c r="X40" s="129">
        <f>+Actuals!U141</f>
        <v>0</v>
      </c>
      <c r="Y40" s="130">
        <f>+Actuals!V141</f>
        <v>0</v>
      </c>
      <c r="Z40" s="129">
        <f>+Actuals!W141</f>
        <v>0</v>
      </c>
      <c r="AA40" s="130">
        <f>+Actuals!X141</f>
        <v>0</v>
      </c>
      <c r="AB40" s="129">
        <f>+Actuals!Y101</f>
        <v>0</v>
      </c>
      <c r="AC40" s="130">
        <f>+Actuals!Z101</f>
        <v>0</v>
      </c>
      <c r="AD40" s="129">
        <f>+Actuals!AA101</f>
        <v>0</v>
      </c>
      <c r="AE40" s="130">
        <f>+Actuals!AB101</f>
        <v>0</v>
      </c>
      <c r="AF40" s="129">
        <f>+Actuals!AC101</f>
        <v>0</v>
      </c>
      <c r="AG40" s="130">
        <f>+Actuals!AD101</f>
        <v>0</v>
      </c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29">
        <f>+Actuals!E102</f>
        <v>0</v>
      </c>
      <c r="I41" s="130">
        <f>+Actuals!F102</f>
        <v>0</v>
      </c>
      <c r="J41" s="129">
        <f>+Actuals!G102</f>
        <v>0</v>
      </c>
      <c r="K41" s="145">
        <f>+Actuals!H102</f>
        <v>0</v>
      </c>
      <c r="L41" s="129">
        <f>+Actuals!I102</f>
        <v>0</v>
      </c>
      <c r="M41" s="130">
        <f>+Actuals!J102</f>
        <v>0</v>
      </c>
      <c r="N41" s="129">
        <f>+Actuals!K102</f>
        <v>0</v>
      </c>
      <c r="O41" s="130">
        <f>+Actuals!L102</f>
        <v>0</v>
      </c>
      <c r="P41" s="126">
        <f>+Actuals!M142</f>
        <v>0</v>
      </c>
      <c r="Q41" s="127">
        <f>+Actuals!N142</f>
        <v>0</v>
      </c>
      <c r="R41" s="129">
        <f>+Actuals!O142</f>
        <v>0</v>
      </c>
      <c r="S41" s="130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+Actuals!U142</f>
        <v>0</v>
      </c>
      <c r="Y41" s="130">
        <f>+Actuals!V142</f>
        <v>0</v>
      </c>
      <c r="Z41" s="129">
        <f>+Actuals!W142</f>
        <v>0</v>
      </c>
      <c r="AA41" s="130">
        <f>+Actuals!X142</f>
        <v>0</v>
      </c>
      <c r="AB41" s="129">
        <f>+Actuals!Y102</f>
        <v>0</v>
      </c>
      <c r="AC41" s="130">
        <f>+Actuals!Z102</f>
        <v>0</v>
      </c>
      <c r="AD41" s="129">
        <f>+Actuals!AA102</f>
        <v>0</v>
      </c>
      <c r="AE41" s="130">
        <f>+Actuals!AB102</f>
        <v>0</v>
      </c>
      <c r="AF41" s="129">
        <f>+Actuals!AC102</f>
        <v>0</v>
      </c>
      <c r="AG41" s="130">
        <f>+Actuals!AD102</f>
        <v>0</v>
      </c>
    </row>
    <row r="42" spans="1:33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 t="shared" ref="D43:AE43" si="14">D42+D39</f>
        <v>2171212</v>
      </c>
      <c r="E43" s="39">
        <f t="shared" si="14"/>
        <v>6967631.7200000007</v>
      </c>
      <c r="F43" s="61">
        <f t="shared" si="14"/>
        <v>0</v>
      </c>
      <c r="G43" s="39">
        <f t="shared" si="14"/>
        <v>0</v>
      </c>
      <c r="H43" s="61">
        <f t="shared" si="14"/>
        <v>2149450</v>
      </c>
      <c r="I43" s="39">
        <f t="shared" si="14"/>
        <v>6897800</v>
      </c>
      <c r="J43" s="61">
        <f t="shared" si="14"/>
        <v>-552262</v>
      </c>
      <c r="K43" s="146">
        <f t="shared" si="14"/>
        <v>-1772264</v>
      </c>
      <c r="L43" s="61">
        <f t="shared" si="14"/>
        <v>119938</v>
      </c>
      <c r="M43" s="39">
        <f t="shared" si="14"/>
        <v>384893</v>
      </c>
      <c r="N43" s="61">
        <f t="shared" si="14"/>
        <v>-38766</v>
      </c>
      <c r="O43" s="39">
        <f t="shared" si="14"/>
        <v>-124404</v>
      </c>
      <c r="P43" s="61">
        <f t="shared" si="14"/>
        <v>65423</v>
      </c>
      <c r="Q43" s="39">
        <f t="shared" si="14"/>
        <v>209948.95</v>
      </c>
      <c r="R43" s="61">
        <f t="shared" ref="R43:W43" si="15">R42+R39</f>
        <v>-1545</v>
      </c>
      <c r="S43" s="39">
        <f t="shared" si="15"/>
        <v>-4083.99</v>
      </c>
      <c r="T43" s="61">
        <f t="shared" si="15"/>
        <v>-2548</v>
      </c>
      <c r="U43" s="39">
        <f t="shared" si="15"/>
        <v>-8176.53</v>
      </c>
      <c r="V43" s="61">
        <f t="shared" si="15"/>
        <v>-203</v>
      </c>
      <c r="W43" s="39">
        <f t="shared" si="15"/>
        <v>-652.30999999999995</v>
      </c>
      <c r="X43" s="61">
        <f>X42+X39</f>
        <v>431725</v>
      </c>
      <c r="Y43" s="39">
        <f>Y42+Y39</f>
        <v>1384570.6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'TIE-OUT'!AD45+RECLASS!AB45</f>
        <v>0</v>
      </c>
      <c r="G45" s="68">
        <f>'TIE-OUT'!AE45+RECLASS!AC45</f>
        <v>0</v>
      </c>
      <c r="H45" s="129">
        <f>+Actuals!E103</f>
        <v>0</v>
      </c>
      <c r="I45" s="130">
        <f>+Actuals!F103</f>
        <v>0</v>
      </c>
      <c r="J45" s="129">
        <f>+Actuals!G103</f>
        <v>0</v>
      </c>
      <c r="K45" s="145">
        <f>+Actuals!H103</f>
        <v>0</v>
      </c>
      <c r="L45" s="129">
        <f>+Actuals!I103</f>
        <v>0</v>
      </c>
      <c r="M45" s="130">
        <f>+Actuals!J103</f>
        <v>0</v>
      </c>
      <c r="N45" s="129">
        <f>+Actuals!K103</f>
        <v>0</v>
      </c>
      <c r="O45" s="130">
        <f>+Actuals!L103</f>
        <v>0</v>
      </c>
      <c r="P45" s="126">
        <f>+Actuals!M143</f>
        <v>0</v>
      </c>
      <c r="Q45" s="127">
        <f>+Actuals!N143</f>
        <v>0</v>
      </c>
      <c r="R45" s="129">
        <f>+Actuals!O143</f>
        <v>0</v>
      </c>
      <c r="S45" s="130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+Actuals!U143</f>
        <v>0</v>
      </c>
      <c r="Y45" s="130">
        <f>+Actuals!V143</f>
        <v>0</v>
      </c>
      <c r="Z45" s="129">
        <f>+Actuals!W143</f>
        <v>0</v>
      </c>
      <c r="AA45" s="130">
        <f>+Actuals!X143</f>
        <v>0</v>
      </c>
      <c r="AB45" s="129">
        <f>+Actuals!Y103</f>
        <v>0</v>
      </c>
      <c r="AC45" s="130">
        <f>+Actuals!Z103</f>
        <v>0</v>
      </c>
      <c r="AD45" s="129">
        <f>+Actuals!AA103</f>
        <v>0</v>
      </c>
      <c r="AE45" s="130">
        <f>+Actuals!AB103</f>
        <v>0</v>
      </c>
      <c r="AF45" s="129">
        <f>+Actuals!AC103</f>
        <v>0</v>
      </c>
      <c r="AG45" s="130">
        <f>+Actuals!AD103</f>
        <v>0</v>
      </c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'TIE-OUT'!AD47+RECLASS!AB47</f>
        <v>0</v>
      </c>
      <c r="G47" s="38">
        <f>'TIE-OUT'!AE47+RECLASS!AC47</f>
        <v>0</v>
      </c>
      <c r="H47" s="129">
        <f>+Actuals!E104</f>
        <v>0</v>
      </c>
      <c r="I47" s="130">
        <f>+Actuals!F104</f>
        <v>0</v>
      </c>
      <c r="J47" s="129">
        <f>+Actuals!G104</f>
        <v>0</v>
      </c>
      <c r="K47" s="145">
        <f>+Actuals!H104</f>
        <v>0</v>
      </c>
      <c r="L47" s="129">
        <f>+Actuals!I104</f>
        <v>0</v>
      </c>
      <c r="M47" s="130">
        <f>+Actuals!J104</f>
        <v>0</v>
      </c>
      <c r="N47" s="129">
        <f>+Actuals!K104</f>
        <v>0</v>
      </c>
      <c r="O47" s="130">
        <f>+Actuals!L104</f>
        <v>0</v>
      </c>
      <c r="P47" s="126">
        <f>+Actuals!M144</f>
        <v>0</v>
      </c>
      <c r="Q47" s="127">
        <f>+Actuals!N144</f>
        <v>0</v>
      </c>
      <c r="R47" s="129">
        <f>+Actuals!O144</f>
        <v>0</v>
      </c>
      <c r="S47" s="130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+Actuals!U144</f>
        <v>0</v>
      </c>
      <c r="Y47" s="130">
        <f>+Actuals!V144</f>
        <v>0</v>
      </c>
      <c r="Z47" s="129">
        <f>+Actuals!W144</f>
        <v>0</v>
      </c>
      <c r="AA47" s="130">
        <f>+Actuals!X144</f>
        <v>0</v>
      </c>
      <c r="AB47" s="129">
        <f>+Actuals!Y104</f>
        <v>0</v>
      </c>
      <c r="AC47" s="130">
        <f>+Actuals!Z104</f>
        <v>0</v>
      </c>
      <c r="AD47" s="129">
        <f>+Actuals!AA104</f>
        <v>0</v>
      </c>
      <c r="AE47" s="130">
        <f>+Actuals!AB104</f>
        <v>0</v>
      </c>
      <c r="AF47" s="129">
        <f>+Actuals!AC104</f>
        <v>0</v>
      </c>
      <c r="AG47" s="130">
        <f>+Actuals!AD104</f>
        <v>0</v>
      </c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-9569</v>
      </c>
      <c r="E49" s="38">
        <f>SUM(G49,I49,K49,M49,O49,Q49,S49,U49,W49,Y49,AA49,AC49,AE49,AG49)</f>
        <v>-27731.032000000123</v>
      </c>
      <c r="F49" s="60">
        <f>'TIE-OUT'!AD49+RECLASS!AB49</f>
        <v>0</v>
      </c>
      <c r="G49" s="38">
        <f>'TIE-OUT'!AE49+RECLASS!AC49</f>
        <v>0</v>
      </c>
      <c r="H49" s="129">
        <f>+Actuals!E105</f>
        <v>0</v>
      </c>
      <c r="I49" s="130">
        <f>+Actuals!F105</f>
        <v>0</v>
      </c>
      <c r="J49" s="129">
        <v>937210</v>
      </c>
      <c r="K49" s="145">
        <v>2716035</v>
      </c>
      <c r="L49" s="129">
        <v>3233340</v>
      </c>
      <c r="M49" s="130">
        <v>9370219</v>
      </c>
      <c r="N49" s="129">
        <v>-2370835</v>
      </c>
      <c r="O49" s="130">
        <v>-6870680</v>
      </c>
      <c r="P49" s="126">
        <f>+Actuals!M145</f>
        <v>5697456</v>
      </c>
      <c r="Q49" s="127">
        <f>+Actuals!N145</f>
        <v>16511227.488</v>
      </c>
      <c r="R49" s="129">
        <f>+Actuals!O145</f>
        <v>-351210</v>
      </c>
      <c r="S49" s="130">
        <f>+Actuals!P145</f>
        <v>-1017806.58</v>
      </c>
      <c r="T49" s="129">
        <f>+Actuals!Q145</f>
        <v>-5780331</v>
      </c>
      <c r="U49" s="130">
        <f>+Actuals!R145</f>
        <v>-16751399.238</v>
      </c>
      <c r="V49" s="129">
        <f>+Actuals!S145</f>
        <v>203</v>
      </c>
      <c r="W49" s="130">
        <f>+Actuals!T145</f>
        <v>588.29399999999998</v>
      </c>
      <c r="X49" s="129">
        <f>+Actuals!U145</f>
        <v>-431725</v>
      </c>
      <c r="Y49" s="130">
        <f>+Actuals!V145</f>
        <v>-1251139.05</v>
      </c>
      <c r="Z49" s="129">
        <f>+Actuals!W145</f>
        <v>-943677</v>
      </c>
      <c r="AA49" s="130">
        <f>+Actuals!X145</f>
        <v>-2734775.946</v>
      </c>
      <c r="AB49" s="129">
        <f>+Actuals!Y105</f>
        <v>0</v>
      </c>
      <c r="AC49" s="130">
        <f>+Actuals!Z105</f>
        <v>0</v>
      </c>
      <c r="AD49" s="129">
        <f>+Actuals!AA105</f>
        <v>0</v>
      </c>
      <c r="AE49" s="130">
        <f>+Actuals!AB105</f>
        <v>0</v>
      </c>
      <c r="AF49" s="129">
        <f>+Actuals!AC105</f>
        <v>0</v>
      </c>
      <c r="AG49" s="130">
        <f>+Actuals!AD105</f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'TIE-OUT'!AD51+RECLASS!AB51</f>
        <v>0</v>
      </c>
      <c r="G51" s="38">
        <f>'TIE-OUT'!AE51+RECLASS!AC51</f>
        <v>0</v>
      </c>
      <c r="H51" s="129">
        <v>0</v>
      </c>
      <c r="I51" s="130">
        <v>0</v>
      </c>
      <c r="J51" s="129">
        <v>0</v>
      </c>
      <c r="K51" s="145">
        <v>0</v>
      </c>
      <c r="L51" s="129">
        <f>+Actuals!I106</f>
        <v>0</v>
      </c>
      <c r="M51" s="130">
        <f>+Actuals!J106</f>
        <v>0</v>
      </c>
      <c r="N51" s="129">
        <f>+Actuals!K106</f>
        <v>0</v>
      </c>
      <c r="O51" s="130">
        <f>+Actuals!L106</f>
        <v>0</v>
      </c>
      <c r="P51" s="126">
        <f>+Actuals!M146</f>
        <v>0</v>
      </c>
      <c r="Q51" s="127">
        <f>+Actuals!N146</f>
        <v>0</v>
      </c>
      <c r="R51" s="129">
        <f>+Actuals!O146</f>
        <v>0</v>
      </c>
      <c r="S51" s="130">
        <f>+Actuals!P146</f>
        <v>0</v>
      </c>
      <c r="T51" s="129">
        <f>+Actuals!Q146</f>
        <v>0</v>
      </c>
      <c r="U51" s="130">
        <f>+Actuals!R146</f>
        <v>0</v>
      </c>
      <c r="V51" s="129">
        <f>+Actuals!S146</f>
        <v>0</v>
      </c>
      <c r="W51" s="130">
        <f>+Actuals!T146</f>
        <v>0</v>
      </c>
      <c r="X51" s="129">
        <f>+Actuals!U146</f>
        <v>0</v>
      </c>
      <c r="Y51" s="130">
        <f>+Actuals!V146</f>
        <v>0</v>
      </c>
      <c r="Z51" s="129">
        <f>+Actuals!W146</f>
        <v>0</v>
      </c>
      <c r="AA51" s="130">
        <f>+Actuals!X146</f>
        <v>0</v>
      </c>
      <c r="AB51" s="129">
        <f>+Actuals!Y106</f>
        <v>0</v>
      </c>
      <c r="AC51" s="130">
        <f>+Actuals!Z106</f>
        <v>0</v>
      </c>
      <c r="AD51" s="129">
        <f>+Actuals!AA106</f>
        <v>0</v>
      </c>
      <c r="AE51" s="130">
        <f>+Actuals!AB106</f>
        <v>0</v>
      </c>
      <c r="AF51" s="129">
        <f>+Actuals!AC106</f>
        <v>0</v>
      </c>
      <c r="AG51" s="130">
        <f>+Actuals!AD106</f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-14807944</v>
      </c>
      <c r="E54" s="38">
        <f>SUM(G54,I54,K54,M54,O54,Q54,S54,U54,W54,Y54,AA54,AC54,AE54,AG54)</f>
        <v>-3037763.5300000003</v>
      </c>
      <c r="F54" s="64">
        <f>'TIE-OUT'!AD54+RECLASS!AB54</f>
        <v>0</v>
      </c>
      <c r="G54" s="68">
        <f>'TIE-OUT'!AE54+RECLASS!AC54</f>
        <v>-4127</v>
      </c>
      <c r="H54" s="129">
        <f>-12634337-2820045</f>
        <v>-15454382</v>
      </c>
      <c r="I54" s="130">
        <f>-222508-100363-2914949</f>
        <v>-3237820</v>
      </c>
      <c r="J54" s="129">
        <f>85481-1237511</f>
        <v>-1152030</v>
      </c>
      <c r="K54" s="145">
        <f>23026-19430+112998</f>
        <v>116594</v>
      </c>
      <c r="L54" s="129">
        <f>248+1197198</f>
        <v>1197446</v>
      </c>
      <c r="M54" s="130">
        <f>-45+49205</f>
        <v>49160</v>
      </c>
      <c r="N54" s="129">
        <f>-2694+598599</f>
        <v>595905</v>
      </c>
      <c r="O54" s="130">
        <f>28793+6286-3344</f>
        <v>31735</v>
      </c>
      <c r="P54" s="126">
        <f>+Actuals!M147</f>
        <v>-442166</v>
      </c>
      <c r="Q54" s="127">
        <f>+Actuals!N147</f>
        <v>-3123.25</v>
      </c>
      <c r="R54" s="129">
        <f>+Actuals!O147</f>
        <v>0</v>
      </c>
      <c r="S54" s="130">
        <f>+Actuals!P147</f>
        <v>18.649999999999999</v>
      </c>
      <c r="T54" s="129">
        <f>+Actuals!Q147</f>
        <v>-1386</v>
      </c>
      <c r="U54" s="130">
        <f>+Actuals!R147</f>
        <v>57.48</v>
      </c>
      <c r="V54" s="129">
        <f>+Actuals!S147</f>
        <v>0</v>
      </c>
      <c r="W54" s="130">
        <f>+Actuals!T147</f>
        <v>0</v>
      </c>
      <c r="X54" s="129">
        <f>+Actuals!U147</f>
        <v>448669</v>
      </c>
      <c r="Y54" s="130">
        <f>+Actuals!V147</f>
        <v>9741.59</v>
      </c>
      <c r="Z54" s="129">
        <f>+Actuals!W147</f>
        <v>0</v>
      </c>
      <c r="AA54" s="130">
        <f>+Actuals!X147</f>
        <v>0</v>
      </c>
      <c r="AB54" s="129">
        <f>+Actuals!Y107</f>
        <v>0</v>
      </c>
      <c r="AC54" s="130">
        <f>+Actuals!Z107</f>
        <v>0</v>
      </c>
      <c r="AD54" s="129">
        <f>+Actuals!AA107</f>
        <v>0</v>
      </c>
      <c r="AE54" s="130">
        <f>+Actuals!AB107</f>
        <v>0</v>
      </c>
      <c r="AF54" s="129">
        <f>+Actuals!AC107</f>
        <v>0</v>
      </c>
      <c r="AG54" s="130">
        <f>+Actuals!AD107</f>
        <v>0</v>
      </c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-7431241.6299999999</v>
      </c>
      <c r="F55" s="81">
        <f>'TIE-OUT'!AD55+RECLASS!AB55</f>
        <v>0</v>
      </c>
      <c r="G55" s="82">
        <f>'TIE-OUT'!AE55+RECLASS!AC55</f>
        <v>222844</v>
      </c>
      <c r="H55" s="129">
        <v>0</v>
      </c>
      <c r="I55" s="130">
        <v>-6063304</v>
      </c>
      <c r="J55" s="129">
        <f>+Actuals!G108</f>
        <v>0</v>
      </c>
      <c r="K55" s="145">
        <v>-1619061</v>
      </c>
      <c r="L55" s="129">
        <f>+Actuals!I108</f>
        <v>0</v>
      </c>
      <c r="M55" s="130">
        <f>-558093+57512</f>
        <v>-500581</v>
      </c>
      <c r="N55" s="129">
        <f>+Actuals!K108</f>
        <v>0</v>
      </c>
      <c r="O55" s="130">
        <f>845868-29233</f>
        <v>816635</v>
      </c>
      <c r="P55" s="126">
        <f>+Actuals!M148</f>
        <v>0</v>
      </c>
      <c r="Q55" s="127">
        <f>+Actuals!N148</f>
        <v>-287774.63</v>
      </c>
      <c r="R55" s="129">
        <f>+Actuals!O148</f>
        <v>0</v>
      </c>
      <c r="S55" s="130">
        <f>+Actuals!P148</f>
        <v>0</v>
      </c>
      <c r="T55" s="129">
        <f>+Actuals!Q148</f>
        <v>0</v>
      </c>
      <c r="U55" s="130">
        <f>+Actuals!R148</f>
        <v>0</v>
      </c>
      <c r="V55" s="129">
        <f>+Actuals!S148</f>
        <v>0</v>
      </c>
      <c r="W55" s="130">
        <f>+Actuals!T148</f>
        <v>0</v>
      </c>
      <c r="X55" s="129">
        <f>+Actuals!U148</f>
        <v>0</v>
      </c>
      <c r="Y55" s="130">
        <f>+Actuals!V148</f>
        <v>0</v>
      </c>
      <c r="Z55" s="129">
        <f>+Actuals!W148</f>
        <v>0</v>
      </c>
      <c r="AA55" s="130">
        <f>+Actuals!X148</f>
        <v>0</v>
      </c>
      <c r="AB55" s="129">
        <f>+Actuals!Y108</f>
        <v>0</v>
      </c>
      <c r="AC55" s="130">
        <f>+Actuals!Z108</f>
        <v>0</v>
      </c>
      <c r="AD55" s="129">
        <f>+Actuals!AA108</f>
        <v>0</v>
      </c>
      <c r="AE55" s="130">
        <f>+Actuals!AB108</f>
        <v>0</v>
      </c>
      <c r="AF55" s="129">
        <f>+Actuals!AC108</f>
        <v>0</v>
      </c>
      <c r="AG55" s="130">
        <f>+Actuals!AD108</f>
        <v>0</v>
      </c>
    </row>
    <row r="56" spans="1:33" x14ac:dyDescent="0.25">
      <c r="A56" s="9"/>
      <c r="B56" s="7" t="s">
        <v>57</v>
      </c>
      <c r="C56" s="6"/>
      <c r="D56" s="61">
        <f t="shared" ref="D56:AE56" si="16">SUM(D54:D55)</f>
        <v>-14807944</v>
      </c>
      <c r="E56" s="39">
        <f t="shared" si="16"/>
        <v>-10469005.16</v>
      </c>
      <c r="F56" s="61">
        <f t="shared" si="16"/>
        <v>0</v>
      </c>
      <c r="G56" s="39">
        <f t="shared" si="16"/>
        <v>218717</v>
      </c>
      <c r="H56" s="61">
        <f t="shared" si="16"/>
        <v>-15454382</v>
      </c>
      <c r="I56" s="39">
        <f t="shared" si="16"/>
        <v>-9301124</v>
      </c>
      <c r="J56" s="61">
        <f t="shared" si="16"/>
        <v>-1152030</v>
      </c>
      <c r="K56" s="146">
        <f t="shared" si="16"/>
        <v>-1502467</v>
      </c>
      <c r="L56" s="61">
        <f t="shared" si="16"/>
        <v>1197446</v>
      </c>
      <c r="M56" s="39">
        <f t="shared" si="16"/>
        <v>-451421</v>
      </c>
      <c r="N56" s="61">
        <f t="shared" si="16"/>
        <v>595905</v>
      </c>
      <c r="O56" s="39">
        <f t="shared" si="16"/>
        <v>848370</v>
      </c>
      <c r="P56" s="61">
        <f t="shared" si="16"/>
        <v>-442166</v>
      </c>
      <c r="Q56" s="39">
        <f t="shared" si="16"/>
        <v>-290897.88</v>
      </c>
      <c r="R56" s="61">
        <f t="shared" ref="R56:W56" si="17">SUM(R54:R55)</f>
        <v>0</v>
      </c>
      <c r="S56" s="39">
        <f t="shared" si="17"/>
        <v>18.649999999999999</v>
      </c>
      <c r="T56" s="61">
        <f t="shared" si="17"/>
        <v>-1386</v>
      </c>
      <c r="U56" s="39">
        <f t="shared" si="17"/>
        <v>57.48</v>
      </c>
      <c r="V56" s="61">
        <f t="shared" si="17"/>
        <v>0</v>
      </c>
      <c r="W56" s="39">
        <f t="shared" si="17"/>
        <v>0</v>
      </c>
      <c r="X56" s="61">
        <f>SUM(X54:X55)</f>
        <v>448669</v>
      </c>
      <c r="Y56" s="39">
        <f>SUM(Y54:Y55)</f>
        <v>9741.59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'TIE-OUT'!AD59+RECLASS!AB59</f>
        <v>0</v>
      </c>
      <c r="G59" s="68">
        <f>'TIE-OUT'!AE59+RECLASS!AC59</f>
        <v>0</v>
      </c>
      <c r="H59" s="129">
        <f>+Actuals!E109</f>
        <v>0</v>
      </c>
      <c r="I59" s="130">
        <v>0</v>
      </c>
      <c r="J59" s="129">
        <f>+Actuals!G109</f>
        <v>0</v>
      </c>
      <c r="K59" s="145">
        <v>0</v>
      </c>
      <c r="L59" s="129">
        <f>+Actuals!I109</f>
        <v>0</v>
      </c>
      <c r="M59" s="130">
        <f>+Actuals!J109</f>
        <v>0</v>
      </c>
      <c r="N59" s="129">
        <f>+Actuals!K109</f>
        <v>0</v>
      </c>
      <c r="O59" s="130">
        <f>+Actuals!L109</f>
        <v>0</v>
      </c>
      <c r="P59" s="126">
        <f>+Actuals!M149</f>
        <v>0</v>
      </c>
      <c r="Q59" s="127">
        <f>+Actuals!N149</f>
        <v>0</v>
      </c>
      <c r="R59" s="129">
        <f>+Actuals!O149</f>
        <v>0</v>
      </c>
      <c r="S59" s="130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+Actuals!U149</f>
        <v>0</v>
      </c>
      <c r="Y59" s="130">
        <f>+Actuals!V149</f>
        <v>0</v>
      </c>
      <c r="Z59" s="129">
        <f>+Actuals!W149</f>
        <v>0</v>
      </c>
      <c r="AA59" s="130">
        <f>+Actuals!X149</f>
        <v>0</v>
      </c>
      <c r="AB59" s="129">
        <f>+Actuals!Y109</f>
        <v>0</v>
      </c>
      <c r="AC59" s="130">
        <f>+Actuals!Z109</f>
        <v>0</v>
      </c>
      <c r="AD59" s="129">
        <f>+Actuals!AA109</f>
        <v>0</v>
      </c>
      <c r="AE59" s="130">
        <f>+Actuals!AB109</f>
        <v>0</v>
      </c>
      <c r="AF59" s="129">
        <f>+Actuals!AC109</f>
        <v>0</v>
      </c>
      <c r="AG59" s="130">
        <f>+Actuals!AD109</f>
        <v>0</v>
      </c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'TIE-OUT'!AD60+RECLASS!AB60</f>
        <v>0</v>
      </c>
      <c r="G60" s="82">
        <f>'TIE-OUT'!AE60+RECLASS!AC60</f>
        <v>0</v>
      </c>
      <c r="H60" s="129">
        <f>+Actuals!E110</f>
        <v>0</v>
      </c>
      <c r="I60" s="130">
        <v>0</v>
      </c>
      <c r="J60" s="129">
        <f>+Actuals!G110</f>
        <v>0</v>
      </c>
      <c r="K60" s="145">
        <f>+Actuals!H110</f>
        <v>0</v>
      </c>
      <c r="L60" s="129">
        <f>+Actuals!I110</f>
        <v>0</v>
      </c>
      <c r="M60" s="130">
        <f>+Actuals!J110</f>
        <v>0</v>
      </c>
      <c r="N60" s="129">
        <f>+Actuals!K110</f>
        <v>0</v>
      </c>
      <c r="O60" s="130">
        <f>+Actuals!L110</f>
        <v>0</v>
      </c>
      <c r="P60" s="126">
        <f>+Actuals!M150</f>
        <v>0</v>
      </c>
      <c r="Q60" s="127">
        <f>+Actuals!N150</f>
        <v>0</v>
      </c>
      <c r="R60" s="129">
        <f>+Actuals!O150</f>
        <v>0</v>
      </c>
      <c r="S60" s="130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+Actuals!U150</f>
        <v>0</v>
      </c>
      <c r="Y60" s="130">
        <f>+Actuals!V150</f>
        <v>0</v>
      </c>
      <c r="Z60" s="129">
        <f>+Actuals!W150</f>
        <v>0</v>
      </c>
      <c r="AA60" s="130">
        <f>+Actuals!X150</f>
        <v>0</v>
      </c>
      <c r="AB60" s="129">
        <f>+Actuals!Y110</f>
        <v>0</v>
      </c>
      <c r="AC60" s="130">
        <f>+Actuals!Z110</f>
        <v>0</v>
      </c>
      <c r="AD60" s="129">
        <f>+Actuals!AA110</f>
        <v>0</v>
      </c>
      <c r="AE60" s="130">
        <f>+Actuals!AB110</f>
        <v>0</v>
      </c>
      <c r="AF60" s="129">
        <f>+Actuals!AC110</f>
        <v>0</v>
      </c>
      <c r="AG60" s="130">
        <f>+Actuals!AD110</f>
        <v>0</v>
      </c>
    </row>
    <row r="61" spans="1:33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'TIE-OUT'!AD64+RECLASS!AB64</f>
        <v>0</v>
      </c>
      <c r="G64" s="68">
        <f>'TIE-OUT'!AE64+RECLASS!AC64</f>
        <v>0</v>
      </c>
      <c r="H64" s="129">
        <f>+Actuals!E111</f>
        <v>0</v>
      </c>
      <c r="I64" s="130">
        <f>+Actuals!F111</f>
        <v>0</v>
      </c>
      <c r="J64" s="129">
        <f>+Actuals!G111</f>
        <v>0</v>
      </c>
      <c r="K64" s="145">
        <f>+Actuals!H111</f>
        <v>0</v>
      </c>
      <c r="L64" s="129">
        <f>+Actuals!I111</f>
        <v>0</v>
      </c>
      <c r="M64" s="130">
        <f>+Actuals!J111</f>
        <v>0</v>
      </c>
      <c r="N64" s="129">
        <f>+Actuals!K111</f>
        <v>0</v>
      </c>
      <c r="O64" s="130">
        <f>+Actuals!L111</f>
        <v>0</v>
      </c>
      <c r="P64" s="126">
        <f>+Actuals!M151</f>
        <v>0</v>
      </c>
      <c r="Q64" s="127">
        <f>+Actuals!N151</f>
        <v>0</v>
      </c>
      <c r="R64" s="129">
        <f>+Actuals!O151</f>
        <v>0</v>
      </c>
      <c r="S64" s="130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+Actuals!U151</f>
        <v>0</v>
      </c>
      <c r="Y64" s="130">
        <f>+Actuals!V151</f>
        <v>0</v>
      </c>
      <c r="Z64" s="129">
        <f>+Actuals!W151</f>
        <v>0</v>
      </c>
      <c r="AA64" s="130">
        <f>+Actuals!X151</f>
        <v>0</v>
      </c>
      <c r="AB64" s="129">
        <f>+Actuals!Y111</f>
        <v>0</v>
      </c>
      <c r="AC64" s="130">
        <f>+Actuals!Z111</f>
        <v>0</v>
      </c>
      <c r="AD64" s="129">
        <f>+Actuals!AA111</f>
        <v>0</v>
      </c>
      <c r="AE64" s="130">
        <f>+Actuals!AB111</f>
        <v>0</v>
      </c>
      <c r="AF64" s="129">
        <f>+Actuals!AC111</f>
        <v>0</v>
      </c>
      <c r="AG64" s="130">
        <f>+Actuals!AD111</f>
        <v>0</v>
      </c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'TIE-OUT'!AD65+RECLASS!AB65</f>
        <v>0</v>
      </c>
      <c r="G65" s="82">
        <f>'TIE-OUT'!AE65+RECLASS!AC65</f>
        <v>0</v>
      </c>
      <c r="H65" s="129">
        <f>+Actuals!E112</f>
        <v>0</v>
      </c>
      <c r="I65" s="130">
        <f>+Actuals!F112</f>
        <v>0</v>
      </c>
      <c r="J65" s="129">
        <f>+Actuals!G112</f>
        <v>0</v>
      </c>
      <c r="K65" s="145">
        <f>+Actuals!H112</f>
        <v>0</v>
      </c>
      <c r="L65" s="129">
        <f>+Actuals!I112</f>
        <v>0</v>
      </c>
      <c r="M65" s="130">
        <f>+Actuals!J112</f>
        <v>0</v>
      </c>
      <c r="N65" s="129">
        <f>+Actuals!K112</f>
        <v>0</v>
      </c>
      <c r="O65" s="130">
        <f>+Actuals!L112</f>
        <v>0</v>
      </c>
      <c r="P65" s="126">
        <f>+Actuals!M152</f>
        <v>0</v>
      </c>
      <c r="Q65" s="127">
        <f>+Actuals!N152</f>
        <v>0</v>
      </c>
      <c r="R65" s="129">
        <f>+Actuals!O152</f>
        <v>0</v>
      </c>
      <c r="S65" s="130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+Actuals!U152</f>
        <v>0</v>
      </c>
      <c r="Y65" s="130">
        <f>+Actuals!V152</f>
        <v>0</v>
      </c>
      <c r="Z65" s="129">
        <f>+Actuals!W152</f>
        <v>0</v>
      </c>
      <c r="AA65" s="130">
        <f>+Actuals!X152</f>
        <v>0</v>
      </c>
      <c r="AB65" s="129">
        <f>+Actuals!Y112</f>
        <v>0</v>
      </c>
      <c r="AC65" s="130">
        <f>+Actuals!Z112</f>
        <v>0</v>
      </c>
      <c r="AD65" s="129">
        <f>+Actuals!AA112</f>
        <v>0</v>
      </c>
      <c r="AE65" s="130">
        <f>+Actuals!AB112</f>
        <v>0</v>
      </c>
      <c r="AF65" s="129">
        <f>+Actuals!AC112</f>
        <v>0</v>
      </c>
      <c r="AG65" s="130">
        <f>+Actuals!AD112</f>
        <v>0</v>
      </c>
    </row>
    <row r="66" spans="1:33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6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6989410.2800000003</v>
      </c>
      <c r="F70" s="64">
        <f>'TIE-OUT'!AD70+RECLASS!AB70</f>
        <v>0</v>
      </c>
      <c r="G70" s="68">
        <f>'TIE-OUT'!AE70+RECLASS!AC70</f>
        <v>6989410.2800000003</v>
      </c>
      <c r="H70" s="129">
        <f>+Actuals!E113</f>
        <v>0</v>
      </c>
      <c r="I70" s="130">
        <f>+Actuals!F113</f>
        <v>0</v>
      </c>
      <c r="J70" s="129">
        <f>+Actuals!G113</f>
        <v>0</v>
      </c>
      <c r="K70" s="153">
        <v>0</v>
      </c>
      <c r="L70" s="129">
        <f>+Actuals!I113</f>
        <v>0</v>
      </c>
      <c r="M70" s="130">
        <f>+Actuals!J113</f>
        <v>0</v>
      </c>
      <c r="N70" s="129">
        <f>+Actuals!K113</f>
        <v>0</v>
      </c>
      <c r="O70" s="130">
        <f>+Actuals!L113</f>
        <v>0</v>
      </c>
      <c r="P70" s="126">
        <f>+Actuals!M153</f>
        <v>0</v>
      </c>
      <c r="Q70" s="127">
        <f>+Actuals!N153</f>
        <v>0</v>
      </c>
      <c r="R70" s="129">
        <f>+Actuals!O153</f>
        <v>0</v>
      </c>
      <c r="S70" s="130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+Actuals!U153</f>
        <v>0</v>
      </c>
      <c r="Y70" s="130">
        <f>+Actuals!V153</f>
        <v>0</v>
      </c>
      <c r="Z70" s="129">
        <f>+Actuals!W153</f>
        <v>0</v>
      </c>
      <c r="AA70" s="130">
        <f>+Actuals!X153</f>
        <v>0</v>
      </c>
      <c r="AB70" s="129">
        <f>+Actuals!Y113</f>
        <v>0</v>
      </c>
      <c r="AC70" s="130">
        <f>+Actuals!Z113</f>
        <v>0</v>
      </c>
      <c r="AD70" s="129">
        <f>+Actuals!AA113</f>
        <v>0</v>
      </c>
      <c r="AE70" s="130">
        <f>+Actuals!AB113</f>
        <v>0</v>
      </c>
      <c r="AF70" s="129">
        <f>+Actuals!AC113</f>
        <v>0</v>
      </c>
      <c r="AG70" s="130">
        <f>+Actuals!AD113</f>
        <v>0</v>
      </c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-7418547.2599999998</v>
      </c>
      <c r="F71" s="81">
        <f>'TIE-OUT'!AD71+RECLASS!AB71</f>
        <v>0</v>
      </c>
      <c r="G71" s="82">
        <f>'TIE-OUT'!AE71+RECLASS!AC71</f>
        <v>-7418547.2599999998</v>
      </c>
      <c r="H71" s="129">
        <f>+Actuals!E114</f>
        <v>0</v>
      </c>
      <c r="I71" s="130">
        <f>+Actuals!F114</f>
        <v>0</v>
      </c>
      <c r="J71" s="129">
        <f>+Actuals!G114</f>
        <v>0</v>
      </c>
      <c r="K71" s="145">
        <f>+Actuals!H114</f>
        <v>0</v>
      </c>
      <c r="L71" s="129">
        <f>+Actuals!I114</f>
        <v>0</v>
      </c>
      <c r="M71" s="130">
        <f>+Actuals!J114</f>
        <v>0</v>
      </c>
      <c r="N71" s="129">
        <f>+Actuals!K114</f>
        <v>0</v>
      </c>
      <c r="O71" s="130">
        <f>+Actuals!L114</f>
        <v>0</v>
      </c>
      <c r="P71" s="126">
        <f>+Actuals!M154</f>
        <v>0</v>
      </c>
      <c r="Q71" s="127">
        <f>+Actuals!N154</f>
        <v>0</v>
      </c>
      <c r="R71" s="129">
        <f>+Actuals!O154</f>
        <v>0</v>
      </c>
      <c r="S71" s="130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+Actuals!U154</f>
        <v>0</v>
      </c>
      <c r="Y71" s="130">
        <f>+Actuals!V154</f>
        <v>0</v>
      </c>
      <c r="Z71" s="129">
        <f>+Actuals!W154</f>
        <v>0</v>
      </c>
      <c r="AA71" s="130">
        <f>+Actuals!X154</f>
        <v>0</v>
      </c>
      <c r="AB71" s="129">
        <f>+Actuals!Y114</f>
        <v>0</v>
      </c>
      <c r="AC71" s="130">
        <f>+Actuals!Z114</f>
        <v>0</v>
      </c>
      <c r="AD71" s="129">
        <f>+Actuals!AA114</f>
        <v>0</v>
      </c>
      <c r="AE71" s="130">
        <f>+Actuals!AB114</f>
        <v>0</v>
      </c>
      <c r="AF71" s="129">
        <f>+Actuals!AC114</f>
        <v>0</v>
      </c>
      <c r="AG71" s="130">
        <f>+Actuals!AD114</f>
        <v>0</v>
      </c>
    </row>
    <row r="72" spans="1:33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-429136.97999999952</v>
      </c>
      <c r="F72" s="61">
        <f t="shared" si="22"/>
        <v>0</v>
      </c>
      <c r="G72" s="39">
        <f t="shared" si="22"/>
        <v>-429136.97999999952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'TIE-OUT'!AD73+RECLASS!AB73</f>
        <v>0</v>
      </c>
      <c r="G73" s="60">
        <f>'TIE-OUT'!AE73+RECLASS!AC73</f>
        <v>0</v>
      </c>
      <c r="H73" s="129">
        <f>+Actuals!E115</f>
        <v>0</v>
      </c>
      <c r="I73" s="130">
        <f>+Actuals!F115</f>
        <v>0</v>
      </c>
      <c r="J73" s="129">
        <f>+Actuals!G115</f>
        <v>0</v>
      </c>
      <c r="K73" s="145">
        <f>+Actuals!H115</f>
        <v>0</v>
      </c>
      <c r="L73" s="129">
        <f>+Actuals!I115</f>
        <v>0</v>
      </c>
      <c r="M73" s="130">
        <f>+Actuals!J115</f>
        <v>0</v>
      </c>
      <c r="N73" s="129">
        <f>+Actuals!K115</f>
        <v>0</v>
      </c>
      <c r="O73" s="130">
        <f>+Actuals!L115</f>
        <v>0</v>
      </c>
      <c r="P73" s="126">
        <f>+Actuals!M155</f>
        <v>0</v>
      </c>
      <c r="Q73" s="127">
        <f>+Actuals!N155</f>
        <v>0</v>
      </c>
      <c r="R73" s="129">
        <f>+Actuals!O155</f>
        <v>0</v>
      </c>
      <c r="S73" s="130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+Actuals!U155</f>
        <v>0</v>
      </c>
      <c r="Y73" s="130">
        <f>+Actuals!V155</f>
        <v>0</v>
      </c>
      <c r="Z73" s="129">
        <f>+Actuals!W155</f>
        <v>0</v>
      </c>
      <c r="AA73" s="130">
        <f>+Actuals!X155</f>
        <v>0</v>
      </c>
      <c r="AB73" s="129">
        <f>+Actuals!Y115</f>
        <v>0</v>
      </c>
      <c r="AC73" s="130">
        <f>+Actuals!Z115</f>
        <v>0</v>
      </c>
      <c r="AD73" s="129">
        <f>+Actuals!AA115</f>
        <v>0</v>
      </c>
      <c r="AE73" s="130">
        <f>+Actuals!AB115</f>
        <v>0</v>
      </c>
      <c r="AF73" s="129">
        <f>+Actuals!AC115</f>
        <v>0</v>
      </c>
      <c r="AG73" s="130">
        <f>+Actuals!AD115</f>
        <v>0</v>
      </c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-595659</v>
      </c>
      <c r="F74" s="60">
        <f>'TIE-OUT'!AD74+RECLASS!AB74</f>
        <v>0</v>
      </c>
      <c r="G74" s="60">
        <f>'TIE-OUT'!AE74+RECLASS!AC74</f>
        <v>-595659</v>
      </c>
      <c r="H74" s="129">
        <f>+Actuals!E116</f>
        <v>0</v>
      </c>
      <c r="I74" s="130">
        <f>+Actuals!F116</f>
        <v>0</v>
      </c>
      <c r="J74" s="129">
        <f>+Actuals!G116</f>
        <v>0</v>
      </c>
      <c r="K74" s="145">
        <f>+Actuals!H116</f>
        <v>0</v>
      </c>
      <c r="L74" s="129">
        <f>+Actuals!I116</f>
        <v>0</v>
      </c>
      <c r="M74" s="130">
        <f>+Actuals!J116</f>
        <v>0</v>
      </c>
      <c r="N74" s="129">
        <f>+Actuals!K116</f>
        <v>0</v>
      </c>
      <c r="O74" s="130">
        <f>+Actuals!L116</f>
        <v>0</v>
      </c>
      <c r="P74" s="126">
        <f>+Actuals!M156</f>
        <v>0</v>
      </c>
      <c r="Q74" s="127">
        <f>+Actuals!N156</f>
        <v>0</v>
      </c>
      <c r="R74" s="129">
        <f>+Actuals!O156</f>
        <v>0</v>
      </c>
      <c r="S74" s="130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+Actuals!U156</f>
        <v>0</v>
      </c>
      <c r="Y74" s="130">
        <f>+Actuals!V156</f>
        <v>0</v>
      </c>
      <c r="Z74" s="129">
        <f>+Actuals!W156</f>
        <v>0</v>
      </c>
      <c r="AA74" s="130">
        <f>+Actuals!X156</f>
        <v>0</v>
      </c>
      <c r="AB74" s="129">
        <f>+Actuals!Y116</f>
        <v>0</v>
      </c>
      <c r="AC74" s="130">
        <f>+Actuals!Z116</f>
        <v>0</v>
      </c>
      <c r="AD74" s="129">
        <f>+Actuals!AA116</f>
        <v>0</v>
      </c>
      <c r="AE74" s="130">
        <f>+Actuals!AB116</f>
        <v>0</v>
      </c>
      <c r="AF74" s="129">
        <f>+Actuals!AC116</f>
        <v>0</v>
      </c>
      <c r="AG74" s="130">
        <f>+Actuals!AD116</f>
        <v>0</v>
      </c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12300</v>
      </c>
      <c r="F75" s="60">
        <f>'TIE-OUT'!AD75+RECLASS!AB75</f>
        <v>0</v>
      </c>
      <c r="G75" s="60">
        <f>'TIE-OUT'!AE75+RECLASS!AC75</f>
        <v>12300</v>
      </c>
      <c r="H75" s="129">
        <f>+Actuals!E117</f>
        <v>0</v>
      </c>
      <c r="I75" s="130">
        <f>+Actuals!F117</f>
        <v>0</v>
      </c>
      <c r="J75" s="129">
        <f>+Actuals!G117</f>
        <v>0</v>
      </c>
      <c r="K75" s="145">
        <f>+Actuals!H117</f>
        <v>0</v>
      </c>
      <c r="L75" s="129">
        <f>+Actuals!I117</f>
        <v>0</v>
      </c>
      <c r="M75" s="130">
        <f>+Actuals!J117</f>
        <v>0</v>
      </c>
      <c r="N75" s="129">
        <f>+Actuals!K117</f>
        <v>0</v>
      </c>
      <c r="O75" s="130">
        <f>+Actuals!L117</f>
        <v>0</v>
      </c>
      <c r="P75" s="126">
        <f>+Actuals!M157</f>
        <v>0</v>
      </c>
      <c r="Q75" s="127">
        <f>+Actuals!N157</f>
        <v>0</v>
      </c>
      <c r="R75" s="129">
        <f>+Actuals!O157</f>
        <v>0</v>
      </c>
      <c r="S75" s="130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+Actuals!U157</f>
        <v>0</v>
      </c>
      <c r="Y75" s="130">
        <f>+Actuals!V157</f>
        <v>0</v>
      </c>
      <c r="Z75" s="129">
        <f>+Actuals!W157</f>
        <v>0</v>
      </c>
      <c r="AA75" s="130">
        <f>+Actuals!X157</f>
        <v>0</v>
      </c>
      <c r="AB75" s="129">
        <f>+Actuals!Y117</f>
        <v>0</v>
      </c>
      <c r="AC75" s="130">
        <f>+Actuals!Z117</f>
        <v>0</v>
      </c>
      <c r="AD75" s="129">
        <f>+Actuals!AA117</f>
        <v>0</v>
      </c>
      <c r="AE75" s="130">
        <f>+Actuals!AB117</f>
        <v>0</v>
      </c>
      <c r="AF75" s="129">
        <f>+Actuals!AC117</f>
        <v>0</v>
      </c>
      <c r="AG75" s="130">
        <f>+Actuals!AD117</f>
        <v>0</v>
      </c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'TIE-OUT'!AD76+RECLASS!AB76</f>
        <v>0</v>
      </c>
      <c r="G76" s="60">
        <f>'TIE-OUT'!AE76+RECLASS!AC76</f>
        <v>0</v>
      </c>
      <c r="H76" s="129">
        <f>+Actuals!E118</f>
        <v>0</v>
      </c>
      <c r="I76" s="130">
        <f>+Actuals!F118</f>
        <v>0</v>
      </c>
      <c r="J76" s="129">
        <f>+Actuals!G118</f>
        <v>0</v>
      </c>
      <c r="K76" s="145">
        <f>+Actuals!H118</f>
        <v>0</v>
      </c>
      <c r="L76" s="129">
        <f>+Actuals!I118</f>
        <v>0</v>
      </c>
      <c r="M76" s="130">
        <v>0</v>
      </c>
      <c r="N76" s="129">
        <f>+Actuals!K118</f>
        <v>0</v>
      </c>
      <c r="O76" s="130">
        <f>+Actuals!L118</f>
        <v>0</v>
      </c>
      <c r="P76" s="126">
        <f>+Actuals!M158</f>
        <v>0</v>
      </c>
      <c r="Q76" s="127">
        <f>+Actuals!N158</f>
        <v>0</v>
      </c>
      <c r="R76" s="129">
        <f>+Actuals!O158</f>
        <v>0</v>
      </c>
      <c r="S76" s="130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+Actuals!U158</f>
        <v>0</v>
      </c>
      <c r="Y76" s="130">
        <f>+Actuals!V158</f>
        <v>0</v>
      </c>
      <c r="Z76" s="129">
        <f>+Actuals!W158</f>
        <v>0</v>
      </c>
      <c r="AA76" s="130">
        <f>+Actuals!X158</f>
        <v>0</v>
      </c>
      <c r="AB76" s="129">
        <f>+Actuals!Y118</f>
        <v>0</v>
      </c>
      <c r="AC76" s="130">
        <f>+Actuals!Z118</f>
        <v>0</v>
      </c>
      <c r="AD76" s="129">
        <f>+Actuals!AA118</f>
        <v>0</v>
      </c>
      <c r="AE76" s="130">
        <f>+Actuals!AB118</f>
        <v>0</v>
      </c>
      <c r="AF76" s="129">
        <f>+Actuals!AC118</f>
        <v>0</v>
      </c>
      <c r="AG76" s="130">
        <f>+Actuals!AD118</f>
        <v>0</v>
      </c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'TIE-OUT'!AD77+RECLASS!AB77</f>
        <v>0</v>
      </c>
      <c r="G77" s="60">
        <f>'TIE-OUT'!AE77+RECLASS!AC77</f>
        <v>0</v>
      </c>
      <c r="H77" s="129">
        <f>+Actuals!E119</f>
        <v>0</v>
      </c>
      <c r="I77" s="130">
        <f>+Actuals!F119</f>
        <v>0</v>
      </c>
      <c r="J77" s="129">
        <f>+Actuals!G119</f>
        <v>0</v>
      </c>
      <c r="K77" s="145">
        <f>+Actuals!H119</f>
        <v>0</v>
      </c>
      <c r="L77" s="129">
        <f>+Actuals!I119</f>
        <v>0</v>
      </c>
      <c r="M77" s="130">
        <f>+Actuals!J119</f>
        <v>0</v>
      </c>
      <c r="N77" s="129">
        <f>+Actuals!K119</f>
        <v>0</v>
      </c>
      <c r="O77" s="130">
        <f>+Actuals!L119</f>
        <v>0</v>
      </c>
      <c r="P77" s="126">
        <f>+Actuals!M159</f>
        <v>0</v>
      </c>
      <c r="Q77" s="127">
        <f>+Actuals!N159</f>
        <v>0</v>
      </c>
      <c r="R77" s="129">
        <f>+Actuals!O159</f>
        <v>0</v>
      </c>
      <c r="S77" s="130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+Actuals!U159</f>
        <v>0</v>
      </c>
      <c r="Y77" s="130">
        <f>+Actuals!V159</f>
        <v>0</v>
      </c>
      <c r="Z77" s="129">
        <f>+Actuals!W159</f>
        <v>0</v>
      </c>
      <c r="AA77" s="130">
        <f>+Actuals!X159</f>
        <v>0</v>
      </c>
      <c r="AB77" s="129">
        <f>+Actuals!Y119</f>
        <v>0</v>
      </c>
      <c r="AC77" s="130">
        <f>+Actuals!Z119</f>
        <v>0</v>
      </c>
      <c r="AD77" s="129">
        <f>+Actuals!AA119</f>
        <v>0</v>
      </c>
      <c r="AE77" s="130">
        <f>+Actuals!AB119</f>
        <v>0</v>
      </c>
      <c r="AF77" s="129">
        <f>+Actuals!AC119</f>
        <v>0</v>
      </c>
      <c r="AG77" s="130">
        <f>+Actuals!AD119</f>
        <v>0</v>
      </c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'TIE-OUT'!AD78+RECLASS!AB78</f>
        <v>0</v>
      </c>
      <c r="G78" s="60">
        <f>'TIE-OUT'!AE78+RECLASS!AC78</f>
        <v>0</v>
      </c>
      <c r="H78" s="129">
        <f>+Actuals!E120</f>
        <v>0</v>
      </c>
      <c r="I78" s="130">
        <f>+Actuals!F120</f>
        <v>0</v>
      </c>
      <c r="J78" s="129">
        <f>+Actuals!G120</f>
        <v>0</v>
      </c>
      <c r="K78" s="145">
        <f>+Actuals!H120</f>
        <v>0</v>
      </c>
      <c r="L78" s="129">
        <f>+Actuals!I120</f>
        <v>0</v>
      </c>
      <c r="M78" s="130">
        <f>+Actuals!J120</f>
        <v>0</v>
      </c>
      <c r="N78" s="129">
        <f>+Actuals!K120</f>
        <v>0</v>
      </c>
      <c r="O78" s="130">
        <f>+Actuals!L120</f>
        <v>0</v>
      </c>
      <c r="P78" s="126">
        <f>+Actuals!M160</f>
        <v>0</v>
      </c>
      <c r="Q78" s="127">
        <f>+Actuals!N160</f>
        <v>0</v>
      </c>
      <c r="R78" s="129">
        <f>+Actuals!O160</f>
        <v>0</v>
      </c>
      <c r="S78" s="130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+Actuals!U160</f>
        <v>0</v>
      </c>
      <c r="Y78" s="130">
        <f>+Actuals!V160</f>
        <v>0</v>
      </c>
      <c r="Z78" s="129">
        <f>+Actuals!W160</f>
        <v>0</v>
      </c>
      <c r="AA78" s="130">
        <f>+Actuals!X160</f>
        <v>0</v>
      </c>
      <c r="AB78" s="129">
        <f>+Actuals!Y120</f>
        <v>0</v>
      </c>
      <c r="AC78" s="130">
        <f>+Actuals!Z120</f>
        <v>0</v>
      </c>
      <c r="AD78" s="129">
        <f>+Actuals!AA120</f>
        <v>0</v>
      </c>
      <c r="AE78" s="130">
        <f>+Actuals!AB120</f>
        <v>0</v>
      </c>
      <c r="AF78" s="129">
        <f>+Actuals!AC120</f>
        <v>0</v>
      </c>
      <c r="AG78" s="130">
        <f>+Actuals!AD120</f>
        <v>0</v>
      </c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'TIE-OUT'!AD79+RECLASS!AB79</f>
        <v>0</v>
      </c>
      <c r="G79" s="60">
        <f>'TIE-OUT'!AE79+RECLASS!AC79</f>
        <v>0</v>
      </c>
      <c r="H79" s="129">
        <f>+Actuals!E121</f>
        <v>0</v>
      </c>
      <c r="I79" s="130">
        <f>+Actuals!F121</f>
        <v>0</v>
      </c>
      <c r="J79" s="129">
        <f>+Actuals!G121</f>
        <v>0</v>
      </c>
      <c r="K79" s="145">
        <f>+Actuals!H121</f>
        <v>0</v>
      </c>
      <c r="L79" s="129">
        <f>+Actuals!I121</f>
        <v>0</v>
      </c>
      <c r="M79" s="130">
        <f>+Actuals!J121</f>
        <v>0</v>
      </c>
      <c r="N79" s="129">
        <f>+Actuals!K121</f>
        <v>0</v>
      </c>
      <c r="O79" s="130">
        <f>+Actuals!L121</f>
        <v>0</v>
      </c>
      <c r="P79" s="126">
        <f>+Actuals!M161</f>
        <v>0</v>
      </c>
      <c r="Q79" s="127">
        <f>+Actuals!N161</f>
        <v>0</v>
      </c>
      <c r="R79" s="129">
        <f>+Actuals!O161</f>
        <v>0</v>
      </c>
      <c r="S79" s="130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+Actuals!U161</f>
        <v>0</v>
      </c>
      <c r="Y79" s="130">
        <f>+Actuals!V161</f>
        <v>0</v>
      </c>
      <c r="Z79" s="129">
        <f>+Actuals!W161</f>
        <v>0</v>
      </c>
      <c r="AA79" s="130">
        <f>+Actuals!X161</f>
        <v>0</v>
      </c>
      <c r="AB79" s="129">
        <f>+Actuals!Y121</f>
        <v>0</v>
      </c>
      <c r="AC79" s="130">
        <f>+Actuals!Z121</f>
        <v>0</v>
      </c>
      <c r="AD79" s="129">
        <f>+Actuals!AA121</f>
        <v>0</v>
      </c>
      <c r="AE79" s="130">
        <f>+Actuals!AB121</f>
        <v>0</v>
      </c>
      <c r="AF79" s="129">
        <f>+Actuals!AC121</f>
        <v>0</v>
      </c>
      <c r="AG79" s="130">
        <f>+Actuals!AD121</f>
        <v>0</v>
      </c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'TIE-OUT'!AD80+RECLASS!AB80</f>
        <v>0</v>
      </c>
      <c r="G80" s="60">
        <f>'TIE-OUT'!AE80+RECLASS!AC80</f>
        <v>0</v>
      </c>
      <c r="H80" s="129">
        <f>+Actuals!E122</f>
        <v>0</v>
      </c>
      <c r="I80" s="130">
        <f>+Actuals!F122</f>
        <v>0</v>
      </c>
      <c r="J80" s="129">
        <f>+Actuals!G122</f>
        <v>0</v>
      </c>
      <c r="K80" s="145">
        <f>+Actuals!H122</f>
        <v>0</v>
      </c>
      <c r="L80" s="129">
        <f>+Actuals!I122</f>
        <v>0</v>
      </c>
      <c r="M80" s="130">
        <f>+Actuals!J122</f>
        <v>0</v>
      </c>
      <c r="N80" s="129">
        <f>+Actuals!K122</f>
        <v>0</v>
      </c>
      <c r="O80" s="130">
        <f>+Actuals!L122</f>
        <v>0</v>
      </c>
      <c r="P80" s="126">
        <f>+Actuals!M162</f>
        <v>0</v>
      </c>
      <c r="Q80" s="127">
        <f>+Actuals!N162</f>
        <v>0</v>
      </c>
      <c r="R80" s="129">
        <f>+Actuals!O162</f>
        <v>0</v>
      </c>
      <c r="S80" s="130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+Actuals!U162</f>
        <v>0</v>
      </c>
      <c r="Y80" s="130">
        <f>+Actuals!V162</f>
        <v>0</v>
      </c>
      <c r="Z80" s="129">
        <f>+Actuals!W162</f>
        <v>0</v>
      </c>
      <c r="AA80" s="130">
        <f>+Actuals!X162</f>
        <v>0</v>
      </c>
      <c r="AB80" s="129">
        <f>+Actuals!Y122</f>
        <v>0</v>
      </c>
      <c r="AC80" s="130">
        <f>+Actuals!Z122</f>
        <v>0</v>
      </c>
      <c r="AD80" s="129">
        <f>+Actuals!AA122</f>
        <v>0</v>
      </c>
      <c r="AE80" s="130">
        <f>+Actuals!AB122</f>
        <v>0</v>
      </c>
      <c r="AF80" s="129">
        <f>+Actuals!AC122</f>
        <v>0</v>
      </c>
      <c r="AG80" s="130">
        <f>+Actuals!AD122</f>
        <v>0</v>
      </c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'TIE-OUT'!AD81+RECLASS!AB81</f>
        <v>0</v>
      </c>
      <c r="G81" s="60">
        <f>'TIE-OUT'!AE81+RECLASS!AC81</f>
        <v>0</v>
      </c>
      <c r="H81" s="129">
        <f>+Actuals!E123</f>
        <v>0</v>
      </c>
      <c r="I81" s="130">
        <f>+Actuals!F123</f>
        <v>0</v>
      </c>
      <c r="J81" s="129">
        <f>+Actuals!G123</f>
        <v>0</v>
      </c>
      <c r="K81" s="145">
        <v>0</v>
      </c>
      <c r="L81" s="129">
        <f>+Actuals!I123</f>
        <v>0</v>
      </c>
      <c r="M81" s="130">
        <f>+Actuals!J123</f>
        <v>0</v>
      </c>
      <c r="N81" s="129">
        <f>+Actuals!K123</f>
        <v>0</v>
      </c>
      <c r="O81" s="130">
        <f>+Actuals!L123</f>
        <v>0</v>
      </c>
      <c r="P81" s="126">
        <f>+Actuals!M163</f>
        <v>0</v>
      </c>
      <c r="Q81" s="127">
        <f>+Actuals!N163</f>
        <v>0</v>
      </c>
      <c r="R81" s="129">
        <f>+Actuals!O163</f>
        <v>0</v>
      </c>
      <c r="S81" s="130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+Actuals!U163</f>
        <v>0</v>
      </c>
      <c r="Y81" s="130">
        <f>+Actuals!V163</f>
        <v>0</v>
      </c>
      <c r="Z81" s="129">
        <f>+Actuals!W163</f>
        <v>0</v>
      </c>
      <c r="AA81" s="130">
        <f>+Actuals!X163</f>
        <v>0</v>
      </c>
      <c r="AB81" s="129">
        <f>+Actuals!Y123</f>
        <v>0</v>
      </c>
      <c r="AC81" s="130">
        <f>+Actuals!Z123</f>
        <v>0</v>
      </c>
      <c r="AD81" s="129">
        <f>+Actuals!AA123</f>
        <v>0</v>
      </c>
      <c r="AE81" s="130">
        <f>+Actuals!AB123</f>
        <v>0</v>
      </c>
      <c r="AF81" s="129">
        <f>+Actuals!AC123</f>
        <v>0</v>
      </c>
      <c r="AG81" s="130">
        <f>+Actuals!AD123</f>
        <v>0</v>
      </c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475036.09799999371</v>
      </c>
      <c r="F82" s="91">
        <f>F16+F24+F29+F36+F43+F45+F47+F49</f>
        <v>0</v>
      </c>
      <c r="G82" s="92">
        <f>SUM(G72:G81)+G16+G24+G29+G36+G43+G45+G47+G49+G51+G56+G61+G66</f>
        <v>-1159109.9800000004</v>
      </c>
      <c r="H82" s="91">
        <f>H16+H24+H29+H36+H43+H45+H47+H49</f>
        <v>0</v>
      </c>
      <c r="I82" s="92">
        <f>SUM(I72:I81)+I16+I24+I29+I36+I43+I45+I47+I49+I51+I56+I61+I66</f>
        <v>-2123499</v>
      </c>
      <c r="J82" s="91">
        <f>J16+J24+J29+J36+J43+J45+J47+J49</f>
        <v>0</v>
      </c>
      <c r="K82" s="154">
        <f>SUM(K72:K81)+K16+K24+K29+K36+K43+K45+K47+K49+K51+K56+K61+K66</f>
        <v>-3145015</v>
      </c>
      <c r="L82" s="91">
        <f>L16+L24+L29+L36+L43+L45+L47+L49</f>
        <v>0</v>
      </c>
      <c r="M82" s="92">
        <f>SUM(M72:M81)+M16+M24+M29+M36+M43+M45+M47+M49+M51+M56+M61+M66</f>
        <v>-4222343</v>
      </c>
      <c r="N82" s="91">
        <f>N16+N24+N29+N36+N43+N45+N47+N49</f>
        <v>0</v>
      </c>
      <c r="O82" s="92">
        <f>SUM(O72:O81)+O16+O24+O29+O36+O43+O45+O47+O49+O51+O56+O61+O66</f>
        <v>12128398</v>
      </c>
      <c r="P82" s="91">
        <f>P16+P24+P29+P36+P43+P45+P47+P49</f>
        <v>0</v>
      </c>
      <c r="Q82" s="92">
        <f>SUM(Q72:Q81)+Q16+Q24+Q29+Q36+Q43+Q45+Q47+Q49+Q51+Q56+Q61+Q66</f>
        <v>912262.10799999617</v>
      </c>
      <c r="R82" s="91">
        <f>R16+R24+R29+R36+R43+R45+R47+R49</f>
        <v>0</v>
      </c>
      <c r="S82" s="92">
        <f>SUM(S72:S81)+S16+S24+S29+S36+S43+S45+S47+S49+S51+S56+S61+S66</f>
        <v>-1021898.9199999999</v>
      </c>
      <c r="T82" s="91">
        <f>T16+T24+T29+T36+T43+T45+T47+T49</f>
        <v>0</v>
      </c>
      <c r="U82" s="92">
        <f>SUM(U72:U81)+U16+U24+U29+U36+U43+U45+U47+U49+U51+U56+U61+U66</f>
        <v>-1269848.2879999992</v>
      </c>
      <c r="V82" s="91">
        <f>V16+V24+V29+V36+V43+V45+V47+V49</f>
        <v>0</v>
      </c>
      <c r="W82" s="92">
        <f>SUM(W72:W81)+W16+W24+W29+W36+W43+W45+W47+W49+W51+W56+W61+W66</f>
        <v>-64.015999999999963</v>
      </c>
      <c r="X82" s="91">
        <f>X16+X24+X29+X36+X43+X45+X47+X49</f>
        <v>0</v>
      </c>
      <c r="Y82" s="92">
        <f>SUM(Y72:Y81)+Y16+Y24+Y29+Y36+Y43+Y45+Y47+Y49+Y51+Y56+Y61+Y66</f>
        <v>143173.14000000004</v>
      </c>
      <c r="Z82" s="91">
        <f>Z16+Z24+Z29+Z36+Z43+Z45+Z47+Z49</f>
        <v>0</v>
      </c>
      <c r="AA82" s="92">
        <f>SUM(AA72:AA81)+AA16+AA24+AA29+AA36+AA43+AA45+AA47+AA49+AA51+AA56+AA61+AA66</f>
        <v>232981.054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8" thickTop="1" x14ac:dyDescent="0.25">
      <c r="A83" s="4"/>
      <c r="B83" s="3"/>
    </row>
    <row r="84" spans="1:33" x14ac:dyDescent="0.25">
      <c r="A84" s="4"/>
      <c r="B84" s="3"/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G168"/>
  <sheetViews>
    <sheetView zoomScale="75" workbookViewId="0">
      <pane xSplit="3" ySplit="9" topLeftCell="K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5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-32894</v>
      </c>
      <c r="F12" s="60">
        <f>'TIE-OUT'!X12+RECLASS!V12</f>
        <v>0</v>
      </c>
      <c r="G12" s="38">
        <f>'TIE-OUT'!Y12+RECLASS!W12</f>
        <v>-32894</v>
      </c>
      <c r="H12" s="60"/>
      <c r="I12" s="38"/>
      <c r="J12" s="60"/>
      <c r="K12" s="38">
        <v>0</v>
      </c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5">
      <c r="A13" s="9">
        <v>3</v>
      </c>
      <c r="B13" s="7"/>
      <c r="C13" s="18" t="s">
        <v>201</v>
      </c>
      <c r="D13" s="60">
        <f t="shared" si="0"/>
        <v>0</v>
      </c>
      <c r="E13" s="38">
        <f t="shared" si="0"/>
        <v>-2504847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5">
        <v>-2564833</v>
      </c>
      <c r="L13" s="60"/>
      <c r="M13" s="38"/>
      <c r="N13" s="60"/>
      <c r="O13" s="38"/>
      <c r="P13" s="60"/>
      <c r="Q13" s="38">
        <v>59986</v>
      </c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5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5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-2537741</v>
      </c>
      <c r="F16" s="61">
        <f t="shared" ref="F16:AD16" si="1">SUM(F11:F15)</f>
        <v>0</v>
      </c>
      <c r="G16" s="39">
        <f t="shared" si="1"/>
        <v>-32894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6">
        <f t="shared" si="1"/>
        <v>-2564833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59986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5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5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5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5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5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6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5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5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6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5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5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5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5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6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5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5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30605</v>
      </c>
      <c r="F41" s="81">
        <f>'TIE-OUT'!X41+RECLASS!V41</f>
        <v>0</v>
      </c>
      <c r="G41" s="82">
        <f>'TIE-OUT'!Y41+RECLASS!W41</f>
        <v>30605</v>
      </c>
      <c r="H41" s="60"/>
      <c r="I41" s="38"/>
      <c r="J41" s="60"/>
      <c r="K41" s="145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</row>
    <row r="42" spans="1:3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30605</v>
      </c>
      <c r="F42" s="61">
        <f t="shared" ref="F42:AD42" si="12">SUM(F40:F41)</f>
        <v>0</v>
      </c>
      <c r="G42" s="39">
        <f t="shared" si="12"/>
        <v>30605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30605</v>
      </c>
      <c r="F43" s="61">
        <f t="shared" ref="F43:AD43" si="14">F42+F39</f>
        <v>0</v>
      </c>
      <c r="G43" s="39">
        <f t="shared" si="14"/>
        <v>30605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6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5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5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5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-92352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5"/>
      <c r="L51" s="60">
        <v>0</v>
      </c>
      <c r="M51" s="38">
        <v>-92352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5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5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</row>
    <row r="56" spans="1:33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6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5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5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123262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5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5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6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9573645</v>
      </c>
      <c r="F70" s="64">
        <f>'TIE-OUT'!X70+RECLASS!V70</f>
        <v>0</v>
      </c>
      <c r="G70" s="68">
        <f>'TIE-OUT'!Y70+RECLASS!W70</f>
        <v>7039630</v>
      </c>
      <c r="H70" s="60"/>
      <c r="I70" s="38">
        <v>0</v>
      </c>
      <c r="J70" s="60"/>
      <c r="K70" s="38">
        <f>-30818+2564833</f>
        <v>2534015</v>
      </c>
      <c r="L70" s="60"/>
      <c r="M70" s="38">
        <v>0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5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9573645</v>
      </c>
      <c r="F72" s="61">
        <f t="shared" ref="F72:AD72" si="22">SUM(F70:F71)</f>
        <v>0</v>
      </c>
      <c r="G72" s="39">
        <f t="shared" si="22"/>
        <v>7039630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2534015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5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-4817775</v>
      </c>
      <c r="F74" s="60">
        <f>'TIE-OUT'!X74+RECLASS!V74</f>
        <v>0</v>
      </c>
      <c r="G74" s="60">
        <f>'TIE-OUT'!Y74+RECLASS!W74</f>
        <v>-4817775</v>
      </c>
      <c r="H74" s="60"/>
      <c r="I74" s="38"/>
      <c r="J74" s="60"/>
      <c r="K74" s="156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</row>
    <row r="75" spans="1:33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5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-345</v>
      </c>
      <c r="F76" s="60">
        <f>'TIE-OUT'!X76+RECLASS!V76</f>
        <v>0</v>
      </c>
      <c r="G76" s="60">
        <f>'TIE-OUT'!Y76+RECLASS!W76</f>
        <v>-345</v>
      </c>
      <c r="H76" s="60"/>
      <c r="I76" s="38"/>
      <c r="J76" s="60"/>
      <c r="K76" s="145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5"/>
      <c r="L77" s="60"/>
      <c r="M77" s="38">
        <v>-376583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</row>
    <row r="78" spans="1:33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5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5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5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3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-99344</v>
      </c>
      <c r="F81" s="60">
        <f>'TIE-OUT'!X81+RECLASS!V81</f>
        <v>0</v>
      </c>
      <c r="G81" s="60">
        <f>'TIE-OUT'!Y81+RECLASS!W81</f>
        <v>0</v>
      </c>
      <c r="H81" s="60"/>
      <c r="I81" s="156">
        <v>0</v>
      </c>
      <c r="J81" s="60"/>
      <c r="K81" s="156"/>
      <c r="L81" s="60"/>
      <c r="M81" s="38">
        <f>-89995-9349</f>
        <v>-99344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3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1803372</v>
      </c>
      <c r="F82" s="91">
        <f>F16+F24+F29+F36+F43+F45+F47+F49</f>
        <v>0</v>
      </c>
      <c r="G82" s="92">
        <f>SUM(G72:G81)+G16+G24+G29+G36+G43+G45+G47+G49+G51+G56+G61+G66</f>
        <v>2219221</v>
      </c>
      <c r="H82" s="91">
        <f>H16+H24+H29+H36+H43+H45+H47+H49</f>
        <v>0</v>
      </c>
      <c r="I82" s="159">
        <f>SUM(I72:I81)+I16+I24+I29+I36+I43+I45+I47+I49+I51+I56+I61+I66</f>
        <v>0</v>
      </c>
      <c r="J82" s="91">
        <f>J16+J24+J29+J36+J43+J45+J47+J49</f>
        <v>0</v>
      </c>
      <c r="K82" s="159">
        <f>SUM(K72:K81)+K16+K24+K29+K36+K43+K45+K47+K49+K51+K56+K61+K66</f>
        <v>92444</v>
      </c>
      <c r="L82" s="91">
        <f>L16+L24+L29+L36+L43+L45+L47+L49</f>
        <v>0</v>
      </c>
      <c r="M82" s="92">
        <f>SUM(M72:M81)+M16+M24+M29+M36+M43+M45+M47+M49+M51+M56+M61+M66</f>
        <v>-568279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59986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8" thickTop="1" x14ac:dyDescent="0.25">
      <c r="A83" s="4"/>
      <c r="B83" s="3"/>
    </row>
    <row r="84" spans="1:33" x14ac:dyDescent="0.25">
      <c r="A84" s="4"/>
      <c r="B84" s="3"/>
      <c r="E84" s="31">
        <f>+E72+E12-G12</f>
        <v>9573645</v>
      </c>
    </row>
    <row r="85" spans="1:33" x14ac:dyDescent="0.25">
      <c r="A85" s="4"/>
      <c r="B85" s="3"/>
    </row>
    <row r="86" spans="1:33" x14ac:dyDescent="0.25">
      <c r="A86" s="4"/>
      <c r="B86" s="3"/>
    </row>
    <row r="87" spans="1:33" x14ac:dyDescent="0.25">
      <c r="A87" s="4"/>
      <c r="B87" s="3"/>
    </row>
    <row r="88" spans="1:33" x14ac:dyDescent="0.25">
      <c r="A88" s="4"/>
      <c r="B88" s="3"/>
    </row>
    <row r="89" spans="1:33" x14ac:dyDescent="0.25">
      <c r="A89" s="4"/>
      <c r="B89" s="3"/>
    </row>
    <row r="90" spans="1:33" x14ac:dyDescent="0.25">
      <c r="A90" s="4"/>
      <c r="B90" s="3"/>
    </row>
    <row r="91" spans="1:33" x14ac:dyDescent="0.25">
      <c r="A91" s="4"/>
      <c r="B91" s="3"/>
    </row>
    <row r="92" spans="1:33" x14ac:dyDescent="0.25">
      <c r="A92" s="4"/>
      <c r="B92" s="3"/>
    </row>
    <row r="93" spans="1:33" x14ac:dyDescent="0.25">
      <c r="A93" s="4"/>
      <c r="B93" s="3"/>
    </row>
    <row r="94" spans="1:33" x14ac:dyDescent="0.25">
      <c r="A94" s="4"/>
      <c r="B94" s="3"/>
    </row>
    <row r="95" spans="1:33" x14ac:dyDescent="0.25">
      <c r="A95" s="4"/>
      <c r="B95" s="3"/>
    </row>
    <row r="96" spans="1:3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Q187"/>
  <sheetViews>
    <sheetView zoomScale="75" workbookViewId="0">
      <pane xSplit="3" ySplit="9" topLeftCell="D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1" customWidth="1"/>
    <col min="12" max="33" width="15.44140625" customWidth="1"/>
  </cols>
  <sheetData>
    <row r="1" spans="1:33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5" t="s">
        <v>160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5">
      <c r="A4" s="5" t="s">
        <v>160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4"/>
      <c r="B7" s="19"/>
      <c r="C7" s="19"/>
    </row>
    <row r="8" spans="1:33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17715983</v>
      </c>
      <c r="E11" s="38">
        <f t="shared" si="0"/>
        <v>51728523.260000005</v>
      </c>
      <c r="F11" s="60">
        <f>'TIE-OUT'!Z11+RECLASS!X11</f>
        <v>0</v>
      </c>
      <c r="G11" s="38">
        <f>'TIE-OUT'!AA11+RECLASS!Y11</f>
        <v>0</v>
      </c>
      <c r="H11" s="60">
        <f>20531057-2819328</f>
        <v>17711729</v>
      </c>
      <c r="I11" s="38">
        <f>59916075-8218878</f>
        <v>51697197</v>
      </c>
      <c r="J11" s="60">
        <v>4303</v>
      </c>
      <c r="K11" s="145">
        <f>22033+7788</f>
        <v>29821</v>
      </c>
      <c r="L11" s="129">
        <f>1090666-1090702</f>
        <v>-36</v>
      </c>
      <c r="M11" s="130">
        <f>3085851-3085950</f>
        <v>-99</v>
      </c>
      <c r="N11" s="60">
        <v>-13</v>
      </c>
      <c r="O11" s="38">
        <v>-39</v>
      </c>
      <c r="P11" s="126">
        <f>+Actuals!M284</f>
        <v>0</v>
      </c>
      <c r="Q11" s="127">
        <f>+Actuals!N284</f>
        <v>23654.13</v>
      </c>
      <c r="R11" s="60">
        <f>+Actuals!O284</f>
        <v>0</v>
      </c>
      <c r="S11" s="38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-22010.87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/>
      <c r="AC11" s="38"/>
      <c r="AD11" s="60"/>
      <c r="AE11" s="38"/>
      <c r="AF11" s="60"/>
      <c r="AG11" s="38"/>
    </row>
    <row r="12" spans="1:33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364671.51</v>
      </c>
      <c r="F12" s="60">
        <f>'TIE-OUT'!Z12+RECLASS!X12</f>
        <v>0</v>
      </c>
      <c r="G12" s="38">
        <f>'TIE-OUT'!AA12+RECLASS!Y12</f>
        <v>364671.51</v>
      </c>
      <c r="H12" s="60"/>
      <c r="I12" s="38"/>
      <c r="J12" s="60"/>
      <c r="K12" s="156"/>
      <c r="L12" s="129">
        <f>+Actuals!I85</f>
        <v>0</v>
      </c>
      <c r="M12" s="130">
        <f>+Actuals!J85</f>
        <v>0</v>
      </c>
      <c r="N12" s="60"/>
      <c r="O12" s="38"/>
      <c r="P12" s="126">
        <f>+Actuals!M285</f>
        <v>0</v>
      </c>
      <c r="Q12" s="127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/>
      <c r="AC12" s="38"/>
      <c r="AD12" s="60"/>
      <c r="AE12" s="38"/>
      <c r="AF12" s="60"/>
      <c r="AG12" s="38"/>
    </row>
    <row r="13" spans="1:33" x14ac:dyDescent="0.25">
      <c r="A13" s="9">
        <v>3</v>
      </c>
      <c r="B13" s="7"/>
      <c r="C13" s="18" t="s">
        <v>27</v>
      </c>
      <c r="D13" s="60">
        <f t="shared" si="0"/>
        <v>2819328</v>
      </c>
      <c r="E13" s="38">
        <f t="shared" si="0"/>
        <v>8206805</v>
      </c>
      <c r="F13" s="60">
        <f>'TIE-OUT'!Z13+RECLASS!X13</f>
        <v>0</v>
      </c>
      <c r="G13" s="38">
        <f>'TIE-OUT'!AA13+RECLASS!Y13</f>
        <v>0</v>
      </c>
      <c r="H13" s="60">
        <v>2819328</v>
      </c>
      <c r="I13" s="38">
        <v>8218878</v>
      </c>
      <c r="J13" s="60">
        <v>1090712</v>
      </c>
      <c r="K13" s="145">
        <v>3085980</v>
      </c>
      <c r="L13" s="129">
        <v>1090702</v>
      </c>
      <c r="M13" s="130">
        <v>3085950</v>
      </c>
      <c r="N13" s="60">
        <v>-3910040</v>
      </c>
      <c r="O13" s="38">
        <v>-11304858</v>
      </c>
      <c r="P13" s="126">
        <f>+Actuals!M286</f>
        <v>5000742</v>
      </c>
      <c r="Q13" s="127">
        <f>+Actuals!N286</f>
        <v>14390808</v>
      </c>
      <c r="R13" s="60">
        <f>+Actuals!O286</f>
        <v>0</v>
      </c>
      <c r="S13" s="38">
        <f>+Actuals!P286</f>
        <v>0</v>
      </c>
      <c r="T13" s="60">
        <f>+Actuals!Q286</f>
        <v>-5000742</v>
      </c>
      <c r="U13" s="38">
        <f>+Actuals!R286</f>
        <v>-14390808</v>
      </c>
      <c r="V13" s="60">
        <f>+Actuals!S286</f>
        <v>0</v>
      </c>
      <c r="W13" s="38">
        <f>+Actuals!T286</f>
        <v>0</v>
      </c>
      <c r="X13" s="60">
        <f>+Actuals!U286</f>
        <v>0</v>
      </c>
      <c r="Y13" s="38">
        <f>+Actuals!V286</f>
        <v>0</v>
      </c>
      <c r="Z13" s="60">
        <f>+Actuals!W286</f>
        <v>1728626</v>
      </c>
      <c r="AA13" s="38">
        <f>+Actuals!X286</f>
        <v>5120855</v>
      </c>
      <c r="AB13" s="60"/>
      <c r="AC13" s="38"/>
      <c r="AD13" s="60"/>
      <c r="AE13" s="38"/>
      <c r="AF13" s="60"/>
      <c r="AG13" s="38"/>
    </row>
    <row r="14" spans="1:33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5"/>
      <c r="L14" s="129">
        <f>+Actuals!I87</f>
        <v>0</v>
      </c>
      <c r="M14" s="130">
        <f>+Actuals!J87</f>
        <v>0</v>
      </c>
      <c r="N14" s="60"/>
      <c r="O14" s="38"/>
      <c r="P14" s="126">
        <f>+Actuals!M287</f>
        <v>0</v>
      </c>
      <c r="Q14" s="127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/>
      <c r="AC14" s="38"/>
      <c r="AD14" s="60"/>
      <c r="AE14" s="38"/>
      <c r="AF14" s="60"/>
      <c r="AG14" s="38"/>
    </row>
    <row r="15" spans="1:33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-23437.5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5"/>
      <c r="L15" s="129">
        <f>+Actuals!I88</f>
        <v>0</v>
      </c>
      <c r="M15" s="130">
        <f>+Actuals!J88</f>
        <v>0</v>
      </c>
      <c r="N15" s="60"/>
      <c r="O15" s="38"/>
      <c r="P15" s="126">
        <f>+Actuals!M288</f>
        <v>0</v>
      </c>
      <c r="Q15" s="127">
        <f>+Actuals!N288</f>
        <v>-23437.5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/>
      <c r="AC15" s="38"/>
      <c r="AD15" s="60"/>
      <c r="AE15" s="38"/>
      <c r="AF15" s="60"/>
      <c r="AG15" s="38"/>
    </row>
    <row r="16" spans="1:33" x14ac:dyDescent="0.25">
      <c r="A16" s="9"/>
      <c r="B16" s="7" t="s">
        <v>30</v>
      </c>
      <c r="C16" s="6"/>
      <c r="D16" s="61">
        <f>SUM(D11:D15)</f>
        <v>20535311</v>
      </c>
      <c r="E16" s="39">
        <f>SUM(E11:E15)</f>
        <v>60276562.270000003</v>
      </c>
      <c r="F16" s="61">
        <f t="shared" ref="F16:AD16" si="1">SUM(F11:F15)</f>
        <v>0</v>
      </c>
      <c r="G16" s="39">
        <f t="shared" si="1"/>
        <v>364671.51</v>
      </c>
      <c r="H16" s="61">
        <f t="shared" si="1"/>
        <v>20531057</v>
      </c>
      <c r="I16" s="39">
        <f t="shared" si="1"/>
        <v>59916075</v>
      </c>
      <c r="J16" s="61">
        <f t="shared" si="1"/>
        <v>1095015</v>
      </c>
      <c r="K16" s="146">
        <f t="shared" si="1"/>
        <v>3115801</v>
      </c>
      <c r="L16" s="61">
        <f t="shared" si="1"/>
        <v>1090666</v>
      </c>
      <c r="M16" s="39">
        <f t="shared" si="1"/>
        <v>3085851</v>
      </c>
      <c r="N16" s="61">
        <f t="shared" si="1"/>
        <v>-3910053</v>
      </c>
      <c r="O16" s="39">
        <f t="shared" si="1"/>
        <v>-11304897</v>
      </c>
      <c r="P16" s="61">
        <f t="shared" si="1"/>
        <v>5000742</v>
      </c>
      <c r="Q16" s="39">
        <f t="shared" si="1"/>
        <v>14391024.630000001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-5000742</v>
      </c>
      <c r="U16" s="39">
        <f t="shared" si="2"/>
        <v>-14390808</v>
      </c>
      <c r="V16" s="61">
        <f t="shared" si="2"/>
        <v>0</v>
      </c>
      <c r="W16" s="39">
        <f t="shared" si="2"/>
        <v>-22010.87</v>
      </c>
      <c r="X16" s="61">
        <f>SUM(X11:X15)</f>
        <v>0</v>
      </c>
      <c r="Y16" s="39">
        <f>SUM(Y11:Y15)</f>
        <v>0</v>
      </c>
      <c r="Z16" s="61">
        <f>SUM(Z11:Z15)</f>
        <v>1728626</v>
      </c>
      <c r="AA16" s="39">
        <f>SUM(AA11:AA15)</f>
        <v>5120855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</row>
    <row r="17" spans="1:3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-19199582</v>
      </c>
      <c r="E19" s="38">
        <f t="shared" si="3"/>
        <v>-56025576.869999997</v>
      </c>
      <c r="F19" s="64">
        <f>'TIE-OUT'!Z19+RECLASS!X19</f>
        <v>0</v>
      </c>
      <c r="G19" s="68">
        <f>'TIE-OUT'!AA19+RECLASS!Y19</f>
        <v>0</v>
      </c>
      <c r="H19" s="60">
        <f>-20509620+826927</f>
        <v>-19682693</v>
      </c>
      <c r="I19" s="38">
        <f>-58273101+2312685</f>
        <v>-55960416</v>
      </c>
      <c r="J19" s="60">
        <v>-17000</v>
      </c>
      <c r="K19" s="145">
        <f>-45135+15310</f>
        <v>-29825</v>
      </c>
      <c r="L19" s="129">
        <f>-758462+768112</f>
        <v>9650</v>
      </c>
      <c r="M19" s="130">
        <f>-2139532+2164472</f>
        <v>24940</v>
      </c>
      <c r="N19" s="60">
        <f>-9585-57636</f>
        <v>-67221</v>
      </c>
      <c r="O19" s="38">
        <f>-24825-179243</f>
        <v>-204068</v>
      </c>
      <c r="P19" s="126">
        <f>+Actuals!M289</f>
        <v>57654</v>
      </c>
      <c r="Q19" s="127">
        <f>+Actuals!N289</f>
        <v>146172.32999999999</v>
      </c>
      <c r="R19" s="60">
        <f>+Actuals!O289</f>
        <v>500025</v>
      </c>
      <c r="S19" s="38">
        <f>+Actuals!P289</f>
        <v>73.36</v>
      </c>
      <c r="T19" s="60">
        <f>+Actuals!Q289</f>
        <v>0</v>
      </c>
      <c r="U19" s="38">
        <f>+Actuals!R289</f>
        <v>0</v>
      </c>
      <c r="V19" s="60">
        <f>+Actuals!S289</f>
        <v>-1</v>
      </c>
      <c r="W19" s="38">
        <f>+Actuals!T289</f>
        <v>-2464.12</v>
      </c>
      <c r="X19" s="60">
        <f>+Actuals!U289</f>
        <v>4</v>
      </c>
      <c r="Y19" s="38">
        <f>+Actuals!V289</f>
        <v>10.56</v>
      </c>
      <c r="Z19" s="60">
        <f>+Actuals!W289</f>
        <v>0</v>
      </c>
      <c r="AA19" s="38">
        <f>+Actuals!X289</f>
        <v>0</v>
      </c>
      <c r="AB19" s="60"/>
      <c r="AC19" s="38"/>
      <c r="AD19" s="60"/>
      <c r="AE19" s="38"/>
      <c r="AF19" s="60"/>
      <c r="AG19" s="38"/>
    </row>
    <row r="20" spans="1:33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-530722.32000000007</v>
      </c>
      <c r="F20" s="60">
        <f>'TIE-OUT'!Z20+RECLASS!X20</f>
        <v>0</v>
      </c>
      <c r="G20" s="38">
        <f>'TIE-OUT'!AA20+RECLASS!Y20</f>
        <v>-335508.32</v>
      </c>
      <c r="H20" s="60"/>
      <c r="I20" s="38"/>
      <c r="J20" s="60"/>
      <c r="K20" s="156">
        <v>-195214</v>
      </c>
      <c r="L20" s="129">
        <f>+Actuals!I90</f>
        <v>0</v>
      </c>
      <c r="M20" s="130">
        <f>+Actuals!J90</f>
        <v>0</v>
      </c>
      <c r="N20" s="60"/>
      <c r="O20" s="38"/>
      <c r="P20" s="126">
        <f>+Actuals!M290</f>
        <v>0</v>
      </c>
      <c r="Q20" s="127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/>
      <c r="AC20" s="38"/>
      <c r="AD20" s="60"/>
      <c r="AE20" s="38"/>
      <c r="AF20" s="60"/>
      <c r="AG20" s="38"/>
    </row>
    <row r="21" spans="1:33" x14ac:dyDescent="0.25">
      <c r="A21" s="9">
        <v>8</v>
      </c>
      <c r="B21" s="7"/>
      <c r="C21" s="18" t="s">
        <v>27</v>
      </c>
      <c r="D21" s="60">
        <f t="shared" si="3"/>
        <v>-826927</v>
      </c>
      <c r="E21" s="38">
        <f t="shared" si="3"/>
        <v>-2312686</v>
      </c>
      <c r="F21" s="60">
        <f>'TIE-OUT'!Z21+RECLASS!X21</f>
        <v>0</v>
      </c>
      <c r="G21" s="38">
        <f>'TIE-OUT'!AA21+RECLASS!Y21</f>
        <v>0</v>
      </c>
      <c r="H21" s="60">
        <v>-826927</v>
      </c>
      <c r="I21" s="38">
        <v>-2312685</v>
      </c>
      <c r="J21" s="60">
        <v>-1090712</v>
      </c>
      <c r="K21" s="145">
        <v>-3085980</v>
      </c>
      <c r="L21" s="129">
        <v>-768112</v>
      </c>
      <c r="M21" s="130">
        <v>-2164472</v>
      </c>
      <c r="N21" s="60">
        <v>1917639</v>
      </c>
      <c r="O21" s="38">
        <v>5398666</v>
      </c>
      <c r="P21" s="126">
        <f>+Actuals!M291</f>
        <v>-2743387</v>
      </c>
      <c r="Q21" s="127">
        <f>+Actuals!N291</f>
        <v>-7708380</v>
      </c>
      <c r="R21" s="60">
        <f>+Actuals!O291</f>
        <v>0</v>
      </c>
      <c r="S21" s="38">
        <f>+Actuals!P291</f>
        <v>0</v>
      </c>
      <c r="T21" s="60">
        <f>+Actuals!Q291</f>
        <v>2685751</v>
      </c>
      <c r="U21" s="38">
        <f>+Actuals!R291</f>
        <v>7563137</v>
      </c>
      <c r="V21" s="60">
        <f>+Actuals!S291</f>
        <v>0</v>
      </c>
      <c r="W21" s="38">
        <f>+Actuals!T291</f>
        <v>0</v>
      </c>
      <c r="X21" s="60">
        <f>+Actuals!U291</f>
        <v>0</v>
      </c>
      <c r="Y21" s="38">
        <f>+Actuals!V291</f>
        <v>0</v>
      </c>
      <c r="Z21" s="60">
        <f>+Actuals!W291</f>
        <v>-1179</v>
      </c>
      <c r="AA21" s="38">
        <f>+Actuals!X291</f>
        <v>-2972</v>
      </c>
      <c r="AB21" s="60"/>
      <c r="AC21" s="38"/>
      <c r="AD21" s="60"/>
      <c r="AE21" s="38"/>
      <c r="AF21" s="60"/>
      <c r="AG21" s="38"/>
    </row>
    <row r="22" spans="1:33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5"/>
      <c r="L22" s="129">
        <f>+Actuals!I92</f>
        <v>0</v>
      </c>
      <c r="M22" s="130">
        <f>+Actuals!J92</f>
        <v>0</v>
      </c>
      <c r="N22" s="60"/>
      <c r="O22" s="38"/>
      <c r="P22" s="126">
        <f>+Actuals!M292</f>
        <v>0</v>
      </c>
      <c r="Q22" s="127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/>
      <c r="AC22" s="38"/>
      <c r="AD22" s="60"/>
      <c r="AE22" s="38"/>
      <c r="AF22" s="60"/>
      <c r="AG22" s="38"/>
    </row>
    <row r="23" spans="1:33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5"/>
      <c r="L23" s="129">
        <f>+Actuals!I93</f>
        <v>0</v>
      </c>
      <c r="M23" s="130">
        <f>+Actuals!J93</f>
        <v>0</v>
      </c>
      <c r="N23" s="60"/>
      <c r="O23" s="38"/>
      <c r="P23" s="126">
        <f>+Actuals!M293</f>
        <v>0</v>
      </c>
      <c r="Q23" s="127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/>
      <c r="AC23" s="38"/>
      <c r="AD23" s="60"/>
      <c r="AE23" s="38"/>
      <c r="AF23" s="60"/>
      <c r="AG23" s="38"/>
    </row>
    <row r="24" spans="1:33" x14ac:dyDescent="0.25">
      <c r="A24" s="9"/>
      <c r="B24" s="7" t="s">
        <v>33</v>
      </c>
      <c r="C24" s="6"/>
      <c r="D24" s="61">
        <f>SUM(D19:D23)</f>
        <v>-20026509</v>
      </c>
      <c r="E24" s="39">
        <f>SUM(E19:E23)</f>
        <v>-58868985.189999998</v>
      </c>
      <c r="F24" s="61">
        <f t="shared" ref="F24:AD24" si="4">SUM(F19:F23)</f>
        <v>0</v>
      </c>
      <c r="G24" s="39">
        <f t="shared" si="4"/>
        <v>-335508.32</v>
      </c>
      <c r="H24" s="61">
        <f t="shared" si="4"/>
        <v>-20509620</v>
      </c>
      <c r="I24" s="39">
        <f t="shared" si="4"/>
        <v>-58273101</v>
      </c>
      <c r="J24" s="61">
        <f t="shared" si="4"/>
        <v>-1107712</v>
      </c>
      <c r="K24" s="146">
        <f t="shared" si="4"/>
        <v>-3311019</v>
      </c>
      <c r="L24" s="61">
        <f t="shared" si="4"/>
        <v>-758462</v>
      </c>
      <c r="M24" s="39">
        <f t="shared" si="4"/>
        <v>-2139532</v>
      </c>
      <c r="N24" s="61">
        <f t="shared" si="4"/>
        <v>1850418</v>
      </c>
      <c r="O24" s="39">
        <f t="shared" si="4"/>
        <v>5194598</v>
      </c>
      <c r="P24" s="61">
        <f t="shared" si="4"/>
        <v>-2685733</v>
      </c>
      <c r="Q24" s="39">
        <f t="shared" si="4"/>
        <v>-7562207.6699999999</v>
      </c>
      <c r="R24" s="61">
        <f t="shared" ref="R24:W24" si="5">SUM(R19:R23)</f>
        <v>500025</v>
      </c>
      <c r="S24" s="39">
        <f t="shared" si="5"/>
        <v>73.36</v>
      </c>
      <c r="T24" s="61">
        <f t="shared" si="5"/>
        <v>2685751</v>
      </c>
      <c r="U24" s="39">
        <f t="shared" si="5"/>
        <v>7563137</v>
      </c>
      <c r="V24" s="61">
        <f t="shared" si="5"/>
        <v>-1</v>
      </c>
      <c r="W24" s="39">
        <f t="shared" si="5"/>
        <v>-2464.12</v>
      </c>
      <c r="X24" s="61">
        <f>SUM(X19:X23)</f>
        <v>4</v>
      </c>
      <c r="Y24" s="39">
        <f>SUM(Y19:Y23)</f>
        <v>10.56</v>
      </c>
      <c r="Z24" s="61">
        <f>SUM(Z19:Z23)</f>
        <v>-1179</v>
      </c>
      <c r="AA24" s="39">
        <f>SUM(AA19:AA23)</f>
        <v>-2972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</row>
    <row r="25" spans="1:3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5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5"/>
      <c r="L27" s="129">
        <f>+Actuals!I94</f>
        <v>0</v>
      </c>
      <c r="M27" s="130">
        <f>+Actuals!J94</f>
        <v>0</v>
      </c>
      <c r="N27" s="60"/>
      <c r="O27" s="38"/>
      <c r="P27" s="126">
        <f>+Actuals!M294</f>
        <v>0</v>
      </c>
      <c r="Q27" s="127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/>
      <c r="AC27" s="38"/>
      <c r="AD27" s="60"/>
      <c r="AE27" s="38"/>
      <c r="AF27" s="60"/>
      <c r="AG27" s="38"/>
    </row>
    <row r="28" spans="1:33" x14ac:dyDescent="0.25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5"/>
      <c r="L28" s="129">
        <f>+Actuals!I95</f>
        <v>0</v>
      </c>
      <c r="M28" s="130">
        <f>+Actuals!J95</f>
        <v>0</v>
      </c>
      <c r="N28" s="60"/>
      <c r="O28" s="38"/>
      <c r="P28" s="126">
        <f>+Actuals!M295</f>
        <v>0</v>
      </c>
      <c r="Q28" s="127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/>
      <c r="AC28" s="38"/>
      <c r="AD28" s="60"/>
      <c r="AE28" s="38"/>
      <c r="AF28" s="60"/>
      <c r="AG28" s="38"/>
    </row>
    <row r="29" spans="1:33" x14ac:dyDescent="0.25">
      <c r="A29" s="9"/>
      <c r="B29" s="7" t="s">
        <v>37</v>
      </c>
      <c r="C29" s="18"/>
      <c r="D29" s="61">
        <f t="shared" ref="D29: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6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ref="V29:AE29" si="8">SUM(V27:V28)</f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>SUM(Z27:Z28)</f>
        <v>0</v>
      </c>
      <c r="AA29" s="39">
        <f>SUM(AA27:AA28)</f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>SUM(AF27:AF28)</f>
        <v>0</v>
      </c>
      <c r="AG29" s="39">
        <f>SUM(AG27:AG28)</f>
        <v>0</v>
      </c>
    </row>
    <row r="30" spans="1:3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129"/>
      <c r="M31" s="130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5">
      <c r="A32" s="9">
        <v>13</v>
      </c>
      <c r="B32" s="7"/>
      <c r="C32" s="18" t="s">
        <v>39</v>
      </c>
      <c r="D32" s="60">
        <f t="shared" ref="D32:E35" si="9">SUM(F32,H32,J32,L32,N32,P32,R32,T32,V32,X32,Z32,AB32,AD32,AF32)</f>
        <v>-64078</v>
      </c>
      <c r="E32" s="38">
        <f t="shared" si="9"/>
        <v>-165962.25</v>
      </c>
      <c r="F32" s="64">
        <f>'TIE-OUT'!Z32+RECLASS!X32</f>
        <v>0</v>
      </c>
      <c r="G32" s="68">
        <f>'TIE-OUT'!AA32+RECLASS!Y32</f>
        <v>0</v>
      </c>
      <c r="H32" s="60">
        <v>-21437</v>
      </c>
      <c r="I32" s="38">
        <v>-55522</v>
      </c>
      <c r="J32" s="60">
        <v>21437</v>
      </c>
      <c r="K32" s="145">
        <v>55522</v>
      </c>
      <c r="L32" s="129">
        <v>-6631</v>
      </c>
      <c r="M32" s="130">
        <v>-17174</v>
      </c>
      <c r="N32" s="60">
        <v>328</v>
      </c>
      <c r="O32" s="38">
        <v>849</v>
      </c>
      <c r="P32" s="126">
        <f>+Actuals!M296</f>
        <v>-31</v>
      </c>
      <c r="Q32" s="127">
        <f>+Actuals!N296</f>
        <v>-80.290000000000006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-57744</v>
      </c>
      <c r="AA32" s="38">
        <f>+Actuals!X296</f>
        <v>-149556.96</v>
      </c>
      <c r="AB32" s="60"/>
      <c r="AC32" s="38"/>
      <c r="AD32" s="60"/>
      <c r="AE32" s="38"/>
      <c r="AF32" s="60"/>
      <c r="AG32" s="38"/>
    </row>
    <row r="33" spans="1:33" x14ac:dyDescent="0.25">
      <c r="A33" s="9">
        <v>14</v>
      </c>
      <c r="B33" s="7"/>
      <c r="C33" s="18" t="s">
        <v>40</v>
      </c>
      <c r="D33" s="60">
        <f t="shared" si="9"/>
        <v>0</v>
      </c>
      <c r="E33" s="38">
        <f t="shared" si="9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5"/>
      <c r="L33" s="129">
        <f>+Actuals!I97</f>
        <v>0</v>
      </c>
      <c r="M33" s="130">
        <f>+Actuals!J97</f>
        <v>0</v>
      </c>
      <c r="N33" s="60"/>
      <c r="O33" s="38"/>
      <c r="P33" s="126">
        <f>+Actuals!M297</f>
        <v>0</v>
      </c>
      <c r="Q33" s="127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/>
      <c r="AC33" s="38"/>
      <c r="AD33" s="60"/>
      <c r="AE33" s="38"/>
      <c r="AF33" s="60"/>
      <c r="AG33" s="38"/>
    </row>
    <row r="34" spans="1:33" x14ac:dyDescent="0.25">
      <c r="A34" s="9">
        <v>15</v>
      </c>
      <c r="B34" s="7"/>
      <c r="C34" s="18" t="s">
        <v>41</v>
      </c>
      <c r="D34" s="60">
        <f t="shared" si="9"/>
        <v>0</v>
      </c>
      <c r="E34" s="38">
        <f t="shared" si="9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5"/>
      <c r="L34" s="129">
        <f>+Actuals!I98</f>
        <v>0</v>
      </c>
      <c r="M34" s="130">
        <f>+Actuals!J98</f>
        <v>0</v>
      </c>
      <c r="N34" s="60"/>
      <c r="O34" s="38"/>
      <c r="P34" s="126">
        <f>+Actuals!M298</f>
        <v>0</v>
      </c>
      <c r="Q34" s="127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/>
      <c r="AC34" s="38"/>
      <c r="AD34" s="60"/>
      <c r="AE34" s="38"/>
      <c r="AF34" s="60"/>
      <c r="AG34" s="38"/>
    </row>
    <row r="35" spans="1:33" x14ac:dyDescent="0.25">
      <c r="A35" s="9">
        <v>16</v>
      </c>
      <c r="B35" s="7"/>
      <c r="C35" s="18" t="s">
        <v>42</v>
      </c>
      <c r="D35" s="60">
        <f t="shared" si="9"/>
        <v>-500000</v>
      </c>
      <c r="E35" s="38">
        <f t="shared" si="9"/>
        <v>-1335000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5"/>
      <c r="L35" s="129">
        <f>+Actuals!I99</f>
        <v>0</v>
      </c>
      <c r="M35" s="130">
        <f>+Actuals!J99</f>
        <v>0</v>
      </c>
      <c r="N35" s="60"/>
      <c r="O35" s="38"/>
      <c r="P35" s="126">
        <f>+Actuals!M299</f>
        <v>0</v>
      </c>
      <c r="Q35" s="127">
        <f>+Actuals!N299</f>
        <v>0</v>
      </c>
      <c r="R35" s="60">
        <f>+Actuals!O299</f>
        <v>-500000</v>
      </c>
      <c r="S35" s="38">
        <f>+Actuals!P299</f>
        <v>-1335000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/>
      <c r="AC35" s="38"/>
      <c r="AD35" s="60"/>
      <c r="AE35" s="38"/>
      <c r="AF35" s="60"/>
      <c r="AG35" s="38"/>
    </row>
    <row r="36" spans="1:33" x14ac:dyDescent="0.25">
      <c r="A36" s="9"/>
      <c r="B36" s="7" t="s">
        <v>43</v>
      </c>
      <c r="C36" s="6"/>
      <c r="D36" s="61">
        <f>SUM(D32:D35)</f>
        <v>-564078</v>
      </c>
      <c r="E36" s="39">
        <f>SUM(E32:E35)</f>
        <v>-1500962.25</v>
      </c>
      <c r="F36" s="61">
        <f t="shared" ref="F36:AD36" si="10">SUM(F32:F35)</f>
        <v>0</v>
      </c>
      <c r="G36" s="39">
        <f t="shared" si="10"/>
        <v>0</v>
      </c>
      <c r="H36" s="61">
        <f t="shared" si="10"/>
        <v>-21437</v>
      </c>
      <c r="I36" s="39">
        <f t="shared" si="10"/>
        <v>-55522</v>
      </c>
      <c r="J36" s="61">
        <f t="shared" si="10"/>
        <v>21437</v>
      </c>
      <c r="K36" s="146">
        <f t="shared" si="10"/>
        <v>55522</v>
      </c>
      <c r="L36" s="61">
        <f t="shared" si="10"/>
        <v>-6631</v>
      </c>
      <c r="M36" s="39">
        <f t="shared" si="10"/>
        <v>-17174</v>
      </c>
      <c r="N36" s="61">
        <f t="shared" si="10"/>
        <v>328</v>
      </c>
      <c r="O36" s="39">
        <f t="shared" si="10"/>
        <v>849</v>
      </c>
      <c r="P36" s="61">
        <f t="shared" si="10"/>
        <v>-31</v>
      </c>
      <c r="Q36" s="39">
        <f t="shared" si="10"/>
        <v>-80.290000000000006</v>
      </c>
      <c r="R36" s="61">
        <f t="shared" ref="R36:W36" si="11">SUM(R32:R35)</f>
        <v>-500000</v>
      </c>
      <c r="S36" s="39">
        <f t="shared" si="11"/>
        <v>-1335000</v>
      </c>
      <c r="T36" s="61">
        <f t="shared" si="11"/>
        <v>0</v>
      </c>
      <c r="U36" s="39">
        <f t="shared" si="11"/>
        <v>0</v>
      </c>
      <c r="V36" s="61">
        <f t="shared" si="11"/>
        <v>0</v>
      </c>
      <c r="W36" s="39">
        <f t="shared" si="11"/>
        <v>0</v>
      </c>
      <c r="X36" s="61">
        <f>SUM(X32:X35)</f>
        <v>0</v>
      </c>
      <c r="Y36" s="39">
        <f>SUM(Y32:Y35)</f>
        <v>0</v>
      </c>
      <c r="Z36" s="61">
        <f>SUM(Z32:Z35)</f>
        <v>-57744</v>
      </c>
      <c r="AA36" s="39">
        <f>SUM(AA32:AA35)</f>
        <v>-149556.96</v>
      </c>
      <c r="AB36" s="61">
        <f t="shared" si="10"/>
        <v>0</v>
      </c>
      <c r="AC36" s="39">
        <f>SUM(AC32:AC35)</f>
        <v>0</v>
      </c>
      <c r="AD36" s="61">
        <f t="shared" si="10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</row>
    <row r="37" spans="1:3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5">
      <c r="A39" s="9">
        <v>17</v>
      </c>
      <c r="B39" s="7"/>
      <c r="C39" s="18" t="s">
        <v>45</v>
      </c>
      <c r="D39" s="60">
        <f t="shared" ref="D39:E41" si="12">SUM(F39,H39,J39,L39,N39,P39,R39,T39,V39,X39,Z39,AB39,AD39,AF39)</f>
        <v>0</v>
      </c>
      <c r="E39" s="38">
        <f t="shared" si="12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5"/>
      <c r="L39" s="129">
        <f>+Actuals!I100</f>
        <v>0</v>
      </c>
      <c r="M39" s="130">
        <f>+Actuals!J100</f>
        <v>0</v>
      </c>
      <c r="N39" s="60"/>
      <c r="O39" s="38"/>
      <c r="P39" s="126">
        <f>+Actuals!M300</f>
        <v>0</v>
      </c>
      <c r="Q39" s="127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/>
      <c r="AC39" s="38"/>
      <c r="AD39" s="60"/>
      <c r="AE39" s="38"/>
      <c r="AF39" s="60"/>
      <c r="AG39" s="38"/>
    </row>
    <row r="40" spans="1:33" ht="22.5" customHeight="1" x14ac:dyDescent="0.25">
      <c r="A40" s="9">
        <v>18</v>
      </c>
      <c r="B40" s="7"/>
      <c r="C40" s="18" t="s">
        <v>46</v>
      </c>
      <c r="D40" s="60">
        <f t="shared" si="12"/>
        <v>0</v>
      </c>
      <c r="E40" s="38">
        <f t="shared" si="12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5"/>
      <c r="L40" s="129">
        <f>+Actuals!I101</f>
        <v>0</v>
      </c>
      <c r="M40" s="130">
        <f>+Actuals!J101</f>
        <v>0</v>
      </c>
      <c r="N40" s="60"/>
      <c r="O40" s="38"/>
      <c r="P40" s="126">
        <f>+Actuals!M301</f>
        <v>0</v>
      </c>
      <c r="Q40" s="127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/>
      <c r="AC40" s="38"/>
      <c r="AD40" s="60"/>
      <c r="AE40" s="38"/>
      <c r="AF40" s="60"/>
      <c r="AG40" s="38"/>
    </row>
    <row r="41" spans="1:33" x14ac:dyDescent="0.25">
      <c r="A41" s="9">
        <v>19</v>
      </c>
      <c r="B41" s="7"/>
      <c r="C41" s="18" t="s">
        <v>47</v>
      </c>
      <c r="D41" s="60">
        <f t="shared" si="12"/>
        <v>0</v>
      </c>
      <c r="E41" s="38">
        <f t="shared" si="12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5"/>
      <c r="L41" s="129">
        <f>+Actuals!I102</f>
        <v>0</v>
      </c>
      <c r="M41" s="130">
        <f>+Actuals!J102</f>
        <v>0</v>
      </c>
      <c r="N41" s="60"/>
      <c r="O41" s="38"/>
      <c r="P41" s="126">
        <f>+Actuals!M302</f>
        <v>0</v>
      </c>
      <c r="Q41" s="127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/>
      <c r="AC41" s="38"/>
      <c r="AD41" s="60"/>
      <c r="AE41" s="38"/>
      <c r="AF41" s="60"/>
      <c r="AG41" s="38"/>
    </row>
    <row r="42" spans="1:3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3">SUM(F40:F41)</f>
        <v>0</v>
      </c>
      <c r="G42" s="39">
        <f t="shared" si="13"/>
        <v>0</v>
      </c>
      <c r="H42" s="61">
        <f t="shared" si="13"/>
        <v>0</v>
      </c>
      <c r="I42" s="39">
        <f t="shared" si="13"/>
        <v>0</v>
      </c>
      <c r="J42" s="61">
        <f t="shared" si="13"/>
        <v>0</v>
      </c>
      <c r="K42" s="146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ref="R42:W42" si="14">SUM(R40:R41)</f>
        <v>0</v>
      </c>
      <c r="S42" s="39">
        <f t="shared" si="14"/>
        <v>0</v>
      </c>
      <c r="T42" s="61">
        <f t="shared" si="14"/>
        <v>0</v>
      </c>
      <c r="U42" s="39">
        <f t="shared" si="14"/>
        <v>0</v>
      </c>
      <c r="V42" s="61">
        <f t="shared" si="14"/>
        <v>0</v>
      </c>
      <c r="W42" s="39">
        <f t="shared" si="14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>SUM(AC40:AC41)</f>
        <v>0</v>
      </c>
      <c r="AD42" s="61">
        <f t="shared" si="13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5">F42+F39</f>
        <v>0</v>
      </c>
      <c r="G43" s="39">
        <f t="shared" si="15"/>
        <v>0</v>
      </c>
      <c r="H43" s="61">
        <f t="shared" si="15"/>
        <v>0</v>
      </c>
      <c r="I43" s="39">
        <f t="shared" si="15"/>
        <v>0</v>
      </c>
      <c r="J43" s="61">
        <f t="shared" si="15"/>
        <v>0</v>
      </c>
      <c r="K43" s="146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ref="R43:W43" si="16">R42+R39</f>
        <v>0</v>
      </c>
      <c r="S43" s="39">
        <f t="shared" si="16"/>
        <v>0</v>
      </c>
      <c r="T43" s="61">
        <f t="shared" si="16"/>
        <v>0</v>
      </c>
      <c r="U43" s="39">
        <f t="shared" si="16"/>
        <v>0</v>
      </c>
      <c r="V43" s="61">
        <f t="shared" si="16"/>
        <v>0</v>
      </c>
      <c r="W43" s="39">
        <f t="shared" si="16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>AC42+AC39</f>
        <v>0</v>
      </c>
      <c r="AD43" s="61">
        <f t="shared" si="15"/>
        <v>0</v>
      </c>
      <c r="AE43" s="39">
        <f>AE42+AE39</f>
        <v>0</v>
      </c>
      <c r="AF43" s="61">
        <f>AF42+AF39</f>
        <v>0</v>
      </c>
      <c r="AG43" s="39">
        <f>AG42+AG39</f>
        <v>0</v>
      </c>
    </row>
    <row r="44" spans="1:3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5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5"/>
      <c r="L45" s="129">
        <f>+Actuals!I103</f>
        <v>0</v>
      </c>
      <c r="M45" s="130">
        <f>+Actuals!J103</f>
        <v>0</v>
      </c>
      <c r="N45" s="60"/>
      <c r="O45" s="38"/>
      <c r="P45" s="126">
        <f>+Actuals!M303</f>
        <v>0</v>
      </c>
      <c r="Q45" s="127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/>
      <c r="AC45" s="38"/>
      <c r="AD45" s="60"/>
      <c r="AE45" s="38"/>
      <c r="AF45" s="60"/>
      <c r="AG45" s="38"/>
    </row>
    <row r="46" spans="1:3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5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5"/>
      <c r="L47" s="129">
        <f>+Actuals!I104</f>
        <v>0</v>
      </c>
      <c r="M47" s="130">
        <f>+Actuals!J104</f>
        <v>0</v>
      </c>
      <c r="N47" s="60"/>
      <c r="O47" s="38"/>
      <c r="P47" s="126">
        <f>+Actuals!M304</f>
        <v>0</v>
      </c>
      <c r="Q47" s="127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/>
      <c r="AC47" s="38"/>
      <c r="AD47" s="60"/>
      <c r="AE47" s="38"/>
      <c r="AF47" s="60"/>
      <c r="AG47" s="38"/>
    </row>
    <row r="48" spans="1:3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5">
      <c r="A49" s="9">
        <v>22</v>
      </c>
      <c r="B49" s="11" t="s">
        <v>52</v>
      </c>
      <c r="C49" s="6"/>
      <c r="D49" s="60">
        <f>SUM(F49,H49,J49,L49,N49,P49,R49,T49,V49,X49,Z49,AB49,AD49,AF49)</f>
        <v>55276</v>
      </c>
      <c r="E49" s="38">
        <f>SUM(G49,I49,K49,M49,O49,Q49,S49,U49,W49,Y49,AA49,AC49,AE49,AG49)</f>
        <v>143164.38000000082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-8740</v>
      </c>
      <c r="K49" s="145">
        <v>-22637</v>
      </c>
      <c r="L49" s="129">
        <v>-325573</v>
      </c>
      <c r="M49" s="130">
        <v>-843234</v>
      </c>
      <c r="N49" s="60">
        <v>2059307</v>
      </c>
      <c r="O49" s="38">
        <v>5333605</v>
      </c>
      <c r="P49" s="126">
        <f>+Actuals!M305</f>
        <v>-2314978</v>
      </c>
      <c r="Q49" s="127">
        <f>+Actuals!N305</f>
        <v>-5995793.0199999996</v>
      </c>
      <c r="R49" s="60">
        <f>+Actuals!O305</f>
        <v>-25</v>
      </c>
      <c r="S49" s="38">
        <f>+Actuals!P305</f>
        <v>-64.75</v>
      </c>
      <c r="T49" s="60">
        <f>+Actuals!Q305</f>
        <v>2314991</v>
      </c>
      <c r="U49" s="38">
        <f>+Actuals!R305</f>
        <v>5995826.6900000004</v>
      </c>
      <c r="V49" s="60">
        <f>+Actuals!S305</f>
        <v>1</v>
      </c>
      <c r="W49" s="38">
        <f>+Actuals!T305</f>
        <v>2.59</v>
      </c>
      <c r="X49" s="60">
        <f>+Actuals!U305</f>
        <v>-4</v>
      </c>
      <c r="Y49" s="38">
        <f>+Actuals!V305</f>
        <v>-10.36</v>
      </c>
      <c r="Z49" s="60">
        <f>+Actuals!W305</f>
        <v>-1669703</v>
      </c>
      <c r="AA49" s="38">
        <f>+Actuals!X305</f>
        <v>-4324530.7699999996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</row>
    <row r="50" spans="1:3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5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5">
        <v>0</v>
      </c>
      <c r="L51" s="129">
        <f>+Actuals!I106</f>
        <v>0</v>
      </c>
      <c r="M51" s="130">
        <f>+Actuals!J106</f>
        <v>0</v>
      </c>
      <c r="N51" s="60">
        <v>0</v>
      </c>
      <c r="O51" s="38">
        <v>0</v>
      </c>
      <c r="P51" s="126">
        <f>+Actuals!M306</f>
        <v>0</v>
      </c>
      <c r="Q51" s="127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</row>
    <row r="52" spans="1:3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5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-55215</v>
      </c>
      <c r="F54" s="64">
        <f>'TIE-OUT'!Z54+RECLASS!X54</f>
        <v>0</v>
      </c>
      <c r="G54" s="68">
        <f>'TIE-OUT'!AA54+RECLASS!Y54</f>
        <v>0</v>
      </c>
      <c r="H54" s="60"/>
      <c r="I54" s="38">
        <v>-32</v>
      </c>
      <c r="J54" s="60"/>
      <c r="K54" s="145"/>
      <c r="L54" s="129">
        <v>0</v>
      </c>
      <c r="M54" s="130">
        <v>-55183</v>
      </c>
      <c r="N54" s="60"/>
      <c r="O54" s="38"/>
      <c r="P54" s="126">
        <f>+Actuals!M307</f>
        <v>0</v>
      </c>
      <c r="Q54" s="127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/>
      <c r="AC54" s="38"/>
      <c r="AD54" s="60"/>
      <c r="AE54" s="38"/>
      <c r="AF54" s="60"/>
      <c r="AG54" s="38"/>
    </row>
    <row r="55" spans="1:33" x14ac:dyDescent="0.25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5"/>
      <c r="L55" s="129">
        <f>+Actuals!I108</f>
        <v>0</v>
      </c>
      <c r="M55" s="130">
        <f>+Actuals!J108</f>
        <v>0</v>
      </c>
      <c r="N55" s="60"/>
      <c r="O55" s="38"/>
      <c r="P55" s="126">
        <f>+Actuals!M308</f>
        <v>0</v>
      </c>
      <c r="Q55" s="127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/>
      <c r="AC55" s="38"/>
      <c r="AD55" s="60"/>
      <c r="AE55" s="38"/>
      <c r="AF55" s="60"/>
      <c r="AG55" s="38"/>
    </row>
    <row r="56" spans="1:33" x14ac:dyDescent="0.25">
      <c r="A56" s="9"/>
      <c r="B56" s="7" t="s">
        <v>57</v>
      </c>
      <c r="C56" s="6"/>
      <c r="D56" s="61">
        <f t="shared" ref="D56:O56" si="17">SUM(D54:D55)</f>
        <v>0</v>
      </c>
      <c r="E56" s="39">
        <f t="shared" si="17"/>
        <v>-55215</v>
      </c>
      <c r="F56" s="61">
        <f t="shared" si="17"/>
        <v>0</v>
      </c>
      <c r="G56" s="39">
        <f t="shared" si="17"/>
        <v>0</v>
      </c>
      <c r="H56" s="61">
        <f t="shared" si="17"/>
        <v>0</v>
      </c>
      <c r="I56" s="39">
        <f t="shared" si="17"/>
        <v>-32</v>
      </c>
      <c r="J56" s="61">
        <f t="shared" si="17"/>
        <v>0</v>
      </c>
      <c r="K56" s="146">
        <f t="shared" si="17"/>
        <v>0</v>
      </c>
      <c r="L56" s="61">
        <f t="shared" si="17"/>
        <v>0</v>
      </c>
      <c r="M56" s="39">
        <f t="shared" si="17"/>
        <v>-55183</v>
      </c>
      <c r="N56" s="61">
        <f t="shared" si="17"/>
        <v>0</v>
      </c>
      <c r="O56" s="39">
        <f t="shared" si="17"/>
        <v>0</v>
      </c>
      <c r="P56" s="61">
        <f t="shared" ref="P56:U56" si="18">SUM(P54:P55)</f>
        <v>0</v>
      </c>
      <c r="Q56" s="39">
        <f t="shared" si="18"/>
        <v>0</v>
      </c>
      <c r="R56" s="61">
        <f t="shared" si="18"/>
        <v>0</v>
      </c>
      <c r="S56" s="39">
        <f t="shared" si="18"/>
        <v>0</v>
      </c>
      <c r="T56" s="61">
        <f t="shared" si="18"/>
        <v>0</v>
      </c>
      <c r="U56" s="39">
        <f t="shared" si="18"/>
        <v>0</v>
      </c>
      <c r="V56" s="61">
        <f t="shared" ref="V56:AE56" si="19">SUM(V54:V55)</f>
        <v>0</v>
      </c>
      <c r="W56" s="39">
        <f t="shared" si="19"/>
        <v>0</v>
      </c>
      <c r="X56" s="61">
        <f t="shared" si="19"/>
        <v>0</v>
      </c>
      <c r="Y56" s="39">
        <f t="shared" si="19"/>
        <v>0</v>
      </c>
      <c r="Z56" s="61">
        <f>SUM(Z54:Z55)</f>
        <v>0</v>
      </c>
      <c r="AA56" s="39">
        <f>SUM(AA54:AA55)</f>
        <v>0</v>
      </c>
      <c r="AB56" s="61">
        <f t="shared" si="19"/>
        <v>0</v>
      </c>
      <c r="AC56" s="39">
        <f t="shared" si="19"/>
        <v>0</v>
      </c>
      <c r="AD56" s="61">
        <f t="shared" si="19"/>
        <v>0</v>
      </c>
      <c r="AE56" s="39">
        <f t="shared" si="19"/>
        <v>0</v>
      </c>
      <c r="AF56" s="61">
        <f>SUM(AF54:AF55)</f>
        <v>0</v>
      </c>
      <c r="AG56" s="39">
        <f>SUM(AG54:AG55)</f>
        <v>0</v>
      </c>
    </row>
    <row r="57" spans="1:3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5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5"/>
      <c r="L59" s="129">
        <f>+Actuals!I109</f>
        <v>0</v>
      </c>
      <c r="M59" s="130">
        <f>+Actuals!J109</f>
        <v>0</v>
      </c>
      <c r="N59" s="60"/>
      <c r="O59" s="38"/>
      <c r="P59" s="126">
        <f>+Actuals!M309</f>
        <v>0</v>
      </c>
      <c r="Q59" s="127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/>
      <c r="AC59" s="38"/>
      <c r="AD59" s="60"/>
      <c r="AE59" s="38"/>
      <c r="AF59" s="60"/>
      <c r="AG59" s="38"/>
    </row>
    <row r="60" spans="1:33" x14ac:dyDescent="0.25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5"/>
      <c r="L60" s="129">
        <f>+Actuals!I110</f>
        <v>0</v>
      </c>
      <c r="M60" s="130">
        <f>+Actuals!J110</f>
        <v>0</v>
      </c>
      <c r="N60" s="60"/>
      <c r="O60" s="38"/>
      <c r="P60" s="126">
        <f>+Actuals!M310</f>
        <v>0</v>
      </c>
      <c r="Q60" s="127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/>
      <c r="AC60" s="38"/>
      <c r="AD60" s="60"/>
      <c r="AE60" s="38"/>
      <c r="AF60" s="60"/>
      <c r="AG60" s="38"/>
    </row>
    <row r="61" spans="1:33" x14ac:dyDescent="0.25">
      <c r="A61" s="9"/>
      <c r="B61" s="62" t="s">
        <v>61</v>
      </c>
      <c r="C61" s="6"/>
      <c r="D61" s="61">
        <f t="shared" ref="D61:O61" si="20">SUM(D59:D60)</f>
        <v>0</v>
      </c>
      <c r="E61" s="39">
        <f t="shared" si="20"/>
        <v>0</v>
      </c>
      <c r="F61" s="61">
        <f t="shared" si="20"/>
        <v>0</v>
      </c>
      <c r="G61" s="39">
        <f t="shared" si="20"/>
        <v>0</v>
      </c>
      <c r="H61" s="61">
        <f t="shared" si="20"/>
        <v>0</v>
      </c>
      <c r="I61" s="39">
        <f t="shared" si="20"/>
        <v>0</v>
      </c>
      <c r="J61" s="61">
        <f t="shared" si="20"/>
        <v>0</v>
      </c>
      <c r="K61" s="146">
        <f t="shared" si="20"/>
        <v>0</v>
      </c>
      <c r="L61" s="61">
        <f t="shared" si="20"/>
        <v>0</v>
      </c>
      <c r="M61" s="39">
        <f t="shared" si="20"/>
        <v>0</v>
      </c>
      <c r="N61" s="61">
        <f t="shared" si="20"/>
        <v>0</v>
      </c>
      <c r="O61" s="39">
        <f t="shared" si="20"/>
        <v>0</v>
      </c>
      <c r="P61" s="61">
        <f t="shared" ref="P61:U61" si="21">SUM(P59:P60)</f>
        <v>0</v>
      </c>
      <c r="Q61" s="39">
        <f t="shared" si="21"/>
        <v>0</v>
      </c>
      <c r="R61" s="61">
        <f t="shared" si="21"/>
        <v>0</v>
      </c>
      <c r="S61" s="39">
        <f t="shared" si="21"/>
        <v>0</v>
      </c>
      <c r="T61" s="61">
        <f t="shared" si="21"/>
        <v>0</v>
      </c>
      <c r="U61" s="39">
        <f t="shared" si="21"/>
        <v>0</v>
      </c>
      <c r="V61" s="61">
        <f t="shared" ref="V61:AE61" si="22">SUM(V59:V60)</f>
        <v>0</v>
      </c>
      <c r="W61" s="39">
        <f t="shared" si="22"/>
        <v>0</v>
      </c>
      <c r="X61" s="61">
        <f t="shared" si="22"/>
        <v>0</v>
      </c>
      <c r="Y61" s="39">
        <f t="shared" si="22"/>
        <v>0</v>
      </c>
      <c r="Z61" s="61">
        <f>SUM(Z59:Z60)</f>
        <v>0</v>
      </c>
      <c r="AA61" s="39">
        <f>SUM(AA59:AA60)</f>
        <v>0</v>
      </c>
      <c r="AB61" s="61">
        <f t="shared" si="22"/>
        <v>0</v>
      </c>
      <c r="AC61" s="39">
        <f t="shared" si="22"/>
        <v>0</v>
      </c>
      <c r="AD61" s="61">
        <f t="shared" si="22"/>
        <v>0</v>
      </c>
      <c r="AE61" s="39">
        <f t="shared" si="22"/>
        <v>0</v>
      </c>
      <c r="AF61" s="61">
        <f>SUM(AF59:AF60)</f>
        <v>0</v>
      </c>
      <c r="AG61" s="39">
        <f>SUM(AG59:AG60)</f>
        <v>0</v>
      </c>
    </row>
    <row r="62" spans="1:3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5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5"/>
      <c r="L64" s="129">
        <f>+Actuals!I111</f>
        <v>0</v>
      </c>
      <c r="M64" s="130">
        <f>+Actuals!J111</f>
        <v>0</v>
      </c>
      <c r="N64" s="60"/>
      <c r="O64" s="38"/>
      <c r="P64" s="126">
        <f>+Actuals!M311</f>
        <v>0</v>
      </c>
      <c r="Q64" s="127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/>
      <c r="AC64" s="38"/>
      <c r="AD64" s="60"/>
      <c r="AE64" s="38"/>
      <c r="AF64" s="60"/>
      <c r="AG64" s="38"/>
    </row>
    <row r="65" spans="1:33" x14ac:dyDescent="0.25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5"/>
      <c r="L65" s="129">
        <f>+Actuals!I112</f>
        <v>0</v>
      </c>
      <c r="M65" s="130">
        <f>+Actuals!J112</f>
        <v>0</v>
      </c>
      <c r="N65" s="60"/>
      <c r="O65" s="38"/>
      <c r="P65" s="126">
        <f>+Actuals!M312</f>
        <v>0</v>
      </c>
      <c r="Q65" s="127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/>
      <c r="AC65" s="38"/>
      <c r="AD65" s="60"/>
      <c r="AE65" s="38"/>
      <c r="AF65" s="60"/>
      <c r="AG65" s="38"/>
    </row>
    <row r="66" spans="1:33" x14ac:dyDescent="0.25">
      <c r="A66" s="9"/>
      <c r="B66" s="7" t="s">
        <v>64</v>
      </c>
      <c r="C66" s="6"/>
      <c r="D66" s="61">
        <f t="shared" ref="D66:O66" si="23">SUM(D64:D65)</f>
        <v>0</v>
      </c>
      <c r="E66" s="39">
        <f t="shared" si="23"/>
        <v>0</v>
      </c>
      <c r="F66" s="61">
        <f t="shared" si="23"/>
        <v>0</v>
      </c>
      <c r="G66" s="39">
        <f t="shared" si="23"/>
        <v>0</v>
      </c>
      <c r="H66" s="61">
        <f t="shared" si="23"/>
        <v>0</v>
      </c>
      <c r="I66" s="39">
        <f t="shared" si="23"/>
        <v>0</v>
      </c>
      <c r="J66" s="61">
        <f t="shared" si="23"/>
        <v>0</v>
      </c>
      <c r="K66" s="146">
        <f t="shared" si="23"/>
        <v>0</v>
      </c>
      <c r="L66" s="61">
        <f t="shared" si="23"/>
        <v>0</v>
      </c>
      <c r="M66" s="39">
        <f t="shared" si="23"/>
        <v>0</v>
      </c>
      <c r="N66" s="61">
        <f t="shared" si="23"/>
        <v>0</v>
      </c>
      <c r="O66" s="39">
        <f t="shared" si="23"/>
        <v>0</v>
      </c>
      <c r="P66" s="61">
        <f t="shared" ref="P66:U66" si="24">SUM(P64:P65)</f>
        <v>0</v>
      </c>
      <c r="Q66" s="39">
        <f t="shared" si="24"/>
        <v>0</v>
      </c>
      <c r="R66" s="61">
        <f t="shared" si="24"/>
        <v>0</v>
      </c>
      <c r="S66" s="39">
        <f t="shared" si="24"/>
        <v>0</v>
      </c>
      <c r="T66" s="61">
        <f t="shared" si="24"/>
        <v>0</v>
      </c>
      <c r="U66" s="39">
        <f t="shared" si="24"/>
        <v>0</v>
      </c>
      <c r="V66" s="61">
        <f t="shared" ref="V66:AE66" si="25">SUM(V64:V65)</f>
        <v>0</v>
      </c>
      <c r="W66" s="39">
        <f t="shared" si="25"/>
        <v>0</v>
      </c>
      <c r="X66" s="61">
        <f t="shared" si="25"/>
        <v>0</v>
      </c>
      <c r="Y66" s="39">
        <f t="shared" si="25"/>
        <v>0</v>
      </c>
      <c r="Z66" s="61">
        <f>SUM(Z64:Z65)</f>
        <v>0</v>
      </c>
      <c r="AA66" s="39">
        <f>SUM(AA64:AA65)</f>
        <v>0</v>
      </c>
      <c r="AB66" s="61">
        <f t="shared" si="25"/>
        <v>0</v>
      </c>
      <c r="AC66" s="39">
        <f t="shared" si="25"/>
        <v>0</v>
      </c>
      <c r="AD66" s="61">
        <f t="shared" si="25"/>
        <v>0</v>
      </c>
      <c r="AE66" s="39">
        <f t="shared" si="25"/>
        <v>0</v>
      </c>
      <c r="AF66" s="61">
        <f>SUM(AF64:AF65)</f>
        <v>0</v>
      </c>
      <c r="AG66" s="39">
        <f>SUM(AG64:AG65)</f>
        <v>0</v>
      </c>
    </row>
    <row r="67" spans="1:3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5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-756466.48</v>
      </c>
      <c r="F70" s="64">
        <f>'TIE-OUT'!Z70+RECLASS!X70</f>
        <v>0</v>
      </c>
      <c r="G70" s="68">
        <f>'TIE-OUT'!AA70+RECLASS!Y70</f>
        <v>-756466.48</v>
      </c>
      <c r="H70" s="60"/>
      <c r="I70" s="38"/>
      <c r="J70" s="60"/>
      <c r="K70" s="145"/>
      <c r="L70" s="129">
        <f>+Actuals!I113</f>
        <v>0</v>
      </c>
      <c r="M70" s="130">
        <f>+Actuals!J113</f>
        <v>0</v>
      </c>
      <c r="N70" s="60"/>
      <c r="O70" s="38"/>
      <c r="P70" s="126">
        <f>+Actuals!M313</f>
        <v>0</v>
      </c>
      <c r="Q70" s="127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/>
      <c r="AC70" s="38"/>
      <c r="AD70" s="60"/>
      <c r="AE70" s="38"/>
      <c r="AF70" s="60"/>
      <c r="AG70" s="38"/>
    </row>
    <row r="71" spans="1:33" x14ac:dyDescent="0.25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1320182.57</v>
      </c>
      <c r="F71" s="81">
        <f>'TIE-OUT'!Z71+RECLASS!X71</f>
        <v>0</v>
      </c>
      <c r="G71" s="82">
        <f>'TIE-OUT'!AA71+RECLASS!Y71</f>
        <v>1320182.57</v>
      </c>
      <c r="H71" s="60"/>
      <c r="I71" s="38"/>
      <c r="J71" s="60"/>
      <c r="K71" s="145"/>
      <c r="L71" s="129">
        <f>+Actuals!I114</f>
        <v>0</v>
      </c>
      <c r="M71" s="130">
        <f>+Actuals!J114</f>
        <v>0</v>
      </c>
      <c r="N71" s="60"/>
      <c r="O71" s="38"/>
      <c r="P71" s="126">
        <f>+Actuals!M314</f>
        <v>0</v>
      </c>
      <c r="Q71" s="127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/>
      <c r="AC71" s="38"/>
      <c r="AD71" s="60"/>
      <c r="AE71" s="38"/>
      <c r="AF71" s="60"/>
      <c r="AG71" s="38"/>
    </row>
    <row r="72" spans="1:3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563716.09000000008</v>
      </c>
      <c r="F72" s="61">
        <f t="shared" ref="F72:AD72" si="26">SUM(F70:F71)</f>
        <v>0</v>
      </c>
      <c r="G72" s="39">
        <f t="shared" si="26"/>
        <v>563716.09000000008</v>
      </c>
      <c r="H72" s="61">
        <f t="shared" si="26"/>
        <v>0</v>
      </c>
      <c r="I72" s="39">
        <f t="shared" si="26"/>
        <v>0</v>
      </c>
      <c r="J72" s="61">
        <f t="shared" si="26"/>
        <v>0</v>
      </c>
      <c r="K72" s="146">
        <f t="shared" si="26"/>
        <v>0</v>
      </c>
      <c r="L72" s="61">
        <f t="shared" si="26"/>
        <v>0</v>
      </c>
      <c r="M72" s="39">
        <f t="shared" si="26"/>
        <v>0</v>
      </c>
      <c r="N72" s="61">
        <f t="shared" si="26"/>
        <v>0</v>
      </c>
      <c r="O72" s="39">
        <f t="shared" si="26"/>
        <v>0</v>
      </c>
      <c r="P72" s="61">
        <f t="shared" si="26"/>
        <v>0</v>
      </c>
      <c r="Q72" s="39">
        <f t="shared" si="26"/>
        <v>0</v>
      </c>
      <c r="R72" s="61">
        <f t="shared" ref="R72:W72" si="27">SUM(R70:R71)</f>
        <v>0</v>
      </c>
      <c r="S72" s="39">
        <f t="shared" si="27"/>
        <v>0</v>
      </c>
      <c r="T72" s="61">
        <f t="shared" si="27"/>
        <v>0</v>
      </c>
      <c r="U72" s="39">
        <f t="shared" si="27"/>
        <v>0</v>
      </c>
      <c r="V72" s="61">
        <f t="shared" si="27"/>
        <v>0</v>
      </c>
      <c r="W72" s="39">
        <f t="shared" si="27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6"/>
        <v>0</v>
      </c>
      <c r="AC72" s="39">
        <f>SUM(AC70:AC71)</f>
        <v>0</v>
      </c>
      <c r="AD72" s="61">
        <f t="shared" si="26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5">
      <c r="A73" s="9">
        <v>32</v>
      </c>
      <c r="B73" s="3"/>
      <c r="C73" s="10" t="s">
        <v>70</v>
      </c>
      <c r="D73" s="60">
        <f t="shared" ref="D73:D81" si="28">SUM(F73,H73,J73,L73,N73,P73,R73,T73,V73,X73,Z73,AB73,AD73,AF73)</f>
        <v>0</v>
      </c>
      <c r="E73" s="38">
        <f t="shared" ref="E73:E81" si="29">SUM(G73,I73,K73,M73,O73,Q73,S73,U73,W73,Y73,AA73,AC73,AE73,AG73)</f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5"/>
      <c r="L73" s="129">
        <f>+Actuals!I115</f>
        <v>0</v>
      </c>
      <c r="M73" s="130">
        <f>+Actuals!J115</f>
        <v>0</v>
      </c>
      <c r="N73" s="60"/>
      <c r="O73" s="38"/>
      <c r="P73" s="126">
        <f>+Actuals!M315</f>
        <v>0</v>
      </c>
      <c r="Q73" s="127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/>
      <c r="AC73" s="38"/>
      <c r="AD73" s="60"/>
      <c r="AE73" s="38"/>
      <c r="AF73" s="60"/>
      <c r="AG73" s="38"/>
    </row>
    <row r="74" spans="1:33" x14ac:dyDescent="0.25">
      <c r="A74" s="9">
        <v>33</v>
      </c>
      <c r="B74" s="3"/>
      <c r="C74" s="10" t="s">
        <v>71</v>
      </c>
      <c r="D74" s="60">
        <f t="shared" si="28"/>
        <v>0</v>
      </c>
      <c r="E74" s="38">
        <f t="shared" si="29"/>
        <v>-961615.66000000015</v>
      </c>
      <c r="F74" s="60">
        <f>'TIE-OUT'!Z74+RECLASS!X74</f>
        <v>0</v>
      </c>
      <c r="G74" s="60">
        <f>'TIE-OUT'!AA74+RECLASS!Y74</f>
        <v>-2361615.66</v>
      </c>
      <c r="H74" s="60"/>
      <c r="I74" s="38">
        <v>0</v>
      </c>
      <c r="J74" s="60"/>
      <c r="K74" s="145">
        <v>0</v>
      </c>
      <c r="L74" s="129">
        <f>+Actuals!I116</f>
        <v>0</v>
      </c>
      <c r="M74" s="130">
        <f>+Actuals!J116</f>
        <v>0</v>
      </c>
      <c r="N74" s="60"/>
      <c r="O74" s="38"/>
      <c r="P74" s="126">
        <f>+Actuals!M316</f>
        <v>0</v>
      </c>
      <c r="Q74" s="127">
        <f>+Actuals!N316</f>
        <v>0</v>
      </c>
      <c r="R74" s="60">
        <f>+Actuals!O316</f>
        <v>0</v>
      </c>
      <c r="S74" s="38">
        <f>+Actuals!P316</f>
        <v>0</v>
      </c>
      <c r="T74" s="60">
        <f>+Actuals!Q316</f>
        <v>0</v>
      </c>
      <c r="U74" s="156">
        <f>+Actuals!R316+1400000</f>
        <v>1400000</v>
      </c>
      <c r="V74" s="60">
        <f>+Actuals!S316</f>
        <v>0</v>
      </c>
      <c r="W74" s="38"/>
      <c r="X74" s="60">
        <f>+Actuals!U316</f>
        <v>0</v>
      </c>
      <c r="Y74" s="38"/>
      <c r="Z74" s="60">
        <f>+Actuals!W316</f>
        <v>0</v>
      </c>
      <c r="AA74" s="38"/>
      <c r="AB74" s="60"/>
      <c r="AC74" s="38"/>
      <c r="AD74" s="60"/>
      <c r="AE74" s="38"/>
      <c r="AF74" s="60"/>
      <c r="AG74" s="38"/>
    </row>
    <row r="75" spans="1:33" x14ac:dyDescent="0.25">
      <c r="A75" s="9">
        <v>34</v>
      </c>
      <c r="B75" s="3"/>
      <c r="C75" s="10" t="s">
        <v>72</v>
      </c>
      <c r="D75" s="60">
        <f t="shared" si="28"/>
        <v>0</v>
      </c>
      <c r="E75" s="38">
        <f t="shared" si="29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5"/>
      <c r="L75" s="129">
        <f>+Actuals!I117</f>
        <v>0</v>
      </c>
      <c r="M75" s="130">
        <f>+Actuals!J117</f>
        <v>0</v>
      </c>
      <c r="N75" s="60"/>
      <c r="O75" s="38"/>
      <c r="P75" s="126">
        <f>+Actuals!M317</f>
        <v>0</v>
      </c>
      <c r="Q75" s="127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/>
      <c r="AC75" s="38"/>
      <c r="AD75" s="60"/>
      <c r="AE75" s="38"/>
      <c r="AF75" s="60"/>
      <c r="AG75" s="38"/>
    </row>
    <row r="76" spans="1:33" x14ac:dyDescent="0.25">
      <c r="A76" s="9">
        <v>35</v>
      </c>
      <c r="B76" s="3"/>
      <c r="C76" s="10" t="s">
        <v>73</v>
      </c>
      <c r="D76" s="60">
        <f t="shared" si="28"/>
        <v>0</v>
      </c>
      <c r="E76" s="38">
        <f t="shared" si="29"/>
        <v>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5"/>
      <c r="L76" s="129">
        <f>+Actuals!I118</f>
        <v>0</v>
      </c>
      <c r="M76" s="130">
        <v>340</v>
      </c>
      <c r="N76" s="60"/>
      <c r="O76" s="38"/>
      <c r="P76" s="126">
        <f>+Actuals!M318</f>
        <v>0</v>
      </c>
      <c r="Q76" s="127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/>
      <c r="AC76" s="38"/>
      <c r="AD76" s="60"/>
      <c r="AE76" s="38"/>
      <c r="AF76" s="60"/>
      <c r="AG76" s="38"/>
    </row>
    <row r="77" spans="1:33" x14ac:dyDescent="0.25">
      <c r="A77" s="9">
        <v>36</v>
      </c>
      <c r="B77" s="3"/>
      <c r="C77" s="10" t="s">
        <v>74</v>
      </c>
      <c r="D77" s="60">
        <f t="shared" si="28"/>
        <v>0</v>
      </c>
      <c r="E77" s="38">
        <f t="shared" si="29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5"/>
      <c r="L77" s="129">
        <f>+Actuals!I119</f>
        <v>0</v>
      </c>
      <c r="M77" s="130">
        <f>+Actuals!J119</f>
        <v>0</v>
      </c>
      <c r="N77" s="60"/>
      <c r="O77" s="38"/>
      <c r="P77" s="126">
        <f>+Actuals!M319</f>
        <v>0</v>
      </c>
      <c r="Q77" s="127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/>
      <c r="AC77" s="38"/>
      <c r="AD77" s="60"/>
      <c r="AE77" s="38"/>
      <c r="AF77" s="60"/>
      <c r="AG77" s="38"/>
    </row>
    <row r="78" spans="1:33" x14ac:dyDescent="0.25">
      <c r="A78" s="9">
        <v>37</v>
      </c>
      <c r="B78" s="3"/>
      <c r="C78" s="10" t="s">
        <v>75</v>
      </c>
      <c r="D78" s="60">
        <f t="shared" si="28"/>
        <v>0</v>
      </c>
      <c r="E78" s="38">
        <f t="shared" si="29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5"/>
      <c r="L78" s="129">
        <f>+Actuals!I120</f>
        <v>0</v>
      </c>
      <c r="M78" s="130">
        <f>+Actuals!J120</f>
        <v>0</v>
      </c>
      <c r="N78" s="60"/>
      <c r="O78" s="38"/>
      <c r="P78" s="126">
        <f>+Actuals!M320</f>
        <v>0</v>
      </c>
      <c r="Q78" s="127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/>
      <c r="AC78" s="38"/>
      <c r="AD78" s="60"/>
      <c r="AE78" s="38"/>
      <c r="AF78" s="60"/>
      <c r="AG78" s="38"/>
    </row>
    <row r="79" spans="1:33" x14ac:dyDescent="0.25">
      <c r="A79" s="9">
        <v>38</v>
      </c>
      <c r="B79" s="3"/>
      <c r="C79" s="10" t="s">
        <v>76</v>
      </c>
      <c r="D79" s="60">
        <f t="shared" si="28"/>
        <v>0</v>
      </c>
      <c r="E79" s="38">
        <f t="shared" si="29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5"/>
      <c r="L79" s="129">
        <f>+Actuals!I121</f>
        <v>0</v>
      </c>
      <c r="M79" s="130">
        <f>+Actuals!J121</f>
        <v>0</v>
      </c>
      <c r="N79" s="60"/>
      <c r="O79" s="38"/>
      <c r="P79" s="126">
        <f>+Actuals!M321</f>
        <v>0</v>
      </c>
      <c r="Q79" s="127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/>
      <c r="AC79" s="38"/>
      <c r="AD79" s="60"/>
      <c r="AE79" s="38"/>
      <c r="AF79" s="60"/>
      <c r="AG79" s="38"/>
    </row>
    <row r="80" spans="1:33" x14ac:dyDescent="0.25">
      <c r="A80" s="9">
        <v>39</v>
      </c>
      <c r="B80" s="3"/>
      <c r="C80" s="10" t="s">
        <v>77</v>
      </c>
      <c r="D80" s="60">
        <f t="shared" si="28"/>
        <v>0</v>
      </c>
      <c r="E80" s="38">
        <f t="shared" si="29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5"/>
      <c r="L80" s="129">
        <f>+Actuals!I122</f>
        <v>0</v>
      </c>
      <c r="M80" s="130">
        <f>+Actuals!J122</f>
        <v>0</v>
      </c>
      <c r="N80" s="60"/>
      <c r="O80" s="38"/>
      <c r="P80" s="126">
        <f>+Actuals!M322</f>
        <v>0</v>
      </c>
      <c r="Q80" s="127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/>
      <c r="AC80" s="38"/>
      <c r="AD80" s="60"/>
      <c r="AE80" s="38"/>
      <c r="AF80" s="60"/>
      <c r="AG80" s="38"/>
    </row>
    <row r="81" spans="1:69" x14ac:dyDescent="0.25">
      <c r="A81" s="9">
        <v>40</v>
      </c>
      <c r="B81" s="3"/>
      <c r="C81" s="10" t="s">
        <v>78</v>
      </c>
      <c r="D81" s="60">
        <f t="shared" si="28"/>
        <v>0</v>
      </c>
      <c r="E81" s="38">
        <f t="shared" si="29"/>
        <v>-340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5">
        <v>-340</v>
      </c>
      <c r="L81" s="129">
        <f>+Actuals!I123</f>
        <v>0</v>
      </c>
      <c r="M81" s="130">
        <f>+Actuals!J123</f>
        <v>0</v>
      </c>
      <c r="N81" s="60"/>
      <c r="O81" s="38"/>
      <c r="P81" s="126">
        <f>+Actuals!M323</f>
        <v>0</v>
      </c>
      <c r="Q81" s="127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/>
      <c r="AC81" s="38"/>
      <c r="AD81" s="60"/>
      <c r="AE81" s="38"/>
      <c r="AF81" s="60"/>
      <c r="AG81" s="38"/>
    </row>
    <row r="82" spans="1:69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-403335.35999999382</v>
      </c>
      <c r="F82" s="91">
        <f>F16+F24+F29+F36+F43+F45+F47+F49</f>
        <v>0</v>
      </c>
      <c r="G82" s="92">
        <f>SUM(G72:G81)+G16+G24+G29+G36+G43+G45+G47+G49+G51+G56+G61+G66</f>
        <v>-1768736.3800000001</v>
      </c>
      <c r="H82" s="91">
        <f>H16+H24+H29+H36+H43+H45+H47+H49</f>
        <v>0</v>
      </c>
      <c r="I82" s="92">
        <f>SUM(I72:I81)+I16+I24+I29+I36+I43+I45+I47+I49+I51+I56+I61+I66</f>
        <v>1587420</v>
      </c>
      <c r="J82" s="91">
        <f>J16+J24+J29+J36+J43+J45+J47+J49</f>
        <v>0</v>
      </c>
      <c r="K82" s="159">
        <f>SUM(K72:K81)+K16+K24+K29+K36+K43+K45+K47+K49+K51+K56+K61+K66</f>
        <v>-162673</v>
      </c>
      <c r="L82" s="91">
        <f>L16+L24+L29+L36+L43+L45+L47+L49</f>
        <v>0</v>
      </c>
      <c r="M82" s="92">
        <f>SUM(M72:M81)+M16+M24+M29+M36+M43+M45+M47+M49+M51+M56+M61+M66</f>
        <v>31068</v>
      </c>
      <c r="N82" s="91">
        <f>N16+N24+N29+N36+N43+N45+N47+N49</f>
        <v>0</v>
      </c>
      <c r="O82" s="92">
        <f>SUM(O72:O81)+O16+O24+O29+O36+O43+O45+O47+O49+O51+O56+O61+O66</f>
        <v>-775845</v>
      </c>
      <c r="P82" s="91">
        <f>P16+P24+P29+P36+P43+P45+P47+P49</f>
        <v>0</v>
      </c>
      <c r="Q82" s="92">
        <f>SUM(Q72:Q81)+Q16+Q24+Q29+Q36+Q43+Q45+Q47+Q49+Q51+Q56+Q61+Q66</f>
        <v>832943.6500000013</v>
      </c>
      <c r="R82" s="91">
        <f>R16+R24+R29+R36+R43+R45+R47+R49</f>
        <v>0</v>
      </c>
      <c r="S82" s="92">
        <f>SUM(S72:S81)+S16+S24+S29+S36+S43+S45+S47+S49+S51+S56+S61+S66</f>
        <v>-1334991.3899999999</v>
      </c>
      <c r="T82" s="91">
        <f>T16+T24+T29+T36+T43+T45+T47+T49</f>
        <v>0</v>
      </c>
      <c r="U82" s="92">
        <f>SUM(U72:U81)+U16+U24+U29+U36+U43+U45+U47+U49+U51+U56+U61+U66</f>
        <v>568155.69000000041</v>
      </c>
      <c r="V82" s="91">
        <f>V16+V24+V29+V36+V43+V45+V47+V49</f>
        <v>0</v>
      </c>
      <c r="W82" s="92">
        <f>SUM(W72:W81)+W16+W24+W29+W36+W43+W45+W47+W49+W51+W56+W61+W66</f>
        <v>-24472.399999999998</v>
      </c>
      <c r="X82" s="91">
        <f>X16+X24+X29+X36+X43+X45+X47+X49</f>
        <v>0</v>
      </c>
      <c r="Y82" s="92">
        <f>SUM(Y72:Y81)+Y16+Y24+Y29+Y36+Y43+Y45+Y47+Y49+Y51+Y56+Y61+Y66</f>
        <v>0.20000000000000107</v>
      </c>
      <c r="Z82" s="91">
        <f>Z16+Z24+Z29+Z36+Z43+Z45+Z47+Z49</f>
        <v>0</v>
      </c>
      <c r="AA82" s="92">
        <f>SUM(AA72:AA81)+AA16+AA24+AA29+AA36+AA43+AA45+AA47+AA49+AA51+AA56+AA61+AA66</f>
        <v>643795.27000000048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69" ht="13.8" thickTop="1" x14ac:dyDescent="0.25">
      <c r="A83" s="4"/>
      <c r="B83" s="3"/>
    </row>
    <row r="84" spans="1:69" x14ac:dyDescent="0.25">
      <c r="A84" s="4"/>
      <c r="B84" s="3"/>
    </row>
    <row r="85" spans="1:69" x14ac:dyDescent="0.25">
      <c r="A85" s="4" t="s">
        <v>164</v>
      </c>
      <c r="B85" s="3"/>
      <c r="F85" s="31"/>
      <c r="G85" s="31"/>
      <c r="H85" s="31"/>
      <c r="I85" s="31"/>
      <c r="K85"/>
      <c r="L85" s="45"/>
    </row>
    <row r="86" spans="1:69" s="3" customFormat="1" x14ac:dyDescent="0.25">
      <c r="A86" s="166"/>
      <c r="C86" s="10" t="s">
        <v>167</v>
      </c>
      <c r="D86" s="167">
        <f t="shared" ref="D86:E88" si="30">SUM(F86,H86,J86,L86,N86,P86,R86,T86,V86,X86,Z86,AB86,AD86)</f>
        <v>0</v>
      </c>
      <c r="E86" s="167">
        <f t="shared" si="30"/>
        <v>1337301.46</v>
      </c>
      <c r="F86" s="167">
        <f>'TIE-OUT'!Z86+RECLASS!X86</f>
        <v>0</v>
      </c>
      <c r="G86" s="167">
        <f>'TIE-OUT'!AA86+RECLASS!Y86</f>
        <v>607196.46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  <c r="N86" s="167">
        <v>0</v>
      </c>
      <c r="O86" s="167">
        <v>730105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7">
        <v>0</v>
      </c>
      <c r="W86" s="167">
        <v>0</v>
      </c>
      <c r="X86" s="167">
        <v>0</v>
      </c>
      <c r="Y86" s="167">
        <v>0</v>
      </c>
      <c r="Z86" s="167">
        <v>0</v>
      </c>
      <c r="AA86" s="167">
        <v>0</v>
      </c>
      <c r="AB86" s="167">
        <v>0</v>
      </c>
      <c r="AC86" s="167">
        <v>0</v>
      </c>
      <c r="AD86" s="167">
        <v>0</v>
      </c>
      <c r="AE86" s="167">
        <v>0</v>
      </c>
      <c r="AF86" s="167">
        <v>0</v>
      </c>
      <c r="AG86" s="167">
        <v>0</v>
      </c>
    </row>
    <row r="87" spans="1:69" s="3" customFormat="1" x14ac:dyDescent="0.25">
      <c r="A87" s="166"/>
      <c r="C87" s="10" t="s">
        <v>71</v>
      </c>
      <c r="D87" s="168">
        <f t="shared" si="30"/>
        <v>0</v>
      </c>
      <c r="E87" s="168">
        <f t="shared" si="30"/>
        <v>-520266</v>
      </c>
      <c r="F87" s="168">
        <f>'TIE-OUT'!Z87+RECLASS!X87</f>
        <v>0</v>
      </c>
      <c r="G87" s="168">
        <f>'TIE-OUT'!AA87+RECLASS!Y87</f>
        <v>0</v>
      </c>
      <c r="H87" s="168">
        <v>0</v>
      </c>
      <c r="I87" s="168">
        <v>-520266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v>0</v>
      </c>
      <c r="V87" s="168">
        <v>0</v>
      </c>
      <c r="W87" s="168">
        <v>0</v>
      </c>
      <c r="X87" s="168">
        <v>0</v>
      </c>
      <c r="Y87" s="168">
        <v>0</v>
      </c>
      <c r="Z87" s="168">
        <v>0</v>
      </c>
      <c r="AA87" s="168">
        <v>0</v>
      </c>
      <c r="AB87" s="168">
        <v>0</v>
      </c>
      <c r="AC87" s="168">
        <v>0</v>
      </c>
      <c r="AD87" s="168">
        <v>0</v>
      </c>
      <c r="AE87" s="168">
        <v>0</v>
      </c>
      <c r="AF87" s="168">
        <v>0</v>
      </c>
      <c r="AG87" s="168">
        <v>0</v>
      </c>
    </row>
    <row r="88" spans="1:69" s="3" customFormat="1" x14ac:dyDescent="0.25">
      <c r="A88" s="166"/>
      <c r="C88" s="10" t="s">
        <v>72</v>
      </c>
      <c r="D88" s="169">
        <f t="shared" si="30"/>
        <v>0</v>
      </c>
      <c r="E88" s="169">
        <f t="shared" si="30"/>
        <v>-20170</v>
      </c>
      <c r="F88" s="169">
        <f>'TIE-OUT'!Z88+RECLASS!X88</f>
        <v>0</v>
      </c>
      <c r="G88" s="169">
        <f>'TIE-OUT'!AA88+RECLASS!Y88</f>
        <v>-20170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</row>
    <row r="89" spans="1:69" s="44" customFormat="1" ht="20.25" customHeight="1" x14ac:dyDescent="0.25">
      <c r="A89" s="173"/>
      <c r="B89" s="174"/>
      <c r="C89" s="179" t="s">
        <v>170</v>
      </c>
      <c r="D89" s="177">
        <f>SUM(D86:D88)</f>
        <v>0</v>
      </c>
      <c r="E89" s="177">
        <f t="shared" ref="E89:M89" si="31">SUM(E86:E88)</f>
        <v>796865.46</v>
      </c>
      <c r="F89" s="177">
        <f t="shared" si="31"/>
        <v>0</v>
      </c>
      <c r="G89" s="177">
        <f t="shared" si="31"/>
        <v>587026.46</v>
      </c>
      <c r="H89" s="177">
        <f t="shared" si="31"/>
        <v>0</v>
      </c>
      <c r="I89" s="177">
        <f t="shared" si="31"/>
        <v>-520266</v>
      </c>
      <c r="J89" s="177">
        <f t="shared" si="31"/>
        <v>0</v>
      </c>
      <c r="K89" s="177">
        <f t="shared" si="31"/>
        <v>0</v>
      </c>
      <c r="L89" s="177">
        <f t="shared" si="31"/>
        <v>0</v>
      </c>
      <c r="M89" s="177">
        <f t="shared" si="31"/>
        <v>0</v>
      </c>
      <c r="N89" s="177">
        <f t="shared" ref="N89:AE89" si="32">SUM(N86:N88)</f>
        <v>0</v>
      </c>
      <c r="O89" s="177">
        <f t="shared" si="32"/>
        <v>730105</v>
      </c>
      <c r="P89" s="177">
        <f t="shared" si="32"/>
        <v>0</v>
      </c>
      <c r="Q89" s="177">
        <f t="shared" si="32"/>
        <v>0</v>
      </c>
      <c r="R89" s="177">
        <f t="shared" si="32"/>
        <v>0</v>
      </c>
      <c r="S89" s="177">
        <f t="shared" si="32"/>
        <v>0</v>
      </c>
      <c r="T89" s="177">
        <f t="shared" si="32"/>
        <v>0</v>
      </c>
      <c r="U89" s="177">
        <f t="shared" si="32"/>
        <v>0</v>
      </c>
      <c r="V89" s="177">
        <f t="shared" si="32"/>
        <v>0</v>
      </c>
      <c r="W89" s="177">
        <f t="shared" si="32"/>
        <v>0</v>
      </c>
      <c r="X89" s="177">
        <f t="shared" si="32"/>
        <v>0</v>
      </c>
      <c r="Y89" s="177">
        <f t="shared" si="32"/>
        <v>0</v>
      </c>
      <c r="Z89" s="177">
        <f>SUM(Z86:Z88)</f>
        <v>0</v>
      </c>
      <c r="AA89" s="177">
        <f>SUM(AA86:AA88)</f>
        <v>0</v>
      </c>
      <c r="AB89" s="177">
        <f t="shared" si="32"/>
        <v>0</v>
      </c>
      <c r="AC89" s="177">
        <f t="shared" si="32"/>
        <v>0</v>
      </c>
      <c r="AD89" s="177">
        <f t="shared" si="32"/>
        <v>0</v>
      </c>
      <c r="AE89" s="177">
        <f t="shared" si="32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5">
      <c r="A90" s="4"/>
      <c r="B90" s="3"/>
      <c r="F90" s="31"/>
      <c r="G90" s="31"/>
      <c r="H90" s="31"/>
      <c r="I90" s="31"/>
      <c r="K90"/>
    </row>
    <row r="91" spans="1:69" s="44" customFormat="1" ht="20.25" customHeight="1" x14ac:dyDescent="0.25">
      <c r="A91" s="173"/>
      <c r="B91" s="174"/>
      <c r="C91" s="179" t="s">
        <v>173</v>
      </c>
      <c r="D91" s="177">
        <f>+D82+D89</f>
        <v>0</v>
      </c>
      <c r="E91" s="177">
        <f t="shared" ref="E91:M91" si="33">+E82+E89</f>
        <v>393530.10000000615</v>
      </c>
      <c r="F91" s="177">
        <f t="shared" si="33"/>
        <v>0</v>
      </c>
      <c r="G91" s="177">
        <f t="shared" si="33"/>
        <v>-1181709.9200000002</v>
      </c>
      <c r="H91" s="177">
        <f t="shared" si="33"/>
        <v>0</v>
      </c>
      <c r="I91" s="177">
        <f t="shared" si="33"/>
        <v>1067154</v>
      </c>
      <c r="J91" s="177">
        <f t="shared" si="33"/>
        <v>0</v>
      </c>
      <c r="K91" s="177">
        <f t="shared" si="33"/>
        <v>-162673</v>
      </c>
      <c r="L91" s="177">
        <f t="shared" si="33"/>
        <v>0</v>
      </c>
      <c r="M91" s="177">
        <f t="shared" si="33"/>
        <v>31068</v>
      </c>
      <c r="N91" s="177">
        <f t="shared" ref="N91:AE91" si="34">+N82+N89</f>
        <v>0</v>
      </c>
      <c r="O91" s="177">
        <f t="shared" si="34"/>
        <v>-45740</v>
      </c>
      <c r="P91" s="177">
        <f t="shared" si="34"/>
        <v>0</v>
      </c>
      <c r="Q91" s="177">
        <f t="shared" si="34"/>
        <v>832943.6500000013</v>
      </c>
      <c r="R91" s="177">
        <f t="shared" si="34"/>
        <v>0</v>
      </c>
      <c r="S91" s="177">
        <f t="shared" si="34"/>
        <v>-1334991.3899999999</v>
      </c>
      <c r="T91" s="177">
        <f t="shared" si="34"/>
        <v>0</v>
      </c>
      <c r="U91" s="177">
        <f t="shared" si="34"/>
        <v>568155.69000000041</v>
      </c>
      <c r="V91" s="177">
        <f t="shared" si="34"/>
        <v>0</v>
      </c>
      <c r="W91" s="177">
        <f t="shared" si="34"/>
        <v>-24472.399999999998</v>
      </c>
      <c r="X91" s="177">
        <f t="shared" si="34"/>
        <v>0</v>
      </c>
      <c r="Y91" s="177">
        <f t="shared" si="34"/>
        <v>0.20000000000000107</v>
      </c>
      <c r="Z91" s="177">
        <f>+Z82+Z89</f>
        <v>0</v>
      </c>
      <c r="AA91" s="177">
        <f>+AA82+AA89</f>
        <v>643795.27000000048</v>
      </c>
      <c r="AB91" s="177">
        <f t="shared" si="34"/>
        <v>0</v>
      </c>
      <c r="AC91" s="177">
        <f t="shared" si="34"/>
        <v>0</v>
      </c>
      <c r="AD91" s="177">
        <f t="shared" si="34"/>
        <v>0</v>
      </c>
      <c r="AE91" s="177">
        <f t="shared" si="34"/>
        <v>0</v>
      </c>
      <c r="AF91" s="177">
        <f>+AF82+AF89</f>
        <v>0</v>
      </c>
      <c r="AG91" s="177">
        <f>+AG82+AG89</f>
        <v>0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</row>
    <row r="92" spans="1:69" x14ac:dyDescent="0.25">
      <c r="A92" s="4"/>
      <c r="B92" s="3"/>
    </row>
    <row r="93" spans="1:69" x14ac:dyDescent="0.25">
      <c r="A93" s="4"/>
      <c r="B93" s="3"/>
    </row>
    <row r="94" spans="1:69" x14ac:dyDescent="0.25">
      <c r="A94" s="4"/>
      <c r="B94" s="3"/>
    </row>
    <row r="95" spans="1:69" x14ac:dyDescent="0.25">
      <c r="A95" s="4"/>
      <c r="B95" s="3"/>
    </row>
    <row r="96" spans="1:6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8" width="15.44140625" customWidth="1"/>
    <col min="9" max="9" width="18.6640625" customWidth="1"/>
    <col min="10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'CE-FLSH'!L11</f>
        <v>45552912</v>
      </c>
      <c r="E11" s="66">
        <f>'CE-FLSH'!M11</f>
        <v>127714985</v>
      </c>
      <c r="F11" s="60">
        <f>CE_GL!D11</f>
        <v>45939974</v>
      </c>
      <c r="G11" s="38">
        <f>CE_GL!E11</f>
        <v>126271076.23999999</v>
      </c>
      <c r="H11" s="60">
        <f>F11-D11</f>
        <v>387062</v>
      </c>
      <c r="I11" s="38">
        <f>G11-E11</f>
        <v>-1443908.7600000054</v>
      </c>
    </row>
    <row r="12" spans="1:22" x14ac:dyDescent="0.25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2587170.35</v>
      </c>
      <c r="H12" s="60">
        <f>F12-D12</f>
        <v>0</v>
      </c>
      <c r="I12" s="38">
        <f>G12-E12</f>
        <v>2587170.35</v>
      </c>
    </row>
    <row r="13" spans="1:22" x14ac:dyDescent="0.25">
      <c r="A13" s="9">
        <v>3</v>
      </c>
      <c r="B13" s="7"/>
      <c r="C13" s="18" t="s">
        <v>27</v>
      </c>
      <c r="D13" s="65">
        <f>'CE-FLSH'!L13</f>
        <v>21483635</v>
      </c>
      <c r="E13" s="66">
        <f>'CE-FLSH'!M13</f>
        <v>55906485</v>
      </c>
      <c r="F13" s="60">
        <f>CE_GL!D13</f>
        <v>20677516</v>
      </c>
      <c r="G13" s="38">
        <f>CE_GL!E13</f>
        <v>53795611</v>
      </c>
      <c r="H13" s="60">
        <f t="shared" ref="H13:I15" si="0">F13-D13</f>
        <v>-806119</v>
      </c>
      <c r="I13" s="38">
        <f t="shared" si="0"/>
        <v>-2110874</v>
      </c>
    </row>
    <row r="14" spans="1:22" x14ac:dyDescent="0.25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2011383</v>
      </c>
      <c r="H15" s="60">
        <f t="shared" si="0"/>
        <v>0</v>
      </c>
      <c r="I15" s="38">
        <f t="shared" si="0"/>
        <v>2011383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67036547</v>
      </c>
      <c r="E16" s="39">
        <f t="shared" si="1"/>
        <v>183621470</v>
      </c>
      <c r="F16" s="61">
        <f t="shared" si="1"/>
        <v>66617490</v>
      </c>
      <c r="G16" s="39">
        <f t="shared" si="1"/>
        <v>184665240.58999997</v>
      </c>
      <c r="H16" s="61">
        <f t="shared" si="1"/>
        <v>-419057</v>
      </c>
      <c r="I16" s="39">
        <f t="shared" si="1"/>
        <v>1043770.5899999947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'CE-FLSH'!L19</f>
        <v>-40456462</v>
      </c>
      <c r="E19" s="66">
        <f>'CE-FLSH'!M19</f>
        <v>-113796910</v>
      </c>
      <c r="F19" s="60">
        <f>CE_GL!D19</f>
        <v>-45426637</v>
      </c>
      <c r="G19" s="38">
        <f>CE_GL!E19</f>
        <v>-125411467.16999999</v>
      </c>
      <c r="H19" s="60">
        <f>F19-D19</f>
        <v>-4970175</v>
      </c>
      <c r="I19" s="38">
        <f>G19-E19</f>
        <v>-11614557.169999987</v>
      </c>
    </row>
    <row r="20" spans="1:9" x14ac:dyDescent="0.25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-3801513.87</v>
      </c>
      <c r="H20" s="60">
        <f>F20-D20</f>
        <v>0</v>
      </c>
      <c r="I20" s="38">
        <f>G20-E20</f>
        <v>-3801513.87</v>
      </c>
    </row>
    <row r="21" spans="1:9" x14ac:dyDescent="0.25">
      <c r="A21" s="9">
        <v>8</v>
      </c>
      <c r="B21" s="7"/>
      <c r="C21" s="18" t="s">
        <v>27</v>
      </c>
      <c r="D21" s="65">
        <f>'CE-FLSH'!L21</f>
        <v>-27143223</v>
      </c>
      <c r="E21" s="66">
        <f>'CE-FLSH'!M21</f>
        <v>-72234874</v>
      </c>
      <c r="F21" s="60">
        <f>CE_GL!D21</f>
        <v>-21368483</v>
      </c>
      <c r="G21" s="38">
        <f>CE_GL!E21</f>
        <v>-56209789</v>
      </c>
      <c r="H21" s="60">
        <f t="shared" ref="H21:I23" si="2">F21-D21</f>
        <v>5774740</v>
      </c>
      <c r="I21" s="38">
        <f t="shared" si="2"/>
        <v>16025085</v>
      </c>
    </row>
    <row r="22" spans="1:9" x14ac:dyDescent="0.25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'CE-FLSH'!L23</f>
        <v>344818</v>
      </c>
      <c r="E23" s="66">
        <f>'CE-FLSH'!M23</f>
        <v>851977</v>
      </c>
      <c r="F23" s="60">
        <f>CE_GL!D23</f>
        <v>326266</v>
      </c>
      <c r="G23" s="38">
        <f>CE_GL!E23</f>
        <v>836872.74000000022</v>
      </c>
      <c r="H23" s="60">
        <f t="shared" si="2"/>
        <v>-18552</v>
      </c>
      <c r="I23" s="38">
        <f t="shared" si="2"/>
        <v>-15104.259999999776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-67254867</v>
      </c>
      <c r="E24" s="39">
        <f t="shared" si="3"/>
        <v>-185179807</v>
      </c>
      <c r="F24" s="61">
        <f t="shared" si="3"/>
        <v>-66468854</v>
      </c>
      <c r="G24" s="39">
        <f t="shared" si="3"/>
        <v>-184585897.29999998</v>
      </c>
      <c r="H24" s="61">
        <f t="shared" si="3"/>
        <v>786013</v>
      </c>
      <c r="I24" s="39">
        <f t="shared" si="3"/>
        <v>593909.70000001229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435504</v>
      </c>
      <c r="G27" s="38">
        <f>CE_GL!E27</f>
        <v>1081721.1199999999</v>
      </c>
      <c r="H27" s="60">
        <f>F27-D27</f>
        <v>435504</v>
      </c>
      <c r="I27" s="38">
        <f>G27-E27</f>
        <v>1081721.1199999999</v>
      </c>
    </row>
    <row r="28" spans="1:9" x14ac:dyDescent="0.25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-566844</v>
      </c>
      <c r="G28" s="38">
        <f>CE_GL!E28</f>
        <v>-1380428.23</v>
      </c>
      <c r="H28" s="60">
        <f>F28-D28</f>
        <v>-566844</v>
      </c>
      <c r="I28" s="38">
        <f>G28-E28</f>
        <v>-1380428.23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-131340</v>
      </c>
      <c r="G29" s="70">
        <f t="shared" si="4"/>
        <v>-298707.1100000001</v>
      </c>
      <c r="H29" s="69">
        <f t="shared" si="4"/>
        <v>-131340</v>
      </c>
      <c r="I29" s="70">
        <f t="shared" si="4"/>
        <v>-298707.1100000001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'CE-FLSH'!L32</f>
        <v>-43669</v>
      </c>
      <c r="E32" s="66">
        <f>'CE-FLSH'!M32</f>
        <v>182254</v>
      </c>
      <c r="F32" s="60">
        <f>CE_GL!D32</f>
        <v>-14080</v>
      </c>
      <c r="G32" s="38">
        <f>CE_GL!E32</f>
        <v>-36114.914999999979</v>
      </c>
      <c r="H32" s="60">
        <f>F32-D32</f>
        <v>29589</v>
      </c>
      <c r="I32" s="38">
        <f>G32-E32</f>
        <v>-218368.91499999998</v>
      </c>
    </row>
    <row r="33" spans="1:9" x14ac:dyDescent="0.25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-32336</v>
      </c>
      <c r="G33" s="38">
        <f>CE_GL!E33</f>
        <v>-82523.5</v>
      </c>
      <c r="H33" s="60">
        <f t="shared" ref="H33:I35" si="5">F33-D33</f>
        <v>-32336</v>
      </c>
      <c r="I33" s="38">
        <f t="shared" si="5"/>
        <v>-82523.5</v>
      </c>
    </row>
    <row r="34" spans="1:9" x14ac:dyDescent="0.25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6842</v>
      </c>
      <c r="G34" s="38">
        <f>CE_GL!E34</f>
        <v>16385.57</v>
      </c>
      <c r="H34" s="60">
        <f t="shared" si="5"/>
        <v>6842</v>
      </c>
      <c r="I34" s="38">
        <f t="shared" si="5"/>
        <v>16385.57</v>
      </c>
    </row>
    <row r="35" spans="1:9" x14ac:dyDescent="0.25">
      <c r="A35" s="9">
        <v>16</v>
      </c>
      <c r="B35" s="7"/>
      <c r="C35" s="18" t="s">
        <v>42</v>
      </c>
      <c r="D35" s="65">
        <f>'CE-FLSH'!L35</f>
        <v>22952</v>
      </c>
      <c r="E35" s="66">
        <f>'CE-FLSH'!M35</f>
        <v>40763</v>
      </c>
      <c r="F35" s="60">
        <f>CE_GL!D35</f>
        <v>0</v>
      </c>
      <c r="G35" s="38">
        <f>CE_GL!E35</f>
        <v>0</v>
      </c>
      <c r="H35" s="60">
        <f t="shared" si="5"/>
        <v>-22952</v>
      </c>
      <c r="I35" s="38">
        <f t="shared" si="5"/>
        <v>-40763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-20717</v>
      </c>
      <c r="E36" s="39">
        <f t="shared" si="6"/>
        <v>223017</v>
      </c>
      <c r="F36" s="61">
        <f t="shared" si="6"/>
        <v>-39574</v>
      </c>
      <c r="G36" s="39">
        <f t="shared" si="6"/>
        <v>-102252.84499999997</v>
      </c>
      <c r="H36" s="61">
        <f t="shared" si="6"/>
        <v>-18857</v>
      </c>
      <c r="I36" s="39">
        <f t="shared" si="6"/>
        <v>-325269.84499999997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'CE-FLSH'!L39</f>
        <v>299343</v>
      </c>
      <c r="E39" s="66">
        <f>'CE-FLSH'!M39</f>
        <v>842651</v>
      </c>
      <c r="F39" s="60">
        <f>CE_GL!D39</f>
        <v>690416</v>
      </c>
      <c r="G39" s="38">
        <f>CE_GL!E39</f>
        <v>1771475.08</v>
      </c>
      <c r="H39" s="60">
        <f t="shared" ref="H39:I41" si="7">F39-D39</f>
        <v>391073</v>
      </c>
      <c r="I39" s="38">
        <f t="shared" si="7"/>
        <v>928824.08000000007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'CE-FLSH'!L40</f>
        <v>-320000</v>
      </c>
      <c r="E40" s="66">
        <f>'CE-FLSH'!M40</f>
        <v>-900800</v>
      </c>
      <c r="F40" s="60">
        <f>CE_GL!D40</f>
        <v>-611792</v>
      </c>
      <c r="G40" s="38">
        <f>CE_GL!E40</f>
        <v>-1434354.06</v>
      </c>
      <c r="H40" s="60">
        <f t="shared" si="7"/>
        <v>-291792</v>
      </c>
      <c r="I40" s="38">
        <f t="shared" si="7"/>
        <v>-533554.06000000006</v>
      </c>
    </row>
    <row r="41" spans="1:9" x14ac:dyDescent="0.25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-320000</v>
      </c>
      <c r="E42" s="70">
        <f t="shared" si="8"/>
        <v>-900800</v>
      </c>
      <c r="F42" s="69">
        <f t="shared" si="8"/>
        <v>-611792</v>
      </c>
      <c r="G42" s="70">
        <f t="shared" si="8"/>
        <v>-1434354.06</v>
      </c>
      <c r="H42" s="69">
        <f t="shared" si="8"/>
        <v>-291792</v>
      </c>
      <c r="I42" s="70">
        <f t="shared" si="8"/>
        <v>-533554.06000000006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-20657</v>
      </c>
      <c r="E43" s="39">
        <f t="shared" si="9"/>
        <v>-58149</v>
      </c>
      <c r="F43" s="61">
        <f t="shared" si="9"/>
        <v>78624</v>
      </c>
      <c r="G43" s="39">
        <f t="shared" si="9"/>
        <v>337121.02</v>
      </c>
      <c r="H43" s="61">
        <f t="shared" si="9"/>
        <v>99281</v>
      </c>
      <c r="I43" s="39">
        <f t="shared" si="9"/>
        <v>395270.02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'CE-FLSH'!L49</f>
        <v>259694</v>
      </c>
      <c r="E49" s="66">
        <f>'CE-FLSH'!M49</f>
        <v>666045.51200799993</v>
      </c>
      <c r="F49" s="60">
        <f>CE_GL!D49</f>
        <v>-56346</v>
      </c>
      <c r="G49" s="38">
        <f>CE_GL!E49</f>
        <v>-144527.49000000081</v>
      </c>
      <c r="H49" s="60">
        <f>F49-D49</f>
        <v>-316040</v>
      </c>
      <c r="I49" s="38">
        <f>G49-E49</f>
        <v>-810573.00200800074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'CE-FLSH'!L51</f>
        <v>-344818</v>
      </c>
      <c r="E51" s="66">
        <f>'CE-FLSH'!M51</f>
        <v>-851977</v>
      </c>
      <c r="F51" s="60">
        <f>CE_GL!D51</f>
        <v>-326266</v>
      </c>
      <c r="G51" s="38">
        <f>CE_GL!E51</f>
        <v>-836872.29000000027</v>
      </c>
      <c r="H51" s="60">
        <f>F51-D51</f>
        <v>18552</v>
      </c>
      <c r="I51" s="38">
        <f>G51-E51</f>
        <v>15104.70999999973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-143249</v>
      </c>
      <c r="F54" s="60">
        <f>CE_GL!D54</f>
        <v>-32747784</v>
      </c>
      <c r="G54" s="38">
        <f>CE_GL!E54</f>
        <v>-143938.09000000003</v>
      </c>
      <c r="H54" s="60">
        <f>F54-D54</f>
        <v>-32747784</v>
      </c>
      <c r="I54" s="38">
        <f>G54-E54</f>
        <v>-689.09000000002561</v>
      </c>
    </row>
    <row r="55" spans="1:9" x14ac:dyDescent="0.25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-3106344</v>
      </c>
      <c r="F55" s="60">
        <f>CE_GL!D55</f>
        <v>0</v>
      </c>
      <c r="G55" s="38">
        <f>CE_GL!E55</f>
        <v>-710722.96999999986</v>
      </c>
      <c r="H55" s="60">
        <f>F55-D55</f>
        <v>0</v>
      </c>
      <c r="I55" s="38">
        <f>G55-E55</f>
        <v>2395621.0300000003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-3249593</v>
      </c>
      <c r="F56" s="61">
        <f t="shared" si="10"/>
        <v>-32747784</v>
      </c>
      <c r="G56" s="39">
        <f t="shared" si="10"/>
        <v>-854661.05999999982</v>
      </c>
      <c r="H56" s="61">
        <f t="shared" si="10"/>
        <v>-32747784</v>
      </c>
      <c r="I56" s="39">
        <f t="shared" si="10"/>
        <v>2394931.9400000004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845380</v>
      </c>
      <c r="F70" s="60">
        <f>CE_GL!D70</f>
        <v>0</v>
      </c>
      <c r="G70" s="38">
        <f>CE_GL!E70</f>
        <v>845380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-488419</v>
      </c>
      <c r="F71" s="60">
        <f>CE_GL!D71</f>
        <v>0</v>
      </c>
      <c r="G71" s="38">
        <f>CE_GL!E71</f>
        <v>-585797.18000000005</v>
      </c>
      <c r="H71" s="60">
        <f>F71-D71</f>
        <v>0</v>
      </c>
      <c r="I71" s="38">
        <f>G71-E71</f>
        <v>-97378.180000000051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356961</v>
      </c>
      <c r="F72" s="69">
        <f t="shared" si="13"/>
        <v>0</v>
      </c>
      <c r="G72" s="70">
        <f t="shared" si="13"/>
        <v>259582.81999999995</v>
      </c>
      <c r="H72" s="69">
        <f t="shared" si="13"/>
        <v>0</v>
      </c>
      <c r="I72" s="70">
        <f t="shared" si="13"/>
        <v>-97378.180000000051</v>
      </c>
    </row>
    <row r="73" spans="1:9" x14ac:dyDescent="0.25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-347357.5294117647</v>
      </c>
      <c r="F74" s="60">
        <f>CE_GL!D74</f>
        <v>0</v>
      </c>
      <c r="G74" s="38">
        <f>CE_GL!E74</f>
        <v>-756650.16999999993</v>
      </c>
      <c r="H74" s="60">
        <f t="shared" ref="H74:I79" si="14">F74-D74</f>
        <v>0</v>
      </c>
      <c r="I74" s="38">
        <f t="shared" si="14"/>
        <v>-409292.64058823523</v>
      </c>
    </row>
    <row r="75" spans="1:9" x14ac:dyDescent="0.25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79939</v>
      </c>
      <c r="F75" s="60">
        <f>CE_GL!D75</f>
        <v>0</v>
      </c>
      <c r="G75" s="38">
        <f>CE_GL!E75</f>
        <v>80000</v>
      </c>
      <c r="H75" s="60">
        <f t="shared" si="14"/>
        <v>0</v>
      </c>
      <c r="I75" s="38">
        <f t="shared" si="14"/>
        <v>61</v>
      </c>
    </row>
    <row r="76" spans="1:9" x14ac:dyDescent="0.25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-31729</v>
      </c>
      <c r="F76" s="60">
        <f>CE_GL!D76</f>
        <v>0</v>
      </c>
      <c r="G76" s="38">
        <f>CE_GL!E76</f>
        <v>-30873.440000000002</v>
      </c>
      <c r="H76" s="60">
        <f t="shared" si="14"/>
        <v>0</v>
      </c>
      <c r="I76" s="38">
        <f t="shared" si="14"/>
        <v>855.55999999999767</v>
      </c>
    </row>
    <row r="77" spans="1:9" x14ac:dyDescent="0.25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2475161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-2475161</v>
      </c>
    </row>
    <row r="80" spans="1:9" x14ac:dyDescent="0.25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1374258</v>
      </c>
      <c r="F81" s="60">
        <f>CE_GL!D81</f>
        <v>0</v>
      </c>
      <c r="G81" s="38">
        <f>CE_GL!E81</f>
        <v>-80855</v>
      </c>
      <c r="H81" s="60">
        <f>F81-D81</f>
        <v>0</v>
      </c>
      <c r="I81" s="38">
        <f>G81-E81</f>
        <v>-1455113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-921761.01740376279</v>
      </c>
      <c r="F82" s="71">
        <f>F16+F24+F29+F36+F43+F45+F47+F49</f>
        <v>0</v>
      </c>
      <c r="G82" s="72">
        <f>SUM(G72:G81)+G16+G24+G29+G36+G43+G45+G47+G49+G51+G56+G61+G66</f>
        <v>-2349352.2750000013</v>
      </c>
      <c r="H82" s="71">
        <f>H16+H24+H29+H36+H43+H45+H47+H49</f>
        <v>0</v>
      </c>
      <c r="I82" s="72">
        <f>SUM(I72:I81)+I16+I24+I29+I36+I43+I45+I47+I49+I51+I56+I61+I66</f>
        <v>-1427591.2575962283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workbookViewId="0">
      <selection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customWidth="1"/>
    <col min="8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198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'ARUBA-FLSH'!L11</f>
        <v>0</v>
      </c>
      <c r="E11" s="66">
        <f>'ARUBA-FLSH'!M11</f>
        <v>0</v>
      </c>
      <c r="F11" s="60">
        <f>ARUBA_GL!D11</f>
        <v>0</v>
      </c>
      <c r="G11" s="38">
        <f>ARUBA_GL!E11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'ARUBA-FLSH'!L13</f>
        <v>0</v>
      </c>
      <c r="E13" s="66">
        <f>'ARUBA-FLSH'!M13</f>
        <v>0</v>
      </c>
      <c r="F13" s="60">
        <f>ARUBA_GL!D13</f>
        <v>0</v>
      </c>
      <c r="G13" s="38">
        <f>ARUBA_GL!E13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'ARUBA-FLSH'!L19</f>
        <v>0</v>
      </c>
      <c r="E19" s="66">
        <f>'ARUBA-FLSH'!M19</f>
        <v>0</v>
      </c>
      <c r="F19" s="60">
        <f>ARUBA_GL!D19</f>
        <v>0</v>
      </c>
      <c r="G19" s="38">
        <f>ARUBA_GL!E19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'ARUBA-FLSH'!L21</f>
        <v>0</v>
      </c>
      <c r="E21" s="66">
        <f>'ARUBA-FLSH'!M21</f>
        <v>0</v>
      </c>
      <c r="F21" s="60">
        <f>ARUBA_GL!D21</f>
        <v>0</v>
      </c>
      <c r="G21" s="38">
        <f>ARUBA_GL!E21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'ARUBA-FLSH'!L23</f>
        <v>0</v>
      </c>
      <c r="E23" s="66">
        <f>'ARUBA-FLSH'!M23</f>
        <v>0</v>
      </c>
      <c r="F23" s="60">
        <f>ARUBA_GL!D23</f>
        <v>0</v>
      </c>
      <c r="G23" s="38">
        <f>ARUBA_GL!E23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'ARUBA-FLSH'!L49</f>
        <v>0</v>
      </c>
      <c r="E49" s="66">
        <f>'ARUBA-FLSH'!M49</f>
        <v>0</v>
      </c>
      <c r="F49" s="60">
        <f>ARUBA_GL!D49</f>
        <v>0</v>
      </c>
      <c r="G49" s="38">
        <f>ARUBA_GL!E49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'ARUBA-FLSH'!L51</f>
        <v>0</v>
      </c>
      <c r="E51" s="66">
        <f>'ARUBA-FLSH'!M51</f>
        <v>0</v>
      </c>
      <c r="F51" s="60">
        <f>ARUBA_GL!D51</f>
        <v>0</v>
      </c>
      <c r="G51" s="38">
        <f>ARUBA_GL!E51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0</v>
      </c>
      <c r="F54" s="60">
        <f>ARUBA_GL!D54</f>
        <v>0</v>
      </c>
      <c r="G54" s="38">
        <f>ARUBA_GL!E54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22061170</v>
      </c>
      <c r="F70" s="60">
        <f>ARUBA_GL!D70</f>
        <v>0</v>
      </c>
      <c r="G70" s="38">
        <f>ARUBA_GL!E70</f>
        <v>22061170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0</v>
      </c>
      <c r="F71" s="60">
        <f>ARUBA_GL!D71</f>
        <v>0</v>
      </c>
      <c r="G71" s="38">
        <f>ARUBA_GL!E71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22061170</v>
      </c>
      <c r="F72" s="69">
        <f t="shared" si="13"/>
        <v>0</v>
      </c>
      <c r="G72" s="70">
        <f t="shared" si="13"/>
        <v>22061170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-22036381</v>
      </c>
      <c r="F74" s="60">
        <f>ARUBA_GL!D74</f>
        <v>0</v>
      </c>
      <c r="G74" s="38">
        <f>ARUBA_GL!E74</f>
        <v>-22036381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388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-388</v>
      </c>
    </row>
    <row r="77" spans="1:9" x14ac:dyDescent="0.25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25177</v>
      </c>
      <c r="F82" s="71">
        <f>F16+F24+F29+F36+F43+F45+F47+F49</f>
        <v>0</v>
      </c>
      <c r="G82" s="72">
        <f>SUM(G72:G81)+G16+G24+G29+G36+G43+G45+G47+G49+G51+G56+G61+G66</f>
        <v>24789</v>
      </c>
      <c r="H82" s="71">
        <f>H16+H24+H29+H36+H43+H45+H47+H49</f>
        <v>0</v>
      </c>
      <c r="I82" s="72">
        <f>SUM(I72:I81)+I16+I24+I29+I36+I43+I45+I47+I49+I51+I56+I61+I66</f>
        <v>-388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'EAST-EGM-FLSH'!L11</f>
        <v>94659014</v>
      </c>
      <c r="E11" s="66">
        <f>'EAST-EGM-FLSH'!M11</f>
        <v>271214615.40364498</v>
      </c>
      <c r="F11" s="60">
        <f>'EAST-EGM-GL'!D11</f>
        <v>89589836</v>
      </c>
      <c r="G11" s="38">
        <f>'EAST-EGM-GL'!E11</f>
        <v>260319803.40000004</v>
      </c>
      <c r="H11" s="60">
        <f>F11-D11</f>
        <v>-5069178</v>
      </c>
      <c r="I11" s="38">
        <f>G11-E11</f>
        <v>-10894812.003644943</v>
      </c>
    </row>
    <row r="12" spans="1:22" x14ac:dyDescent="0.25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-197610.21</v>
      </c>
      <c r="H12" s="60">
        <f>F12-D12</f>
        <v>0</v>
      </c>
      <c r="I12" s="38">
        <f>G12-E12</f>
        <v>-197610.21</v>
      </c>
    </row>
    <row r="13" spans="1:22" x14ac:dyDescent="0.25">
      <c r="A13" s="9">
        <v>3</v>
      </c>
      <c r="B13" s="7"/>
      <c r="C13" s="18" t="s">
        <v>27</v>
      </c>
      <c r="D13" s="65">
        <f>'EAST-EGM-FLSH'!L13</f>
        <v>32441679</v>
      </c>
      <c r="E13" s="66">
        <f>'EAST-EGM-FLSH'!M13</f>
        <v>85301401</v>
      </c>
      <c r="F13" s="60">
        <f>'EAST-EGM-GL'!D13</f>
        <v>32470494</v>
      </c>
      <c r="G13" s="38">
        <f>'EAST-EGM-GL'!E13</f>
        <v>85375026</v>
      </c>
      <c r="H13" s="60">
        <f t="shared" ref="H13:I15" si="0">F13-D13</f>
        <v>28815</v>
      </c>
      <c r="I13" s="38">
        <f t="shared" si="0"/>
        <v>73625</v>
      </c>
    </row>
    <row r="14" spans="1:22" x14ac:dyDescent="0.25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-90311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90311</v>
      </c>
    </row>
    <row r="15" spans="1:22" x14ac:dyDescent="0.25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1123363.0199999998</v>
      </c>
      <c r="H15" s="60">
        <f t="shared" si="0"/>
        <v>0</v>
      </c>
      <c r="I15" s="38">
        <f t="shared" si="0"/>
        <v>1123363.0199999998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127100693</v>
      </c>
      <c r="E16" s="39">
        <f t="shared" si="1"/>
        <v>356425705.40364498</v>
      </c>
      <c r="F16" s="61">
        <f t="shared" si="1"/>
        <v>122060330</v>
      </c>
      <c r="G16" s="39">
        <f t="shared" si="1"/>
        <v>346620582.21000004</v>
      </c>
      <c r="H16" s="61">
        <f t="shared" si="1"/>
        <v>-5040363</v>
      </c>
      <c r="I16" s="39">
        <f t="shared" si="1"/>
        <v>-9805123.1936449446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'EAST-EGM-FLSH'!L19</f>
        <v>-95731780</v>
      </c>
      <c r="E19" s="66">
        <f>'EAST-EGM-FLSH'!M19</f>
        <v>-274459836</v>
      </c>
      <c r="F19" s="60">
        <f>'EAST-EGM-GL'!D19</f>
        <v>-97372457</v>
      </c>
      <c r="G19" s="38">
        <f>'EAST-EGM-GL'!E19</f>
        <v>-278509795.29000002</v>
      </c>
      <c r="H19" s="60">
        <f>F19-D19</f>
        <v>-1640677</v>
      </c>
      <c r="I19" s="38">
        <f>G19-E19</f>
        <v>-4049959.2900000215</v>
      </c>
    </row>
    <row r="20" spans="1:9" x14ac:dyDescent="0.25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-3055830.94</v>
      </c>
      <c r="H20" s="60">
        <f>F20-D20</f>
        <v>0</v>
      </c>
      <c r="I20" s="38">
        <f>G20-E20</f>
        <v>-3055830.94</v>
      </c>
    </row>
    <row r="21" spans="1:9" x14ac:dyDescent="0.25">
      <c r="A21" s="9">
        <v>8</v>
      </c>
      <c r="B21" s="7"/>
      <c r="C21" s="18" t="s">
        <v>27</v>
      </c>
      <c r="D21" s="65">
        <f>'EAST-EGM-FLSH'!L21</f>
        <v>-31868882</v>
      </c>
      <c r="E21" s="66">
        <f>'EAST-EGM-FLSH'!M21</f>
        <v>-83966337</v>
      </c>
      <c r="F21" s="60">
        <f>'EAST-EGM-GL'!D21</f>
        <v>-31868882</v>
      </c>
      <c r="G21" s="38">
        <f>'EAST-EGM-GL'!E21</f>
        <v>-83966339</v>
      </c>
      <c r="H21" s="60">
        <f t="shared" ref="H21:I23" si="2">F21-D21</f>
        <v>0</v>
      </c>
      <c r="I21" s="38">
        <f t="shared" si="2"/>
        <v>-2</v>
      </c>
    </row>
    <row r="22" spans="1:9" x14ac:dyDescent="0.25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'EAST-EGM-FLSH'!L23</f>
        <v>167430</v>
      </c>
      <c r="E23" s="66">
        <f>'EAST-EGM-FLSH'!M23</f>
        <v>437179</v>
      </c>
      <c r="F23" s="60">
        <f>'EAST-EGM-GL'!D23</f>
        <v>183793</v>
      </c>
      <c r="G23" s="38">
        <f>'EAST-EGM-GL'!E23</f>
        <v>1554916.108</v>
      </c>
      <c r="H23" s="60">
        <f t="shared" si="2"/>
        <v>16363</v>
      </c>
      <c r="I23" s="38">
        <f t="shared" si="2"/>
        <v>1117737.108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-127433232</v>
      </c>
      <c r="E24" s="39">
        <f t="shared" si="3"/>
        <v>-357988994</v>
      </c>
      <c r="F24" s="61">
        <f t="shared" si="3"/>
        <v>-129057546</v>
      </c>
      <c r="G24" s="39">
        <f t="shared" si="3"/>
        <v>-363977049.12200004</v>
      </c>
      <c r="H24" s="61">
        <f t="shared" si="3"/>
        <v>-1624314</v>
      </c>
      <c r="I24" s="39">
        <f t="shared" si="3"/>
        <v>-5988055.1220000209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8780890</v>
      </c>
      <c r="G27" s="38">
        <f>'EAST-EGM-GL'!E27</f>
        <v>22475264.77</v>
      </c>
      <c r="H27" s="60">
        <f>F27-D27</f>
        <v>8780890</v>
      </c>
      <c r="I27" s="38">
        <f>G27-E27</f>
        <v>22475264.77</v>
      </c>
    </row>
    <row r="28" spans="1:9" x14ac:dyDescent="0.25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-2040280</v>
      </c>
      <c r="G28" s="38">
        <f>'EAST-EGM-GL'!E28</f>
        <v>-5242512.18</v>
      </c>
      <c r="H28" s="60">
        <f>F28-D28</f>
        <v>-2040280</v>
      </c>
      <c r="I28" s="38">
        <f>G28-E28</f>
        <v>-5242512.18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6740610</v>
      </c>
      <c r="G29" s="70">
        <f t="shared" si="4"/>
        <v>17232752.59</v>
      </c>
      <c r="H29" s="69">
        <f t="shared" si="4"/>
        <v>6740610</v>
      </c>
      <c r="I29" s="70">
        <f t="shared" si="4"/>
        <v>17232752.59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'EAST-EGM-FLSH'!L32</f>
        <v>-90493</v>
      </c>
      <c r="E32" s="66">
        <f>'EAST-EGM-FLSH'!M32</f>
        <v>-200331</v>
      </c>
      <c r="F32" s="60">
        <f>'EAST-EGM-GL'!D32</f>
        <v>-117607</v>
      </c>
      <c r="G32" s="38">
        <f>'EAST-EGM-GL'!E32</f>
        <v>-340824.61500000051</v>
      </c>
      <c r="H32" s="60">
        <f>F32-D32</f>
        <v>-27114</v>
      </c>
      <c r="I32" s="38">
        <f>G32-E32</f>
        <v>-140493.61500000051</v>
      </c>
    </row>
    <row r="33" spans="1:9" x14ac:dyDescent="0.25">
      <c r="A33" s="9">
        <v>14</v>
      </c>
      <c r="B33" s="7"/>
      <c r="C33" s="18" t="s">
        <v>40</v>
      </c>
      <c r="D33" s="65">
        <f>'EAST-EGM-FLSH'!L33</f>
        <v>275764</v>
      </c>
      <c r="E33" s="66">
        <f>'EAST-EGM-FLSH'!M33</f>
        <v>707479</v>
      </c>
      <c r="F33" s="60">
        <f>'EAST-EGM-GL'!D33</f>
        <v>-201649</v>
      </c>
      <c r="G33" s="38">
        <f>'EAST-EGM-GL'!E33</f>
        <v>-522718.93999999994</v>
      </c>
      <c r="H33" s="60">
        <f t="shared" ref="H33:I35" si="5">F33-D33</f>
        <v>-477413</v>
      </c>
      <c r="I33" s="38">
        <f t="shared" si="5"/>
        <v>-1230197.94</v>
      </c>
    </row>
    <row r="34" spans="1:9" x14ac:dyDescent="0.25">
      <c r="A34" s="9">
        <v>15</v>
      </c>
      <c r="B34" s="7"/>
      <c r="C34" s="18" t="s">
        <v>41</v>
      </c>
      <c r="D34" s="65">
        <f>'EAST-EGM-FLSH'!L34</f>
        <v>-283140</v>
      </c>
      <c r="E34" s="66">
        <f>'EAST-EGM-FLSH'!M34</f>
        <v>-728171</v>
      </c>
      <c r="F34" s="60">
        <f>'EAST-EGM-GL'!D34</f>
        <v>70680</v>
      </c>
      <c r="G34" s="38">
        <f>'EAST-EGM-GL'!E34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5">
      <c r="A35" s="9">
        <v>16</v>
      </c>
      <c r="B35" s="7"/>
      <c r="C35" s="18" t="s">
        <v>42</v>
      </c>
      <c r="D35" s="65">
        <f>'EAST-EGM-FLSH'!L35</f>
        <v>200538</v>
      </c>
      <c r="E35" s="66">
        <f>'EAST-EGM-FLSH'!M35</f>
        <v>293198</v>
      </c>
      <c r="F35" s="60">
        <f>'EAST-EGM-GL'!D35</f>
        <v>100600</v>
      </c>
      <c r="G35" s="38">
        <f>'EAST-EGM-GL'!E35</f>
        <v>0</v>
      </c>
      <c r="H35" s="60">
        <f t="shared" si="5"/>
        <v>-99938</v>
      </c>
      <c r="I35" s="38">
        <f t="shared" si="5"/>
        <v>-293198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-147976</v>
      </c>
      <c r="G36" s="39">
        <f t="shared" si="6"/>
        <v>-682637.95500000042</v>
      </c>
      <c r="H36" s="61">
        <f t="shared" si="6"/>
        <v>-250645</v>
      </c>
      <c r="I36" s="39">
        <f t="shared" si="6"/>
        <v>-754812.95500000042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'EAST-EGM-FLSH'!L39</f>
        <v>9992</v>
      </c>
      <c r="E39" s="66">
        <f>'EAST-EGM-FLSH'!M39</f>
        <v>28977</v>
      </c>
      <c r="F39" s="60">
        <f>'EAST-EGM-GL'!D39</f>
        <v>75502</v>
      </c>
      <c r="G39" s="38">
        <f>'EAST-EGM-GL'!E39</f>
        <v>218804.59</v>
      </c>
      <c r="H39" s="60">
        <f t="shared" ref="H39:I41" si="7">F39-D39</f>
        <v>65510</v>
      </c>
      <c r="I39" s="38">
        <f t="shared" si="7"/>
        <v>189827.59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'EAST-EGM-FLSH'!L40</f>
        <v>44300</v>
      </c>
      <c r="E40" s="66">
        <f>'EAST-EGM-FLSH'!M40</f>
        <v>128470</v>
      </c>
      <c r="F40" s="60">
        <f>'EAST-EGM-GL'!D40</f>
        <v>0</v>
      </c>
      <c r="G40" s="38">
        <f>'EAST-EGM-GL'!E40</f>
        <v>0</v>
      </c>
      <c r="H40" s="60">
        <f t="shared" si="7"/>
        <v>-44300</v>
      </c>
      <c r="I40" s="38">
        <f t="shared" si="7"/>
        <v>-128470</v>
      </c>
    </row>
    <row r="41" spans="1:9" x14ac:dyDescent="0.25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44300</v>
      </c>
      <c r="E42" s="70">
        <f t="shared" si="8"/>
        <v>128470</v>
      </c>
      <c r="F42" s="69">
        <f t="shared" si="8"/>
        <v>0</v>
      </c>
      <c r="G42" s="70">
        <f t="shared" si="8"/>
        <v>0</v>
      </c>
      <c r="H42" s="69">
        <f t="shared" si="8"/>
        <v>-44300</v>
      </c>
      <c r="I42" s="70">
        <f t="shared" si="8"/>
        <v>-128470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54292</v>
      </c>
      <c r="E43" s="39">
        <f t="shared" si="9"/>
        <v>157447</v>
      </c>
      <c r="F43" s="61">
        <f t="shared" si="9"/>
        <v>75502</v>
      </c>
      <c r="G43" s="39">
        <f t="shared" si="9"/>
        <v>218804.59</v>
      </c>
      <c r="H43" s="61">
        <f t="shared" si="9"/>
        <v>21210</v>
      </c>
      <c r="I43" s="39">
        <f t="shared" si="9"/>
        <v>61357.59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'EAST-EGM-FLSH'!L49</f>
        <v>235578</v>
      </c>
      <c r="E49" s="66">
        <f>'EAST-EGM-FLSH'!M49</f>
        <v>673598.57556135743</v>
      </c>
      <c r="F49" s="60">
        <f>'EAST-EGM-GL'!D49</f>
        <v>329080</v>
      </c>
      <c r="G49" s="38">
        <f>'EAST-EGM-GL'!E49</f>
        <v>953673.83799999964</v>
      </c>
      <c r="H49" s="60">
        <f>F49-D49</f>
        <v>93502</v>
      </c>
      <c r="I49" s="38">
        <f>G49-E49</f>
        <v>280075.26243864221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'EAST-EGM-FLSH'!L51</f>
        <v>-167430</v>
      </c>
      <c r="E51" s="66">
        <f>'EAST-EGM-FLSH'!M51</f>
        <v>-437179</v>
      </c>
      <c r="F51" s="60">
        <f>'EAST-EGM-GL'!D51</f>
        <v>-536548</v>
      </c>
      <c r="G51" s="38">
        <f>'EAST-EGM-GL'!E51</f>
        <v>-1554916.108</v>
      </c>
      <c r="H51" s="60">
        <f>F51-D51</f>
        <v>-369118</v>
      </c>
      <c r="I51" s="38">
        <f>G51-E51</f>
        <v>-1117737.108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-538736</v>
      </c>
      <c r="F54" s="60">
        <f>'EAST-EGM-GL'!D54</f>
        <v>-65219211</v>
      </c>
      <c r="G54" s="38">
        <f>'EAST-EGM-GL'!E54</f>
        <v>-487356.00999999983</v>
      </c>
      <c r="H54" s="60">
        <f>F54-D54</f>
        <v>-65219211</v>
      </c>
      <c r="I54" s="38">
        <f>G54-E54</f>
        <v>51379.990000000165</v>
      </c>
    </row>
    <row r="55" spans="1:9" x14ac:dyDescent="0.25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-516532</v>
      </c>
      <c r="F55" s="60">
        <f>'EAST-EGM-GL'!D55</f>
        <v>0</v>
      </c>
      <c r="G55" s="38">
        <f>'EAST-EGM-GL'!E55</f>
        <v>-1226228.2300000002</v>
      </c>
      <c r="H55" s="60">
        <f>F55-D55</f>
        <v>0</v>
      </c>
      <c r="I55" s="38">
        <f>G55-E55</f>
        <v>-709696.23000000021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-65219211</v>
      </c>
      <c r="G56" s="39">
        <f t="shared" si="10"/>
        <v>-1713584.24</v>
      </c>
      <c r="H56" s="61">
        <f t="shared" si="10"/>
        <v>-65219211</v>
      </c>
      <c r="I56" s="39">
        <f t="shared" si="10"/>
        <v>-658316.24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36300.339999999997</v>
      </c>
      <c r="H59" s="60">
        <f>F59-D59</f>
        <v>0</v>
      </c>
      <c r="I59" s="38">
        <f>G59-E59</f>
        <v>36300.339999999997</v>
      </c>
    </row>
    <row r="60" spans="1:9" x14ac:dyDescent="0.25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-53165.8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53165.8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-53165.8</v>
      </c>
      <c r="F61" s="69">
        <f t="shared" si="11"/>
        <v>0</v>
      </c>
      <c r="G61" s="70">
        <f t="shared" si="11"/>
        <v>36300.339999999997</v>
      </c>
      <c r="H61" s="69">
        <f t="shared" si="11"/>
        <v>0</v>
      </c>
      <c r="I61" s="70">
        <f t="shared" si="11"/>
        <v>89466.14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34990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-34990</v>
      </c>
    </row>
    <row r="65" spans="1:9" x14ac:dyDescent="0.25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7144978.9450000003</v>
      </c>
      <c r="F70" s="60">
        <f>'EAST-EGM-GL'!D70</f>
        <v>0</v>
      </c>
      <c r="G70" s="38">
        <f>'EAST-EGM-GL'!E70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5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-2527104.1154804802</v>
      </c>
      <c r="F71" s="60">
        <f>'EAST-EGM-GL'!D71</f>
        <v>0</v>
      </c>
      <c r="G71" s="38">
        <f>'EAST-EGM-GL'!E71</f>
        <v>-2527106.12</v>
      </c>
      <c r="H71" s="60">
        <f>F71-D71</f>
        <v>0</v>
      </c>
      <c r="I71" s="38">
        <f>G71-E71</f>
        <v>-2.0045195198617876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5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-2697680</v>
      </c>
      <c r="F74" s="60">
        <f>'EAST-EGM-GL'!D74</f>
        <v>0</v>
      </c>
      <c r="G74" s="38">
        <f>'EAST-EGM-GL'!E74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5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59817</v>
      </c>
      <c r="F75" s="60">
        <f>'EAST-EGM-GL'!D75</f>
        <v>0</v>
      </c>
      <c r="G75" s="38">
        <f>'EAST-EGM-GL'!E75</f>
        <v>52300</v>
      </c>
      <c r="H75" s="60">
        <f t="shared" si="14"/>
        <v>0</v>
      </c>
      <c r="I75" s="38">
        <f t="shared" si="14"/>
        <v>-7517</v>
      </c>
    </row>
    <row r="76" spans="1:9" x14ac:dyDescent="0.25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-15073</v>
      </c>
      <c r="F76" s="60">
        <f>'EAST-EGM-GL'!D76</f>
        <v>0</v>
      </c>
      <c r="G76" s="38">
        <f>'EAST-EGM-GL'!E76</f>
        <v>-8374.8999999999978</v>
      </c>
      <c r="H76" s="60">
        <f t="shared" si="14"/>
        <v>0</v>
      </c>
      <c r="I76" s="38">
        <f t="shared" si="14"/>
        <v>6698.1000000000022</v>
      </c>
    </row>
    <row r="77" spans="1:9" x14ac:dyDescent="0.25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5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-182574</v>
      </c>
      <c r="F81" s="60">
        <f>'EAST-EGM-GL'!D81</f>
        <v>0</v>
      </c>
      <c r="G81" s="38">
        <f>'EAST-EGM-GL'!E81</f>
        <v>4.000000001542503E-2</v>
      </c>
      <c r="H81" s="60">
        <f>F81-D81</f>
        <v>0</v>
      </c>
      <c r="I81" s="38">
        <f>G81-E81</f>
        <v>182574.04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-400611.04627416044</v>
      </c>
      <c r="F82" s="71">
        <f>F16+F24+F29+F36+F43+F45+F47+F49</f>
        <v>0</v>
      </c>
      <c r="G82" s="72">
        <f>SUM(G72:G81)+G16+G24+G29+G36+G43+G45+G47+G49+G51+G56+G61+G66</f>
        <v>-4958226.8869999731</v>
      </c>
      <c r="H82" s="71">
        <f>H16+H24+H29+H36+H43+H45+H47+H49</f>
        <v>-60000</v>
      </c>
      <c r="I82" s="72">
        <f>SUM(I72:I81)+I16+I24+I29+I36+I43+I45+I47+I49+I51+I56+I61+I66</f>
        <v>-4557615.8407258429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6"/>
      <c r="B86" s="3"/>
      <c r="C86" s="10" t="s">
        <v>167</v>
      </c>
      <c r="D86" s="167">
        <f>'EAST-EGM-FLSH'!L86</f>
        <v>0</v>
      </c>
      <c r="E86" s="167">
        <f>'EAST-EGM-FLSH'!M86</f>
        <v>-1361327</v>
      </c>
      <c r="F86" s="167">
        <f>'EAST-EGM-GL'!D86</f>
        <v>0</v>
      </c>
      <c r="G86" s="167">
        <f>'EAST-EGM-GL'!E86</f>
        <v>-1361327.16</v>
      </c>
      <c r="H86" s="167">
        <f t="shared" ref="H86:I88" si="15">F86-D86</f>
        <v>0</v>
      </c>
      <c r="I86" s="167">
        <f t="shared" si="15"/>
        <v>-0.15999999991618097</v>
      </c>
    </row>
    <row r="87" spans="1:63" x14ac:dyDescent="0.25">
      <c r="A87" s="166"/>
      <c r="B87" s="3"/>
      <c r="C87" s="10" t="s">
        <v>71</v>
      </c>
      <c r="D87" s="168">
        <f>'EAST-EGM-FLSH'!L87</f>
        <v>0</v>
      </c>
      <c r="E87" s="168">
        <f>'EAST-EGM-FLSH'!M87</f>
        <v>0</v>
      </c>
      <c r="F87" s="168">
        <f>'EAST-EGM-GL'!D87</f>
        <v>0</v>
      </c>
      <c r="G87" s="168">
        <f>'EAST-EGM-GL'!E87</f>
        <v>0</v>
      </c>
      <c r="H87" s="168">
        <f t="shared" si="15"/>
        <v>0</v>
      </c>
      <c r="I87" s="168">
        <f t="shared" si="15"/>
        <v>0</v>
      </c>
    </row>
    <row r="88" spans="1:63" x14ac:dyDescent="0.25">
      <c r="A88" s="166"/>
      <c r="B88" s="3"/>
      <c r="C88" s="10" t="s">
        <v>72</v>
      </c>
      <c r="D88" s="169">
        <f>'EAST-EGM-FLSH'!L88</f>
        <v>0</v>
      </c>
      <c r="E88" s="169">
        <f>'EAST-EGM-FLSH'!M88</f>
        <v>1750096</v>
      </c>
      <c r="F88" s="169">
        <f>'EAST-EGM-GL'!D88</f>
        <v>0</v>
      </c>
      <c r="G88" s="169">
        <f>'EAST-EGM-GL'!E88</f>
        <v>1750100</v>
      </c>
      <c r="H88" s="169">
        <f t="shared" si="15"/>
        <v>0</v>
      </c>
      <c r="I88" s="169">
        <f t="shared" si="15"/>
        <v>4</v>
      </c>
    </row>
    <row r="89" spans="1:63" s="141" customFormat="1" x14ac:dyDescent="0.25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388769</v>
      </c>
      <c r="F89" s="182">
        <f t="shared" si="16"/>
        <v>0</v>
      </c>
      <c r="G89" s="182">
        <f t="shared" si="16"/>
        <v>388772.84000000008</v>
      </c>
      <c r="H89" s="182">
        <f t="shared" si="16"/>
        <v>0</v>
      </c>
      <c r="I89" s="182">
        <f t="shared" si="16"/>
        <v>3.840000000083819</v>
      </c>
    </row>
    <row r="90" spans="1:63" s="141" customFormat="1" x14ac:dyDescent="0.25">
      <c r="A90" s="184"/>
      <c r="B90" s="181"/>
      <c r="D90" s="185"/>
      <c r="E90" s="185"/>
      <c r="F90" s="185"/>
      <c r="G90" s="185"/>
      <c r="H90" s="185"/>
      <c r="I90" s="185"/>
    </row>
    <row r="91" spans="1:63" s="141" customFormat="1" x14ac:dyDescent="0.25">
      <c r="A91" s="180"/>
      <c r="B91" s="181"/>
      <c r="C91" s="179" t="s">
        <v>173</v>
      </c>
      <c r="D91" s="182">
        <f t="shared" ref="D91:I91" si="17">+D82+D89</f>
        <v>60000</v>
      </c>
      <c r="E91" s="182">
        <f t="shared" si="17"/>
        <v>-11842.046274160442</v>
      </c>
      <c r="F91" s="182">
        <f t="shared" si="17"/>
        <v>0</v>
      </c>
      <c r="G91" s="182">
        <f t="shared" si="17"/>
        <v>-4569454.0469999732</v>
      </c>
      <c r="H91" s="182">
        <f t="shared" si="17"/>
        <v>-60000</v>
      </c>
      <c r="I91" s="182">
        <f t="shared" si="17"/>
        <v>-4557612.000725843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'EAST-LRC-FLSH'!L11</f>
        <v>10361866</v>
      </c>
      <c r="E11" s="66">
        <f>'EAST-LRC-FLSH'!M11</f>
        <v>28866339.59635504</v>
      </c>
      <c r="F11" s="60">
        <f>'EAST-LRC-GL'!D11</f>
        <v>7172368</v>
      </c>
      <c r="G11" s="38">
        <f>'EAST-LRC-GL'!E11</f>
        <v>20262634.700000003</v>
      </c>
      <c r="H11" s="60">
        <f>F11-D11</f>
        <v>-3189498</v>
      </c>
      <c r="I11" s="38">
        <f>G11-E11</f>
        <v>-8603704.8963550366</v>
      </c>
    </row>
    <row r="12" spans="1:22" x14ac:dyDescent="0.25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316339.43</v>
      </c>
      <c r="H12" s="60">
        <f>F12-D12</f>
        <v>0</v>
      </c>
      <c r="I12" s="38">
        <f>G12-E12</f>
        <v>316339.43</v>
      </c>
    </row>
    <row r="13" spans="1:22" x14ac:dyDescent="0.25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10361866</v>
      </c>
      <c r="E16" s="39">
        <f t="shared" si="1"/>
        <v>28866339.59635504</v>
      </c>
      <c r="F16" s="61">
        <f t="shared" si="1"/>
        <v>7172368</v>
      </c>
      <c r="G16" s="39">
        <f t="shared" si="1"/>
        <v>20578974.130000003</v>
      </c>
      <c r="H16" s="61">
        <f t="shared" si="1"/>
        <v>-3189498</v>
      </c>
      <c r="I16" s="39">
        <f t="shared" si="1"/>
        <v>-8287365.4663550369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'EAST-LRC-FLSH'!L19</f>
        <v>-10304264</v>
      </c>
      <c r="E19" s="66">
        <f>'EAST-LRC-FLSH'!M19</f>
        <v>-26722765</v>
      </c>
      <c r="F19" s="60">
        <f>'EAST-LRC-GL'!D19</f>
        <v>-777501</v>
      </c>
      <c r="G19" s="38">
        <f>'EAST-LRC-GL'!E19</f>
        <v>-2208101.5100000002</v>
      </c>
      <c r="H19" s="60">
        <f>F19-D19</f>
        <v>9526763</v>
      </c>
      <c r="I19" s="38">
        <f>G19-E19</f>
        <v>24514663.489999998</v>
      </c>
    </row>
    <row r="20" spans="1:9" x14ac:dyDescent="0.25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744</v>
      </c>
      <c r="G23" s="38">
        <f>'EAST-LRC-GL'!E23</f>
        <v>1941.87</v>
      </c>
      <c r="H23" s="60">
        <f t="shared" si="2"/>
        <v>744</v>
      </c>
      <c r="I23" s="38">
        <f t="shared" si="2"/>
        <v>1941.87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-10304264</v>
      </c>
      <c r="E24" s="39">
        <f t="shared" si="3"/>
        <v>-26722765</v>
      </c>
      <c r="F24" s="61">
        <f t="shared" si="3"/>
        <v>-776757</v>
      </c>
      <c r="G24" s="39">
        <f t="shared" si="3"/>
        <v>-2206159.64</v>
      </c>
      <c r="H24" s="61">
        <f t="shared" si="3"/>
        <v>9527507</v>
      </c>
      <c r="I24" s="39">
        <f t="shared" si="3"/>
        <v>24516605.359999999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2070803</v>
      </c>
      <c r="G27" s="38">
        <f>'EAST-LRC-GL'!E27</f>
        <v>5321924.7700000005</v>
      </c>
      <c r="H27" s="60">
        <f>F27-D27</f>
        <v>2070803</v>
      </c>
      <c r="I27" s="38">
        <f>G27-E27</f>
        <v>5321924.7700000005</v>
      </c>
    </row>
    <row r="28" spans="1:9" x14ac:dyDescent="0.25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-8530853</v>
      </c>
      <c r="G28" s="38">
        <f>'EAST-LRC-GL'!E28</f>
        <v>-21820918.270000007</v>
      </c>
      <c r="H28" s="60">
        <f>F28-D28</f>
        <v>-8530853</v>
      </c>
      <c r="I28" s="38">
        <f>G28-E28</f>
        <v>-21820918.270000007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-6460050</v>
      </c>
      <c r="G29" s="70">
        <f t="shared" si="4"/>
        <v>-16498993.500000007</v>
      </c>
      <c r="H29" s="69">
        <f t="shared" si="4"/>
        <v>-6460050</v>
      </c>
      <c r="I29" s="70">
        <f t="shared" si="4"/>
        <v>-16498993.500000007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-22894</v>
      </c>
      <c r="G32" s="38">
        <f>'EAST-LRC-GL'!E32</f>
        <v>-66346.814000000013</v>
      </c>
      <c r="H32" s="60">
        <f>F32-D32</f>
        <v>-22894</v>
      </c>
      <c r="I32" s="38">
        <f>G32-E32</f>
        <v>-66346.814000000013</v>
      </c>
    </row>
    <row r="33" spans="1:9" x14ac:dyDescent="0.25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-22894</v>
      </c>
      <c r="G36" s="39">
        <f t="shared" si="6"/>
        <v>-66346.814000000013</v>
      </c>
      <c r="H36" s="61">
        <f t="shared" si="6"/>
        <v>-22894</v>
      </c>
      <c r="I36" s="39">
        <f t="shared" si="6"/>
        <v>-66346.814000000013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'EAST-LRC-FLSH'!L39</f>
        <v>780448</v>
      </c>
      <c r="E39" s="66">
        <f>'EAST-LRC-FLSH'!M39</f>
        <v>2263300</v>
      </c>
      <c r="F39" s="60">
        <f>'EAST-LRC-GL'!D39</f>
        <v>843921</v>
      </c>
      <c r="G39" s="38">
        <f>'EAST-LRC-GL'!E39</f>
        <v>2447370.9</v>
      </c>
      <c r="H39" s="60">
        <f t="shared" ref="H39:I41" si="7">F39-D39</f>
        <v>63473</v>
      </c>
      <c r="I39" s="38">
        <f t="shared" si="7"/>
        <v>184070.89999999991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'EAST-LRC-FLSH'!L40</f>
        <v>-742887</v>
      </c>
      <c r="E40" s="66">
        <f>'EAST-LRC-FLSH'!M40</f>
        <v>-2154374</v>
      </c>
      <c r="F40" s="60">
        <f>'EAST-LRC-GL'!D40</f>
        <v>-823322</v>
      </c>
      <c r="G40" s="38">
        <f>'EAST-LRC-GL'!E40</f>
        <v>-2387633.8000000003</v>
      </c>
      <c r="H40" s="60">
        <f t="shared" si="7"/>
        <v>-80435</v>
      </c>
      <c r="I40" s="38">
        <f t="shared" si="7"/>
        <v>-233259.80000000028</v>
      </c>
    </row>
    <row r="41" spans="1:9" x14ac:dyDescent="0.25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-742887</v>
      </c>
      <c r="E42" s="70">
        <f t="shared" si="8"/>
        <v>-2154374</v>
      </c>
      <c r="F42" s="69">
        <f t="shared" si="8"/>
        <v>-823322</v>
      </c>
      <c r="G42" s="70">
        <f t="shared" si="8"/>
        <v>-2387633.8000000003</v>
      </c>
      <c r="H42" s="69">
        <f t="shared" si="8"/>
        <v>-80435</v>
      </c>
      <c r="I42" s="70">
        <f t="shared" si="8"/>
        <v>-233259.80000000028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37561</v>
      </c>
      <c r="E43" s="39">
        <f t="shared" si="9"/>
        <v>108926</v>
      </c>
      <c r="F43" s="61">
        <f t="shared" si="9"/>
        <v>20599</v>
      </c>
      <c r="G43" s="39">
        <f t="shared" si="9"/>
        <v>59737.099999999627</v>
      </c>
      <c r="H43" s="61">
        <f t="shared" si="9"/>
        <v>-16962</v>
      </c>
      <c r="I43" s="39">
        <f t="shared" si="9"/>
        <v>-49188.900000000373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3612</v>
      </c>
      <c r="G45" s="38">
        <f>'EAST-LRC-GL'!E45</f>
        <v>4216.88</v>
      </c>
      <c r="H45" s="60">
        <f>F45-D45</f>
        <v>3612</v>
      </c>
      <c r="I45" s="38">
        <f>G45-E45</f>
        <v>4216.88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'EAST-LRC-FLSH'!L49</f>
        <v>-155163</v>
      </c>
      <c r="E49" s="66">
        <f>'EAST-LRC-FLSH'!M49</f>
        <v>-440562.44612850982</v>
      </c>
      <c r="F49" s="60">
        <f>'EAST-LRC-GL'!D49</f>
        <v>63122</v>
      </c>
      <c r="G49" s="38">
        <f>'EAST-LRC-GL'!E49</f>
        <v>182927.55799999993</v>
      </c>
      <c r="H49" s="60">
        <f>F49-D49</f>
        <v>218285</v>
      </c>
      <c r="I49" s="38">
        <f>G49-E49</f>
        <v>623490.00412850978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-8936</v>
      </c>
      <c r="G51" s="38">
        <f>'EAST-LRC-GL'!E51</f>
        <v>-23310.87</v>
      </c>
      <c r="H51" s="60">
        <f>F51-D51</f>
        <v>-8936</v>
      </c>
      <c r="I51" s="38">
        <f>G51-E51</f>
        <v>-23310.87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-230358</v>
      </c>
      <c r="G54" s="38">
        <f>'EAST-LRC-GL'!E54</f>
        <v>-2269.7200000000003</v>
      </c>
      <c r="H54" s="60">
        <f>F54-D54</f>
        <v>-230358</v>
      </c>
      <c r="I54" s="38">
        <f>G54-E54</f>
        <v>-2269.7200000000003</v>
      </c>
    </row>
    <row r="55" spans="1:9" x14ac:dyDescent="0.25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-230358</v>
      </c>
      <c r="G56" s="39">
        <f t="shared" si="10"/>
        <v>-2269.7200000000003</v>
      </c>
      <c r="H56" s="61">
        <f t="shared" si="10"/>
        <v>-230358</v>
      </c>
      <c r="I56" s="39">
        <f t="shared" si="10"/>
        <v>-2269.7200000000003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2620106</v>
      </c>
      <c r="G59" s="38">
        <f>'EAST-LRC-GL'!E59</f>
        <v>50736.480000000003</v>
      </c>
      <c r="H59" s="60">
        <f>F59-D59</f>
        <v>2620106</v>
      </c>
      <c r="I59" s="38">
        <f>G59-E59</f>
        <v>50736.480000000003</v>
      </c>
    </row>
    <row r="60" spans="1:9" x14ac:dyDescent="0.25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53165.8</v>
      </c>
      <c r="F60" s="60">
        <f>'EAST-LRC-GL'!D60</f>
        <v>157288</v>
      </c>
      <c r="G60" s="38">
        <f>'EAST-LRC-GL'!E60</f>
        <v>170000</v>
      </c>
      <c r="H60" s="60">
        <f>F60-D60</f>
        <v>157288</v>
      </c>
      <c r="I60" s="38">
        <f>G60-E60</f>
        <v>116834.2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53165.8</v>
      </c>
      <c r="F61" s="69">
        <f t="shared" si="11"/>
        <v>2777394</v>
      </c>
      <c r="G61" s="70">
        <f t="shared" si="11"/>
        <v>220736.48</v>
      </c>
      <c r="H61" s="69">
        <f t="shared" si="11"/>
        <v>2777394</v>
      </c>
      <c r="I61" s="70">
        <f t="shared" si="11"/>
        <v>167570.68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-17921879</v>
      </c>
      <c r="G64" s="38">
        <f>'EAST-LRC-GL'!E64</f>
        <v>-2357051.0499999998</v>
      </c>
      <c r="H64" s="60">
        <f>F64-D64</f>
        <v>-17921879</v>
      </c>
      <c r="I64" s="38">
        <f>G64-E64</f>
        <v>-2357051.0499999998</v>
      </c>
    </row>
    <row r="65" spans="1:9" x14ac:dyDescent="0.25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17956541</v>
      </c>
      <c r="G65" s="38">
        <f>'EAST-LRC-GL'!E65</f>
        <v>2357051.0500000003</v>
      </c>
      <c r="H65" s="60">
        <f>F65-D65</f>
        <v>17956541</v>
      </c>
      <c r="I65" s="38">
        <f>G65-E65</f>
        <v>2357051.0500000003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34662</v>
      </c>
      <c r="G66" s="39">
        <f t="shared" si="12"/>
        <v>0</v>
      </c>
      <c r="H66" s="61">
        <f t="shared" si="12"/>
        <v>34662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-50000</v>
      </c>
      <c r="G81" s="38">
        <f>'EAST-LRC-GL'!E81</f>
        <v>0</v>
      </c>
      <c r="H81" s="60">
        <f>F81-D81</f>
        <v>-50000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-2031896.0497734703</v>
      </c>
      <c r="F82" s="71">
        <f>F16+F24+F29+F36+F43+F45+F47+F49</f>
        <v>0</v>
      </c>
      <c r="G82" s="72">
        <f>SUM(G72:G81)+G16+G24+G29+G36+G43+G45+G47+G49+G51+G56+G61+G66</f>
        <v>2249511.6039999942</v>
      </c>
      <c r="H82" s="71">
        <f>H16+H24+H29+H36+H43+H45+H47+H49</f>
        <v>60000</v>
      </c>
      <c r="I82" s="72">
        <f>SUM(I72:I81)+I16+I24+I29+I36+I43+I45+I47+I49+I51+I56+I61+I66</f>
        <v>4281407.6537734633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'EAST-CON-FLSH'!L11</f>
        <v>105020880</v>
      </c>
      <c r="E11" s="66">
        <f>'EAST-CON-FLSH'!M11</f>
        <v>300080955</v>
      </c>
      <c r="F11" s="60">
        <f>'EAST-CON-GL '!D11</f>
        <v>96762204</v>
      </c>
      <c r="G11" s="38">
        <f>'EAST-CON-GL '!E11</f>
        <v>280582438.10000002</v>
      </c>
      <c r="H11" s="60">
        <f>F11-D11</f>
        <v>-8258676</v>
      </c>
      <c r="I11" s="38">
        <f>G11-E11</f>
        <v>-19498516.899999976</v>
      </c>
    </row>
    <row r="12" spans="1:22" x14ac:dyDescent="0.25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118729.22</v>
      </c>
      <c r="H12" s="60">
        <f>F12-D12</f>
        <v>0</v>
      </c>
      <c r="I12" s="38">
        <f>G12-E12</f>
        <v>118729.22</v>
      </c>
    </row>
    <row r="13" spans="1:22" x14ac:dyDescent="0.25">
      <c r="A13" s="9">
        <v>3</v>
      </c>
      <c r="B13" s="7"/>
      <c r="C13" s="18" t="s">
        <v>27</v>
      </c>
      <c r="D13" s="65">
        <f>'EAST-CON-FLSH'!L13</f>
        <v>32441679</v>
      </c>
      <c r="E13" s="66">
        <f>'EAST-CON-FLSH'!M13</f>
        <v>85301401</v>
      </c>
      <c r="F13" s="60">
        <f>'EAST-CON-GL '!D13</f>
        <v>32470494</v>
      </c>
      <c r="G13" s="38">
        <f>'EAST-CON-GL '!E13</f>
        <v>85375026</v>
      </c>
      <c r="H13" s="60">
        <f t="shared" ref="H13:I15" si="0">F13-D13</f>
        <v>28815</v>
      </c>
      <c r="I13" s="38">
        <f t="shared" si="0"/>
        <v>73625</v>
      </c>
    </row>
    <row r="14" spans="1:22" x14ac:dyDescent="0.25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-90311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90311</v>
      </c>
    </row>
    <row r="15" spans="1:22" x14ac:dyDescent="0.25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1123363.0199999998</v>
      </c>
      <c r="H15" s="60">
        <f t="shared" si="0"/>
        <v>0</v>
      </c>
      <c r="I15" s="38">
        <f t="shared" si="0"/>
        <v>1123363.0199999998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137462559</v>
      </c>
      <c r="E16" s="39">
        <f t="shared" si="1"/>
        <v>385292045</v>
      </c>
      <c r="F16" s="61">
        <f t="shared" si="1"/>
        <v>129232698</v>
      </c>
      <c r="G16" s="39">
        <f t="shared" si="1"/>
        <v>367199556.34000003</v>
      </c>
      <c r="H16" s="61">
        <f t="shared" si="1"/>
        <v>-8229861</v>
      </c>
      <c r="I16" s="39">
        <f t="shared" si="1"/>
        <v>-18092488.659999978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'EAST-CON-FLSH'!L19</f>
        <v>-106036044</v>
      </c>
      <c r="E19" s="66">
        <f>'EAST-CON-FLSH'!M19</f>
        <v>-301182601</v>
      </c>
      <c r="F19" s="60">
        <f>'EAST-CON-GL '!D19</f>
        <v>-98151383</v>
      </c>
      <c r="G19" s="38">
        <f>'EAST-CON-GL '!E19</f>
        <v>-280712630.18000001</v>
      </c>
      <c r="H19" s="60">
        <f>F19-D19</f>
        <v>7884661</v>
      </c>
      <c r="I19" s="38">
        <f>G19-E19</f>
        <v>20469970.819999993</v>
      </c>
    </row>
    <row r="20" spans="1:9" x14ac:dyDescent="0.25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-3055830.94</v>
      </c>
      <c r="H20" s="60">
        <f>F20-D20</f>
        <v>0</v>
      </c>
      <c r="I20" s="38">
        <f>G20-E20</f>
        <v>-3055830.94</v>
      </c>
    </row>
    <row r="21" spans="1:9" x14ac:dyDescent="0.25">
      <c r="A21" s="9">
        <v>8</v>
      </c>
      <c r="B21" s="7"/>
      <c r="C21" s="18" t="s">
        <v>27</v>
      </c>
      <c r="D21" s="65">
        <f>'EAST-CON-FLSH'!L21</f>
        <v>-31868882</v>
      </c>
      <c r="E21" s="66">
        <f>'EAST-CON-FLSH'!M21</f>
        <v>-83966337</v>
      </c>
      <c r="F21" s="60">
        <f>'EAST-CON-GL '!D21</f>
        <v>-31868882</v>
      </c>
      <c r="G21" s="38">
        <f>'EAST-CON-GL '!E21</f>
        <v>-83966339</v>
      </c>
      <c r="H21" s="60">
        <f t="shared" ref="H21:I23" si="2">F21-D21</f>
        <v>0</v>
      </c>
      <c r="I21" s="38">
        <f t="shared" si="2"/>
        <v>-2</v>
      </c>
    </row>
    <row r="22" spans="1:9" x14ac:dyDescent="0.25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'EAST-CON-FLSH'!L23</f>
        <v>167430</v>
      </c>
      <c r="E23" s="66">
        <f>'EAST-CON-FLSH'!M23</f>
        <v>437179</v>
      </c>
      <c r="F23" s="60">
        <f>'EAST-CON-GL '!D23</f>
        <v>184626</v>
      </c>
      <c r="G23" s="38">
        <f>'EAST-CON-GL '!E23</f>
        <v>1557115.8979999998</v>
      </c>
      <c r="H23" s="60">
        <f t="shared" si="2"/>
        <v>17196</v>
      </c>
      <c r="I23" s="38">
        <f t="shared" si="2"/>
        <v>1119936.8979999998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-137737496</v>
      </c>
      <c r="E24" s="39">
        <f t="shared" si="3"/>
        <v>-384711759</v>
      </c>
      <c r="F24" s="61">
        <f t="shared" si="3"/>
        <v>-129835639</v>
      </c>
      <c r="G24" s="39">
        <f t="shared" si="3"/>
        <v>-366177684.222</v>
      </c>
      <c r="H24" s="61">
        <f t="shared" si="3"/>
        <v>7901857</v>
      </c>
      <c r="I24" s="39">
        <f t="shared" si="3"/>
        <v>18534074.77799999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10851693</v>
      </c>
      <c r="G27" s="38">
        <f>'EAST-CON-GL '!E27</f>
        <v>27797189.539999999</v>
      </c>
      <c r="H27" s="60">
        <f>F27-D27</f>
        <v>10851693</v>
      </c>
      <c r="I27" s="38">
        <f>G27-E27</f>
        <v>27797189.539999999</v>
      </c>
    </row>
    <row r="28" spans="1:9" x14ac:dyDescent="0.25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-10571133</v>
      </c>
      <c r="G28" s="38">
        <f>'EAST-CON-GL '!E28</f>
        <v>-27063430.450000007</v>
      </c>
      <c r="H28" s="60">
        <f>F28-D28</f>
        <v>-10571133</v>
      </c>
      <c r="I28" s="38">
        <f>G28-E28</f>
        <v>-27063430.450000007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280560</v>
      </c>
      <c r="G29" s="70">
        <f t="shared" si="4"/>
        <v>733759.0899999924</v>
      </c>
      <c r="H29" s="69">
        <f t="shared" si="4"/>
        <v>280560</v>
      </c>
      <c r="I29" s="70">
        <f t="shared" si="4"/>
        <v>733759.0899999924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'EAST-CON-FLSH'!L32</f>
        <v>-90493</v>
      </c>
      <c r="E32" s="66">
        <f>'EAST-CON-FLSH'!M32</f>
        <v>-200331</v>
      </c>
      <c r="F32" s="60">
        <f>'EAST-CON-GL '!D32</f>
        <v>-128401</v>
      </c>
      <c r="G32" s="38">
        <f>'EAST-CON-GL '!E32</f>
        <v>-372105.62900000031</v>
      </c>
      <c r="H32" s="60">
        <f>F32-D32</f>
        <v>-37908</v>
      </c>
      <c r="I32" s="38">
        <f>G32-E32</f>
        <v>-171774.62900000031</v>
      </c>
    </row>
    <row r="33" spans="1:9" x14ac:dyDescent="0.25">
      <c r="A33" s="9">
        <v>14</v>
      </c>
      <c r="B33" s="7"/>
      <c r="C33" s="18" t="s">
        <v>40</v>
      </c>
      <c r="D33" s="65">
        <f>'EAST-CON-FLSH'!L33</f>
        <v>275764</v>
      </c>
      <c r="E33" s="66">
        <f>'EAST-CON-FLSH'!M33</f>
        <v>707479</v>
      </c>
      <c r="F33" s="60">
        <f>'EAST-CON-GL '!D33</f>
        <v>-201649</v>
      </c>
      <c r="G33" s="38">
        <f>'EAST-CON-GL '!E33</f>
        <v>-522718.93999999994</v>
      </c>
      <c r="H33" s="60">
        <f t="shared" ref="H33:I35" si="5">F33-D33</f>
        <v>-477413</v>
      </c>
      <c r="I33" s="38">
        <f t="shared" si="5"/>
        <v>-1230197.94</v>
      </c>
    </row>
    <row r="34" spans="1:9" x14ac:dyDescent="0.25">
      <c r="A34" s="9">
        <v>15</v>
      </c>
      <c r="B34" s="7"/>
      <c r="C34" s="18" t="s">
        <v>41</v>
      </c>
      <c r="D34" s="65">
        <f>'EAST-CON-FLSH'!L34</f>
        <v>-283140</v>
      </c>
      <c r="E34" s="66">
        <f>'EAST-CON-FLSH'!M34</f>
        <v>-728171</v>
      </c>
      <c r="F34" s="60">
        <f>'EAST-CON-GL '!D34</f>
        <v>70680</v>
      </c>
      <c r="G34" s="38">
        <f>'EAST-CON-GL 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5">
      <c r="A35" s="9">
        <v>16</v>
      </c>
      <c r="B35" s="7"/>
      <c r="C35" s="18" t="s">
        <v>42</v>
      </c>
      <c r="D35" s="65">
        <f>'EAST-CON-FLSH'!L35</f>
        <v>200538</v>
      </c>
      <c r="E35" s="66">
        <f>'EAST-CON-FLSH'!M35</f>
        <v>293198</v>
      </c>
      <c r="F35" s="60">
        <f>'EAST-CON-GL '!D35</f>
        <v>100600</v>
      </c>
      <c r="G35" s="38">
        <f>'EAST-CON-GL '!E35</f>
        <v>0</v>
      </c>
      <c r="H35" s="60">
        <f t="shared" si="5"/>
        <v>-99938</v>
      </c>
      <c r="I35" s="38">
        <f t="shared" si="5"/>
        <v>-293198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-158770</v>
      </c>
      <c r="G36" s="39">
        <f t="shared" si="6"/>
        <v>-713918.96900000027</v>
      </c>
      <c r="H36" s="61">
        <f t="shared" si="6"/>
        <v>-261439</v>
      </c>
      <c r="I36" s="39">
        <f t="shared" si="6"/>
        <v>-786093.96900000016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'EAST-CON-FLSH'!L39</f>
        <v>790440</v>
      </c>
      <c r="E39" s="66">
        <f>'EAST-CON-FLSH'!M39</f>
        <v>2292277</v>
      </c>
      <c r="F39" s="60">
        <f>'EAST-CON-GL '!D39</f>
        <v>919423</v>
      </c>
      <c r="G39" s="38">
        <f>'EAST-CON-GL '!E39</f>
        <v>2666175.4900000002</v>
      </c>
      <c r="H39" s="60">
        <f t="shared" ref="H39:I41" si="7">F39-D39</f>
        <v>128983</v>
      </c>
      <c r="I39" s="38">
        <f t="shared" si="7"/>
        <v>373898.49000000022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'EAST-CON-FLSH'!L40</f>
        <v>-698587</v>
      </c>
      <c r="E40" s="66">
        <f>'EAST-CON-FLSH'!M40</f>
        <v>-2025904</v>
      </c>
      <c r="F40" s="60">
        <f>'EAST-CON-GL '!D40</f>
        <v>-823322</v>
      </c>
      <c r="G40" s="38">
        <f>'EAST-CON-GL '!E40</f>
        <v>-2387633.8000000003</v>
      </c>
      <c r="H40" s="60">
        <f t="shared" si="7"/>
        <v>-124735</v>
      </c>
      <c r="I40" s="38">
        <f t="shared" si="7"/>
        <v>-361729.80000000028</v>
      </c>
    </row>
    <row r="41" spans="1:9" x14ac:dyDescent="0.25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-698587</v>
      </c>
      <c r="E42" s="70">
        <f t="shared" si="8"/>
        <v>-2025904</v>
      </c>
      <c r="F42" s="69">
        <f t="shared" si="8"/>
        <v>-823322</v>
      </c>
      <c r="G42" s="70">
        <f t="shared" si="8"/>
        <v>-2387633.8000000003</v>
      </c>
      <c r="H42" s="69">
        <f t="shared" si="8"/>
        <v>-124735</v>
      </c>
      <c r="I42" s="70">
        <f t="shared" si="8"/>
        <v>-361729.80000000028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91853</v>
      </c>
      <c r="E43" s="39">
        <f t="shared" si="9"/>
        <v>266373</v>
      </c>
      <c r="F43" s="61">
        <f t="shared" si="9"/>
        <v>96101</v>
      </c>
      <c r="G43" s="39">
        <f t="shared" si="9"/>
        <v>278541.68999999994</v>
      </c>
      <c r="H43" s="61">
        <f t="shared" si="9"/>
        <v>4248</v>
      </c>
      <c r="I43" s="39">
        <f t="shared" si="9"/>
        <v>12168.689999999944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3612</v>
      </c>
      <c r="G45" s="38">
        <f>'EAST-CON-GL '!E45</f>
        <v>4216.88</v>
      </c>
      <c r="H45" s="60">
        <f>F45-D45</f>
        <v>3612</v>
      </c>
      <c r="I45" s="38">
        <f>G45-E45</f>
        <v>4216.88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'EAST-CON-FLSH'!L49</f>
        <v>80415</v>
      </c>
      <c r="E49" s="66">
        <f>'EAST-CON-FLSH'!M49</f>
        <v>233036.12943284761</v>
      </c>
      <c r="F49" s="60">
        <f>'EAST-CON-GL '!D49</f>
        <v>381438</v>
      </c>
      <c r="G49" s="38">
        <f>'EAST-CON-GL '!E49</f>
        <v>1105407.3260000006</v>
      </c>
      <c r="H49" s="60">
        <f>F49-D49</f>
        <v>301023</v>
      </c>
      <c r="I49" s="38">
        <f>G49-E49</f>
        <v>872371.19656715298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'EAST-CON-FLSH'!L51</f>
        <v>-167430</v>
      </c>
      <c r="E51" s="66">
        <f>'EAST-CON-FLSH'!M51</f>
        <v>-437179</v>
      </c>
      <c r="F51" s="60">
        <f>'EAST-CON-GL '!D51</f>
        <v>-545573</v>
      </c>
      <c r="G51" s="38">
        <f>'EAST-CON-GL '!E51</f>
        <v>-1578484.8979999998</v>
      </c>
      <c r="H51" s="60">
        <f>F51-D51</f>
        <v>-378143</v>
      </c>
      <c r="I51" s="38">
        <f>G51-E51</f>
        <v>-1141305.8979999998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-538736</v>
      </c>
      <c r="F54" s="60">
        <f>'EAST-CON-GL '!D54</f>
        <v>-65449131</v>
      </c>
      <c r="G54" s="38">
        <f>'EAST-CON-GL '!E54</f>
        <v>-500503.04999999981</v>
      </c>
      <c r="H54" s="60">
        <f>F54-D54</f>
        <v>-65449131</v>
      </c>
      <c r="I54" s="38">
        <f>G54-E54</f>
        <v>38232.950000000186</v>
      </c>
    </row>
    <row r="55" spans="1:9" x14ac:dyDescent="0.25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-516532</v>
      </c>
      <c r="F55" s="60">
        <f>'EAST-CON-GL '!D55</f>
        <v>0</v>
      </c>
      <c r="G55" s="38">
        <f>'EAST-CON-GL '!E55</f>
        <v>-1226112.3100000003</v>
      </c>
      <c r="H55" s="60">
        <f>F55-D55</f>
        <v>0</v>
      </c>
      <c r="I55" s="38">
        <f>G55-E55</f>
        <v>-709580.31000000029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-65449131</v>
      </c>
      <c r="G56" s="39">
        <f t="shared" si="10"/>
        <v>-1726615.36</v>
      </c>
      <c r="H56" s="61">
        <f t="shared" si="10"/>
        <v>-65449131</v>
      </c>
      <c r="I56" s="39">
        <f t="shared" si="10"/>
        <v>-671347.3600000001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2620106</v>
      </c>
      <c r="G59" s="38">
        <f>'EAST-CON-GL '!E59</f>
        <v>87036.82</v>
      </c>
      <c r="H59" s="60">
        <f>F59-D59</f>
        <v>2620106</v>
      </c>
      <c r="I59" s="38">
        <f>G59-E59</f>
        <v>87036.82</v>
      </c>
    </row>
    <row r="60" spans="1:9" x14ac:dyDescent="0.25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157288</v>
      </c>
      <c r="G60" s="38">
        <f>'EAST-CON-GL '!E60</f>
        <v>170000</v>
      </c>
      <c r="H60" s="60">
        <f>F60-D60</f>
        <v>157288</v>
      </c>
      <c r="I60" s="38">
        <f>G60-E60</f>
        <v>170000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2777394</v>
      </c>
      <c r="G61" s="70">
        <f t="shared" si="11"/>
        <v>257036.82</v>
      </c>
      <c r="H61" s="69">
        <f t="shared" si="11"/>
        <v>2777394</v>
      </c>
      <c r="I61" s="70">
        <f t="shared" si="11"/>
        <v>257036.82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34990</v>
      </c>
      <c r="F64" s="60">
        <f>'EAST-CON-GL '!D64</f>
        <v>-17893123</v>
      </c>
      <c r="G64" s="38">
        <f>'EAST-CON-GL '!E64</f>
        <v>-1223838.55</v>
      </c>
      <c r="H64" s="60">
        <f>F64-D64</f>
        <v>-17893123</v>
      </c>
      <c r="I64" s="38">
        <f>G64-E64</f>
        <v>-1258828.55</v>
      </c>
    </row>
    <row r="65" spans="1:9" x14ac:dyDescent="0.25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17893123</v>
      </c>
      <c r="G65" s="38">
        <f>'EAST-CON-GL '!E65</f>
        <v>1223838.55</v>
      </c>
      <c r="H65" s="60">
        <f>F65-D65</f>
        <v>17893123</v>
      </c>
      <c r="I65" s="38">
        <f>G65-E65</f>
        <v>1223838.55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7144978.9450000003</v>
      </c>
      <c r="F70" s="60">
        <f>'EAST-CON-GL '!D70</f>
        <v>0</v>
      </c>
      <c r="G70" s="38">
        <f>'EAST-CON-GL 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5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-2527104.1154804802</v>
      </c>
      <c r="F71" s="60">
        <f>'EAST-CON-GL '!D71</f>
        <v>0</v>
      </c>
      <c r="G71" s="38">
        <f>'EAST-CON-GL '!E71</f>
        <v>-2527106.12</v>
      </c>
      <c r="H71" s="60">
        <f>F71-D71</f>
        <v>0</v>
      </c>
      <c r="I71" s="38">
        <f>G71-E71</f>
        <v>-2.0045195198617876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5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-2697680</v>
      </c>
      <c r="F74" s="60">
        <f>'EAST-CON-GL '!D74</f>
        <v>0</v>
      </c>
      <c r="G74" s="38">
        <f>'EAST-CON-GL 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5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59817</v>
      </c>
      <c r="F75" s="60">
        <f>'EAST-CON-GL '!D75</f>
        <v>0</v>
      </c>
      <c r="G75" s="38">
        <f>'EAST-CON-GL '!E75</f>
        <v>52300</v>
      </c>
      <c r="H75" s="60">
        <f t="shared" si="14"/>
        <v>0</v>
      </c>
      <c r="I75" s="38">
        <f t="shared" si="14"/>
        <v>-7517</v>
      </c>
    </row>
    <row r="76" spans="1:9" x14ac:dyDescent="0.25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-15073</v>
      </c>
      <c r="F76" s="60">
        <f>'EAST-CON-GL '!D76</f>
        <v>0</v>
      </c>
      <c r="G76" s="38">
        <f>'EAST-CON-GL '!E76</f>
        <v>-8374.8999999999978</v>
      </c>
      <c r="H76" s="60">
        <f t="shared" si="14"/>
        <v>0</v>
      </c>
      <c r="I76" s="38">
        <f t="shared" si="14"/>
        <v>6698.1000000000022</v>
      </c>
    </row>
    <row r="77" spans="1:9" x14ac:dyDescent="0.25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-182574</v>
      </c>
      <c r="F81" s="60">
        <f>'EAST-CON-GL '!D81</f>
        <v>-50000</v>
      </c>
      <c r="G81" s="38">
        <f>'EAST-CON-GL '!E81</f>
        <v>4.000000001542503E-2</v>
      </c>
      <c r="H81" s="60">
        <f>F81-D81</f>
        <v>-50000</v>
      </c>
      <c r="I81" s="38">
        <f>G81-E81</f>
        <v>182574.04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-2432507.0960476492</v>
      </c>
      <c r="F82" s="109">
        <f>F16+F24+F29+F36+F43+F45+F47+F49</f>
        <v>0</v>
      </c>
      <c r="G82" s="110">
        <f>SUM(G72:G81)+G16+G24+G29+G36+G43+G45+G47+G49+G51+G56+G61+G66</f>
        <v>-2710338.3329999479</v>
      </c>
      <c r="H82" s="109">
        <f>H16+H24+H29+H36+H43+H45+H47+H49</f>
        <v>0</v>
      </c>
      <c r="I82" s="110">
        <f>SUM(I72:I81)+I16+I24+I29+I36+I43+I45+I47+I49+I51+I56+I61+I66</f>
        <v>-277831.23695236194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6"/>
      <c r="B86" s="3"/>
      <c r="C86" s="10" t="s">
        <v>167</v>
      </c>
      <c r="D86" s="167">
        <f>'EAST-CON-FLSH'!L86</f>
        <v>0</v>
      </c>
      <c r="E86" s="167">
        <f>'EAST-CON-FLSH'!M86</f>
        <v>-1361327</v>
      </c>
      <c r="F86" s="167">
        <f>'EAST-CON-GL '!D86</f>
        <v>0</v>
      </c>
      <c r="G86" s="167">
        <f>'EAST-CON-GL '!E86</f>
        <v>-1361327.16</v>
      </c>
      <c r="H86" s="167">
        <f t="shared" ref="H86:I88" si="15">F86-D86</f>
        <v>0</v>
      </c>
      <c r="I86" s="167">
        <f t="shared" si="15"/>
        <v>-0.15999999991618097</v>
      </c>
    </row>
    <row r="87" spans="1:63" x14ac:dyDescent="0.25">
      <c r="A87" s="166"/>
      <c r="B87" s="3"/>
      <c r="C87" s="10" t="s">
        <v>71</v>
      </c>
      <c r="D87" s="168">
        <f>'EAST-CON-FLSH'!L87</f>
        <v>0</v>
      </c>
      <c r="E87" s="168">
        <f>'EAST-CON-FLSH'!M87</f>
        <v>0</v>
      </c>
      <c r="F87" s="168">
        <f>'EAST-CON-GL '!D87</f>
        <v>0</v>
      </c>
      <c r="G87" s="168">
        <f>'EAST-CON-GL '!E87</f>
        <v>0</v>
      </c>
      <c r="H87" s="168">
        <f t="shared" si="15"/>
        <v>0</v>
      </c>
      <c r="I87" s="168">
        <f t="shared" si="15"/>
        <v>0</v>
      </c>
    </row>
    <row r="88" spans="1:63" x14ac:dyDescent="0.25">
      <c r="A88" s="166"/>
      <c r="B88" s="3"/>
      <c r="C88" s="10" t="s">
        <v>72</v>
      </c>
      <c r="D88" s="169">
        <f>'EAST-CON-FLSH'!L88</f>
        <v>0</v>
      </c>
      <c r="E88" s="169">
        <f>'EAST-CON-FLSH'!M88</f>
        <v>1750096</v>
      </c>
      <c r="F88" s="169">
        <f>'EAST-CON-GL '!D88</f>
        <v>0</v>
      </c>
      <c r="G88" s="169">
        <f>'EAST-CON-GL '!E88</f>
        <v>1750100</v>
      </c>
      <c r="H88" s="169">
        <f t="shared" si="15"/>
        <v>0</v>
      </c>
      <c r="I88" s="169">
        <f t="shared" si="15"/>
        <v>4</v>
      </c>
    </row>
    <row r="89" spans="1:63" ht="15" x14ac:dyDescent="0.25">
      <c r="A89" s="173"/>
      <c r="B89" s="174"/>
      <c r="C89" s="179" t="s">
        <v>170</v>
      </c>
      <c r="D89" s="177">
        <f t="shared" ref="D89:I89" si="16">SUM(D86:D88)</f>
        <v>0</v>
      </c>
      <c r="E89" s="177">
        <f t="shared" si="16"/>
        <v>388769</v>
      </c>
      <c r="F89" s="177">
        <f t="shared" si="16"/>
        <v>0</v>
      </c>
      <c r="G89" s="177">
        <f t="shared" si="16"/>
        <v>388772.84000000008</v>
      </c>
      <c r="H89" s="177">
        <f t="shared" si="16"/>
        <v>0</v>
      </c>
      <c r="I89" s="177">
        <f t="shared" si="16"/>
        <v>3.840000000083819</v>
      </c>
    </row>
    <row r="90" spans="1:63" x14ac:dyDescent="0.25">
      <c r="A90" s="4"/>
      <c r="B90" s="3"/>
      <c r="F90" s="31"/>
      <c r="G90" s="31"/>
      <c r="H90" s="31"/>
      <c r="I90" s="31"/>
    </row>
    <row r="91" spans="1:63" s="141" customFormat="1" x14ac:dyDescent="0.25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-2043738.0960476492</v>
      </c>
      <c r="F91" s="182">
        <f t="shared" si="17"/>
        <v>0</v>
      </c>
      <c r="G91" s="182">
        <f t="shared" si="17"/>
        <v>-2321565.4929999476</v>
      </c>
      <c r="H91" s="182">
        <f t="shared" si="17"/>
        <v>0</v>
      </c>
      <c r="I91" s="182">
        <f t="shared" si="17"/>
        <v>-277827.39695236186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86"/>
      <c r="B94" s="187"/>
      <c r="D94" s="31"/>
      <c r="E94" s="14">
        <f>+'EAST-EGM-VAR'!E91+'EAST-LRC-VAR'!E82</f>
        <v>-2043738.0960476308</v>
      </c>
      <c r="G94" s="14">
        <f>+'EAST-EGM-VAR'!G91+'EAST-LRC-VAR'!G82</f>
        <v>-2319942.442999979</v>
      </c>
      <c r="I94" s="14">
        <f>+'EAST-EGM-VAR'!I91+'EAST-LRC-VAR'!I82</f>
        <v>-276204.34695237968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333115</v>
      </c>
      <c r="H35" s="60">
        <f t="shared" si="5"/>
        <v>0</v>
      </c>
      <c r="I35" s="38">
        <f t="shared" si="5"/>
        <v>333115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333115</v>
      </c>
      <c r="H36" s="61">
        <f t="shared" si="6"/>
        <v>0</v>
      </c>
      <c r="I36" s="39">
        <f t="shared" si="6"/>
        <v>333115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333115</v>
      </c>
      <c r="H82" s="109">
        <f>H16+H24+H29+H36+H43+H45+H47+H49</f>
        <v>0</v>
      </c>
      <c r="I82" s="110">
        <f>SUM(I72:I81)+I16+I24+I29+I36+I43+I45+I47+I49+I51+I56+I61+I66</f>
        <v>333115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D54" activePane="bottomRight" state="frozen"/>
      <selection activeCell="H22" sqref="H22"/>
      <selection pane="topRight" activeCell="H22" sqref="H22"/>
      <selection pane="bottomLeft" activeCell="H22" sqref="H22"/>
      <selection pane="bottomRight" activeCell="I56" sqref="I56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9" width="15" customWidth="1"/>
  </cols>
  <sheetData>
    <row r="1" spans="1:29" x14ac:dyDescent="0.25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5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5">
      <c r="A5" s="48" t="str">
        <f>Check!A5</f>
        <v>PRODUCTION MONTH: 9909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5">
      <c r="A7" s="4"/>
      <c r="B7" s="19"/>
      <c r="C7" s="19"/>
    </row>
    <row r="8" spans="1:29" x14ac:dyDescent="0.25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193</v>
      </c>
      <c r="AA8" s="27"/>
      <c r="AB8" s="26" t="s">
        <v>113</v>
      </c>
      <c r="AC8" s="27"/>
    </row>
    <row r="9" spans="1:29" s="80" customFormat="1" x14ac:dyDescent="0.25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5">
      <c r="A11" s="9">
        <v>1</v>
      </c>
      <c r="B11" s="7"/>
      <c r="C11" s="18" t="s">
        <v>25</v>
      </c>
      <c r="D11" s="66">
        <f t="shared" ref="D11:E15" si="0">F11+H11+J11+L11+N11+P11+R11+V11+X11+AB11+T11</f>
        <v>0</v>
      </c>
      <c r="E11" s="66">
        <f t="shared" si="0"/>
        <v>16164486</v>
      </c>
      <c r="F11" s="60"/>
      <c r="G11" s="38">
        <f>-1315000-762637-12675+762637</f>
        <v>-1327675</v>
      </c>
      <c r="H11" s="60"/>
      <c r="I11" s="38">
        <f>511294+275295+590283-1621</f>
        <v>1375251</v>
      </c>
      <c r="J11" s="60"/>
      <c r="K11" s="38"/>
      <c r="L11" s="60"/>
      <c r="M11" s="38"/>
      <c r="N11" s="60"/>
      <c r="O11" s="38">
        <f>-566455+773399+42709</f>
        <v>249653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/>
      <c r="AB11" s="60"/>
      <c r="AC11" s="38">
        <f>-10496923-275295+14506349+12000000+161436-28310</f>
        <v>15867257</v>
      </c>
    </row>
    <row r="12" spans="1:29" x14ac:dyDescent="0.25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-32894</v>
      </c>
      <c r="F12" s="60"/>
      <c r="G12" s="38">
        <v>-103500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103500</v>
      </c>
      <c r="V12" s="60"/>
      <c r="W12" s="38">
        <v>-32894</v>
      </c>
      <c r="X12" s="60"/>
      <c r="Y12" s="38"/>
      <c r="Z12" s="60"/>
      <c r="AA12" s="38"/>
      <c r="AB12" s="60"/>
      <c r="AC12" s="38"/>
    </row>
    <row r="13" spans="1:29" x14ac:dyDescent="0.25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5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5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-5505335</v>
      </c>
      <c r="F15" s="60"/>
      <c r="G15" s="38">
        <v>0</v>
      </c>
      <c r="H15" s="60"/>
      <c r="I15" s="38">
        <f>-590283+1621</f>
        <v>-588662</v>
      </c>
      <c r="J15" s="60"/>
      <c r="K15" s="38"/>
      <c r="L15" s="60"/>
      <c r="M15" s="38"/>
      <c r="N15" s="60"/>
      <c r="O15" s="38">
        <f>41987-773399-42709</f>
        <v>-774121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>
        <f>10496923-14506349-161436+28310</f>
        <v>-4142552</v>
      </c>
    </row>
    <row r="16" spans="1:29" x14ac:dyDescent="0.25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10626257</v>
      </c>
      <c r="F16" s="61">
        <f t="shared" si="1"/>
        <v>0</v>
      </c>
      <c r="G16" s="39">
        <f t="shared" si="1"/>
        <v>-1431175</v>
      </c>
      <c r="H16" s="61">
        <f t="shared" si="1"/>
        <v>0</v>
      </c>
      <c r="I16" s="39">
        <f t="shared" si="1"/>
        <v>786589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-524468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103500</v>
      </c>
      <c r="V16" s="61">
        <f t="shared" si="2"/>
        <v>0</v>
      </c>
      <c r="W16" s="39">
        <f t="shared" si="2"/>
        <v>-32894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 t="shared" si="2"/>
        <v>0</v>
      </c>
      <c r="AC16" s="39">
        <f t="shared" si="2"/>
        <v>11724705</v>
      </c>
    </row>
    <row r="17" spans="1:2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5">
      <c r="A19" s="9">
        <v>6</v>
      </c>
      <c r="B19" s="7"/>
      <c r="C19" s="18" t="s">
        <v>25</v>
      </c>
      <c r="D19" s="66">
        <f t="shared" ref="D19:E23" si="3">F19+H19+J19+L19+N19+P19+R19+V19+X19+AB19+T19</f>
        <v>0</v>
      </c>
      <c r="E19" s="66">
        <f t="shared" si="3"/>
        <v>-12815881</v>
      </c>
      <c r="F19" s="60"/>
      <c r="G19" s="38">
        <v>0</v>
      </c>
      <c r="H19" s="60"/>
      <c r="I19" s="38">
        <f>67168+21189-9070-908940-18457</f>
        <v>-848110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32229-12000000</f>
        <v>-11967771</v>
      </c>
    </row>
    <row r="20" spans="1:29" x14ac:dyDescent="0.25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5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5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5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5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-12815881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-848110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-11967771</v>
      </c>
    </row>
    <row r="25" spans="1:2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5">
      <c r="A27" s="9">
        <v>11</v>
      </c>
      <c r="B27" s="7"/>
      <c r="C27" s="18" t="s">
        <v>35</v>
      </c>
      <c r="D27" s="66">
        <f>F27+H27+J27+L27+N27+P27+R27+V27+X27+AB27+T27</f>
        <v>0</v>
      </c>
      <c r="E27" s="66">
        <f>G27+I27+K27+M27+O27+Q27+S27+W27+Y27+AC27+U27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5">
      <c r="A28" s="9">
        <v>12</v>
      </c>
      <c r="B28" s="7"/>
      <c r="C28" s="18" t="s">
        <v>36</v>
      </c>
      <c r="D28" s="66">
        <f>F28+H28+J28+L28+N28+P28+R28+V28+X28+AB28+T28</f>
        <v>0</v>
      </c>
      <c r="E28" s="66">
        <f>G28+I28+K28+M28+O28+Q28+S28+W28+Y28+AC28+U28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5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5">
      <c r="A32" s="9">
        <v>13</v>
      </c>
      <c r="B32" s="7"/>
      <c r="C32" s="18" t="s">
        <v>39</v>
      </c>
      <c r="D32" s="66">
        <f t="shared" ref="D32:E35" si="8">F32+H32+J32+L32+N32+P32+R32+V32+X32+AB32+T32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5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5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5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</row>
    <row r="36" spans="1:29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5">
      <c r="A39" s="9">
        <v>17</v>
      </c>
      <c r="B39" s="7"/>
      <c r="C39" s="18" t="s">
        <v>45</v>
      </c>
      <c r="D39" s="66">
        <f t="shared" ref="D39:E41" si="11">F39+H39+J39+L39+N39+P39+R39+V39+X39+AB39+T39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5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5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-30605</v>
      </c>
      <c r="T41" s="60"/>
      <c r="U41" s="38"/>
      <c r="V41" s="60"/>
      <c r="W41" s="38">
        <v>30605</v>
      </c>
      <c r="X41" s="60"/>
      <c r="Y41" s="38"/>
      <c r="Z41" s="60"/>
      <c r="AA41" s="38"/>
      <c r="AB41" s="60"/>
      <c r="AC41" s="38"/>
    </row>
    <row r="42" spans="1:29" x14ac:dyDescent="0.25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-30605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30605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5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-30605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30605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5">
      <c r="A45" s="9">
        <v>20</v>
      </c>
      <c r="B45" s="11" t="s">
        <v>50</v>
      </c>
      <c r="C45" s="6"/>
      <c r="D45" s="66">
        <f>F45+H45+J45+L45+N45+P45+R45+V45+X45+AB45+T45</f>
        <v>0</v>
      </c>
      <c r="E45" s="66">
        <f>G45+I45+K45+M45+O45+Q45+S45+W45+Y45+AC45+U45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5">
      <c r="A47" s="9">
        <v>21</v>
      </c>
      <c r="B47" s="11" t="s">
        <v>51</v>
      </c>
      <c r="C47" s="6"/>
      <c r="D47" s="66">
        <f>F47+H47+J47+L47+N47+P47+R47+V47+X47+AB47+T47</f>
        <v>0</v>
      </c>
      <c r="E47" s="66">
        <f>G47+I47+K47+M47+O47+Q47+S47+W47+Y47+AC47+U47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5">
      <c r="A49" s="9">
        <v>22</v>
      </c>
      <c r="B49" s="11" t="s">
        <v>52</v>
      </c>
      <c r="C49" s="6"/>
      <c r="D49" s="66">
        <f>F49+H49+J49+L49+N49+P49+R49+V49+X49+AB49+T49</f>
        <v>0</v>
      </c>
      <c r="E49" s="66">
        <f>G49+I49+K49+M49+O49+Q49+S49+W49+Y49+AC49+U49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5">
      <c r="A51" s="9">
        <v>23</v>
      </c>
      <c r="B51" s="11" t="s">
        <v>53</v>
      </c>
      <c r="C51" s="6"/>
      <c r="D51" s="66">
        <f>F51+H51+J51+L51+N51+P51+R51+V51+X51+AB51+T51</f>
        <v>0</v>
      </c>
      <c r="E51" s="66">
        <f>G51+I51+K51+M51+O51+Q51+S51+W51+Y51+AC51+U51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5">
      <c r="A54" s="9">
        <v>24</v>
      </c>
      <c r="B54" s="7"/>
      <c r="C54" s="18" t="s">
        <v>55</v>
      </c>
      <c r="D54" s="66">
        <f>F54+H54+J54+L54+N54+P54+R54+V54+X54+AB54+T54</f>
        <v>0</v>
      </c>
      <c r="E54" s="66">
        <f>G54+I54+K54+M54+O54+Q54+S54+W54+Y54+AC54+U54</f>
        <v>-98016</v>
      </c>
      <c r="F54" s="60"/>
      <c r="G54" s="38">
        <f>47855+32738</f>
        <v>80593</v>
      </c>
      <c r="H54" s="60"/>
      <c r="I54" s="38">
        <f>-52495+58396-14459-21189-34003+9070+390+18457-390-138259</f>
        <v>-174482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>
        <f>52495-24393-32229-390+390</f>
        <v>-4127</v>
      </c>
    </row>
    <row r="55" spans="1:29" x14ac:dyDescent="0.25">
      <c r="A55" s="9">
        <v>25</v>
      </c>
      <c r="B55" s="7"/>
      <c r="C55" s="18" t="s">
        <v>56</v>
      </c>
      <c r="D55" s="66">
        <f>F55+H55+J55+L55+N55+P55+R55+V55+X55+AB55+T55</f>
        <v>0</v>
      </c>
      <c r="E55" s="66">
        <f>G55+I55+K55+M55+O55+Q55+S55+W55+Y55+AC55+U55</f>
        <v>2003693</v>
      </c>
      <c r="F55" s="60"/>
      <c r="G55" s="38">
        <f>1315000+12675+33000+33000</f>
        <v>1393675</v>
      </c>
      <c r="H55" s="60"/>
      <c r="I55" s="38">
        <f>52567-52709+774146-774146+34003+26690-50570-285534+138259</f>
        <v>-137294</v>
      </c>
      <c r="J55" s="60"/>
      <c r="K55" s="38"/>
      <c r="L55" s="60"/>
      <c r="M55" s="38"/>
      <c r="N55" s="60"/>
      <c r="O55" s="38">
        <f>762637+566455-41987-762637</f>
        <v>524468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-86570-26690+50570+285534</f>
        <v>222844</v>
      </c>
    </row>
    <row r="56" spans="1:29" x14ac:dyDescent="0.25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1905677</v>
      </c>
      <c r="F56" s="61">
        <f t="shared" si="16"/>
        <v>0</v>
      </c>
      <c r="G56" s="39">
        <f t="shared" si="16"/>
        <v>1474268</v>
      </c>
      <c r="H56" s="61">
        <f t="shared" si="16"/>
        <v>0</v>
      </c>
      <c r="I56" s="39">
        <f t="shared" si="16"/>
        <v>-311776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524468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218717</v>
      </c>
    </row>
    <row r="57" spans="1:2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5">
      <c r="A59" s="9">
        <v>26</v>
      </c>
      <c r="B59" s="11"/>
      <c r="C59" s="18" t="s">
        <v>59</v>
      </c>
      <c r="D59" s="66">
        <f>F59+H59+J59+L59+N59+P59+R59+V59+X59+AB59+T59</f>
        <v>0</v>
      </c>
      <c r="E59" s="66">
        <f>G59+I59+K59+M59+O59+Q59+S59+W59+Y59+AC59+U59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5">
      <c r="A60" s="9">
        <v>27</v>
      </c>
      <c r="B60" s="11"/>
      <c r="C60" s="18" t="s">
        <v>60</v>
      </c>
      <c r="D60" s="66">
        <f>F60+H60+J60+L60+N60+P60+R60+V60+X60+AB60+T60</f>
        <v>0</v>
      </c>
      <c r="E60" s="66">
        <f>G60+I60+K60+M60+O60+Q60+S60+W60+Y60+AC60+U60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5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5">
      <c r="A64" s="9">
        <v>28</v>
      </c>
      <c r="B64" s="7"/>
      <c r="C64" s="18" t="s">
        <v>62</v>
      </c>
      <c r="D64" s="66">
        <f>F64+H64+J64+L64+N64+P64+R64+V64+X64+AB64+T64</f>
        <v>0</v>
      </c>
      <c r="E64" s="66">
        <f>G64+I64+K64+M64+O64+Q64+S64+W64+Y64+AC64+U64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5">
      <c r="A65" s="9">
        <v>29</v>
      </c>
      <c r="B65" s="11"/>
      <c r="C65" s="18" t="s">
        <v>63</v>
      </c>
      <c r="D65" s="66">
        <f>F65+H65+J65+L65+N65+P65+R65+V65+X65+AB65+T65</f>
        <v>0</v>
      </c>
      <c r="E65" s="66">
        <f>G65+I65+K65+M65+O65+Q65+S65+W65+Y65+AC65+U65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5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5">
      <c r="A70" s="9">
        <v>30</v>
      </c>
      <c r="B70" s="3"/>
      <c r="C70" s="10" t="s">
        <v>67</v>
      </c>
      <c r="D70" s="66">
        <f>F70+H70+J70+L70+N70+P70+R70+V70+X70+AB70+T70</f>
        <v>0</v>
      </c>
      <c r="E70" s="66">
        <f>G70+I70+K70+M70+O70+Q70+S70+W70+Y70+AC70+U70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5">
      <c r="A71" s="9">
        <v>31</v>
      </c>
      <c r="B71" s="3"/>
      <c r="C71" s="10" t="s">
        <v>68</v>
      </c>
      <c r="D71" s="66">
        <f>F71+H71+J71+L71+N71+P71+R71+V71+X71+AB71+T71</f>
        <v>0</v>
      </c>
      <c r="E71" s="66">
        <f>G71+I71+K71+M71+O71+Q71+S71+W71+Y71+AC71+U71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5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5">
      <c r="A73" s="9">
        <v>32</v>
      </c>
      <c r="B73" s="3"/>
      <c r="C73" s="10" t="s">
        <v>70</v>
      </c>
      <c r="D73" s="66">
        <f t="shared" ref="D73:D81" si="24">F73+H73+J73+L73+N73+P73+R73+V73+X73+AB73+T73</f>
        <v>0</v>
      </c>
      <c r="E73" s="66">
        <f t="shared" ref="E73:E81" si="25">G73+I73+K73+M73+O73+Q73+S73+W73+Y73+AC73+U73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5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876096</v>
      </c>
      <c r="F74" s="60"/>
      <c r="G74" s="38">
        <f>-100000-33000-32738-300273.17+300000</f>
        <v>-166011.16999999998</v>
      </c>
      <c r="H74" s="60"/>
      <c r="I74" s="38">
        <f>-908940+908940</f>
        <v>0</v>
      </c>
      <c r="J74" s="60"/>
      <c r="K74" s="38"/>
      <c r="L74" s="60"/>
      <c r="M74" s="38"/>
      <c r="N74" s="60"/>
      <c r="O74" s="38">
        <f>33750+42000+25250</f>
        <v>101000</v>
      </c>
      <c r="P74" s="60"/>
      <c r="Q74" s="38"/>
      <c r="R74" s="60"/>
      <c r="S74" s="38">
        <v>300273.17</v>
      </c>
      <c r="T74" s="60"/>
      <c r="U74" s="38">
        <f>655421+100000</f>
        <v>755421</v>
      </c>
      <c r="V74" s="60"/>
      <c r="W74" s="38">
        <f>908940-655421+32894</f>
        <v>286413</v>
      </c>
      <c r="X74" s="60"/>
      <c r="Y74" s="38">
        <f>-300000-101000</f>
        <v>-401000</v>
      </c>
      <c r="Z74" s="60"/>
      <c r="AA74" s="38">
        <v>0</v>
      </c>
      <c r="AB74" s="60"/>
      <c r="AC74" s="38">
        <v>0</v>
      </c>
    </row>
    <row r="75" spans="1:29" x14ac:dyDescent="0.25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5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5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5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5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5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5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-592149</v>
      </c>
      <c r="F81" s="60"/>
      <c r="G81" s="38">
        <v>-80855</v>
      </c>
      <c r="H81" s="60"/>
      <c r="I81" s="38">
        <v>-511294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-203773.16999999993</v>
      </c>
      <c r="H82" s="91">
        <f>H16+H24+H29+H36+H43+H45+H47+H49</f>
        <v>0</v>
      </c>
      <c r="I82" s="92">
        <f>SUM(I72:I81)+I16+I24+I29+I36+I43+I45+I47+I49+I51+I56+I61+I66</f>
        <v>-884591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101000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269668.17</v>
      </c>
      <c r="T82" s="91">
        <f>T16+T24+T29+T36+T43+T45+T47+T49</f>
        <v>0</v>
      </c>
      <c r="U82" s="92">
        <f>SUM(U72:U81)+U16+U24+U29+U36+U43+U45+U47+U49+U51+U56+U61+U66</f>
        <v>858921</v>
      </c>
      <c r="V82" s="91">
        <f>V16+V24+V29+V36+V43+V45+V47+V49</f>
        <v>0</v>
      </c>
      <c r="W82" s="92">
        <f>SUM(W72:W81)+W16+W24+W29+W36+W43+W45+W47+W49+W51+W56+W61+W66</f>
        <v>284124</v>
      </c>
      <c r="X82" s="91">
        <f>X16+X24+X29+X36+X43+X45+X47+X49</f>
        <v>0</v>
      </c>
      <c r="Y82" s="92">
        <f>SUM(Y72:Y81)+Y16+Y24+Y29+Y36+Y43+Y45+Y47+Y49+Y51+Y56+Y61+Y66</f>
        <v>-401000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-24349</v>
      </c>
      <c r="AD82" s="96"/>
    </row>
    <row r="83" spans="1:30" ht="13.8" thickTop="1" x14ac:dyDescent="0.25">
      <c r="A83" s="4" t="s">
        <v>2</v>
      </c>
      <c r="B83" s="3"/>
    </row>
    <row r="84" spans="1:30" x14ac:dyDescent="0.25">
      <c r="A84" s="4"/>
      <c r="B84" s="3"/>
      <c r="M84" s="45"/>
    </row>
    <row r="85" spans="1:30" x14ac:dyDescent="0.25">
      <c r="A85" s="4"/>
      <c r="B85" s="3"/>
      <c r="S85" s="45"/>
      <c r="U85" s="45"/>
    </row>
    <row r="86" spans="1:30" x14ac:dyDescent="0.25">
      <c r="A86" s="4"/>
      <c r="B86" s="3"/>
    </row>
    <row r="87" spans="1:30" x14ac:dyDescent="0.25">
      <c r="A87" s="4"/>
      <c r="B87" s="3"/>
    </row>
    <row r="88" spans="1:30" x14ac:dyDescent="0.25">
      <c r="A88" s="4"/>
      <c r="B88" s="3"/>
    </row>
    <row r="89" spans="1:30" x14ac:dyDescent="0.25">
      <c r="A89" s="4"/>
      <c r="B89" s="3"/>
    </row>
    <row r="90" spans="1:30" x14ac:dyDescent="0.25">
      <c r="A90" s="4"/>
      <c r="B90" s="3"/>
    </row>
    <row r="91" spans="1:30" x14ac:dyDescent="0.25">
      <c r="A91" s="4"/>
      <c r="B91" s="3"/>
    </row>
    <row r="92" spans="1:30" x14ac:dyDescent="0.25">
      <c r="A92" s="4"/>
      <c r="B92" s="3"/>
    </row>
    <row r="93" spans="1:30" x14ac:dyDescent="0.25">
      <c r="A93" s="4"/>
      <c r="B93" s="3"/>
    </row>
    <row r="94" spans="1:30" x14ac:dyDescent="0.25">
      <c r="A94" s="4"/>
      <c r="B94" s="3"/>
    </row>
    <row r="95" spans="1:30" x14ac:dyDescent="0.25">
      <c r="A95" s="4"/>
      <c r="B95" s="3"/>
    </row>
    <row r="96" spans="1:30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'TX-EGM-FLSH'!L11</f>
        <v>-1938963.15</v>
      </c>
      <c r="E11" s="66">
        <f>'TX-EGM-FLSH'!M11</f>
        <v>59738727.480000004</v>
      </c>
      <c r="F11" s="60">
        <f>'TX-EGM-GL'!D11</f>
        <v>10511929</v>
      </c>
      <c r="G11" s="38">
        <f>'TX-EGM-GL'!E11</f>
        <v>32249441.119999997</v>
      </c>
      <c r="H11" s="60">
        <f>F11-D11</f>
        <v>12450892.15</v>
      </c>
      <c r="I11" s="38">
        <f>G11-E11</f>
        <v>-27489286.360000007</v>
      </c>
    </row>
    <row r="12" spans="1:22" x14ac:dyDescent="0.25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1143025.49</v>
      </c>
      <c r="H12" s="60">
        <f>F12-D12</f>
        <v>0</v>
      </c>
      <c r="I12" s="38">
        <f>G12-E12</f>
        <v>1143025.49</v>
      </c>
    </row>
    <row r="13" spans="1:22" x14ac:dyDescent="0.25">
      <c r="A13" s="9">
        <v>3</v>
      </c>
      <c r="B13" s="7"/>
      <c r="C13" s="18" t="s">
        <v>27</v>
      </c>
      <c r="D13" s="65">
        <f>'TX-EGM-FLSH'!L13</f>
        <v>2000</v>
      </c>
      <c r="E13" s="66">
        <f>'TX-EGM-FLSH'!M13</f>
        <v>4870</v>
      </c>
      <c r="F13" s="60">
        <f>'TX-EGM-GL'!D13</f>
        <v>11336756</v>
      </c>
      <c r="G13" s="38">
        <f>'TX-EGM-GL'!E13</f>
        <v>28599508</v>
      </c>
      <c r="H13" s="60">
        <f t="shared" ref="H13:I15" si="0">F13-D13</f>
        <v>11334756</v>
      </c>
      <c r="I13" s="38">
        <f t="shared" si="0"/>
        <v>28594638</v>
      </c>
    </row>
    <row r="14" spans="1:22" x14ac:dyDescent="0.25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-1936963.15</v>
      </c>
      <c r="E16" s="39">
        <f t="shared" si="1"/>
        <v>59743597.480000004</v>
      </c>
      <c r="F16" s="61">
        <f t="shared" si="1"/>
        <v>21848685</v>
      </c>
      <c r="G16" s="39">
        <f t="shared" si="1"/>
        <v>61991974.609999999</v>
      </c>
      <c r="H16" s="61">
        <f t="shared" si="1"/>
        <v>23785648.149999999</v>
      </c>
      <c r="I16" s="39">
        <f t="shared" si="1"/>
        <v>2248377.1299999915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'TX-EGM-FLSH'!L19</f>
        <v>6515640.1499999985</v>
      </c>
      <c r="E19" s="66">
        <f>'TX-EGM-FLSH'!M19</f>
        <v>-45569835.540000007</v>
      </c>
      <c r="F19" s="60">
        <f>'TX-EGM-GL'!D19</f>
        <v>-2134887</v>
      </c>
      <c r="G19" s="38">
        <f>'TX-EGM-GL'!E19</f>
        <v>-5164398.57</v>
      </c>
      <c r="H19" s="60">
        <f>F19-D19</f>
        <v>-8650527.1499999985</v>
      </c>
      <c r="I19" s="38">
        <f>G19-E19</f>
        <v>40405436.970000006</v>
      </c>
    </row>
    <row r="20" spans="1:9" x14ac:dyDescent="0.25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-876659.12</v>
      </c>
      <c r="H20" s="60">
        <f>F20-D20</f>
        <v>0</v>
      </c>
      <c r="I20" s="38">
        <f>G20-E20</f>
        <v>-876659.12</v>
      </c>
    </row>
    <row r="21" spans="1:9" x14ac:dyDescent="0.25">
      <c r="A21" s="9">
        <v>8</v>
      </c>
      <c r="B21" s="7"/>
      <c r="C21" s="18" t="s">
        <v>27</v>
      </c>
      <c r="D21" s="65">
        <f>'TX-EGM-FLSH'!L21</f>
        <v>-7753</v>
      </c>
      <c r="E21" s="66">
        <f>'TX-EGM-FLSH'!M21</f>
        <v>-20157.8</v>
      </c>
      <c r="F21" s="60">
        <f>'TX-EGM-GL'!D21</f>
        <v>-11342509</v>
      </c>
      <c r="G21" s="38">
        <f>'TX-EGM-GL'!E21</f>
        <v>-28614796</v>
      </c>
      <c r="H21" s="60">
        <f t="shared" ref="H21:I23" si="2">F21-D21</f>
        <v>-11334756</v>
      </c>
      <c r="I21" s="38">
        <f t="shared" si="2"/>
        <v>-28594638.199999999</v>
      </c>
    </row>
    <row r="22" spans="1:9" x14ac:dyDescent="0.25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'TX-EGM-FLSH'!L23</f>
        <v>56</v>
      </c>
      <c r="E23" s="66">
        <f>'TX-EGM-FLSH'!M23</f>
        <v>142.86000000000001</v>
      </c>
      <c r="F23" s="60">
        <f>'TX-EGM-GL'!D23</f>
        <v>2436</v>
      </c>
      <c r="G23" s="38">
        <f>'TX-EGM-GL'!E23</f>
        <v>6986.4480000000003</v>
      </c>
      <c r="H23" s="60">
        <f t="shared" si="2"/>
        <v>2380</v>
      </c>
      <c r="I23" s="38">
        <f t="shared" si="2"/>
        <v>6843.5880000000006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6507943.1499999985</v>
      </c>
      <c r="E24" s="39">
        <f t="shared" si="3"/>
        <v>-45589850.480000004</v>
      </c>
      <c r="F24" s="61">
        <f t="shared" si="3"/>
        <v>-13474960</v>
      </c>
      <c r="G24" s="39">
        <f t="shared" si="3"/>
        <v>-34648867.241999999</v>
      </c>
      <c r="H24" s="61">
        <f t="shared" si="3"/>
        <v>-19982903.149999999</v>
      </c>
      <c r="I24" s="39">
        <f t="shared" si="3"/>
        <v>10940983.238000009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'TX-EGM-FLSH'!L27</f>
        <v>28594631.149999999</v>
      </c>
      <c r="E27" s="66">
        <f>'TX-EGM-FLSH'!M27</f>
        <v>11334756</v>
      </c>
      <c r="F27" s="60">
        <f>'TX-EGM-GL'!D27</f>
        <v>5727879</v>
      </c>
      <c r="G27" s="38">
        <f>'TX-EGM-GL'!E27</f>
        <v>14596410.34</v>
      </c>
      <c r="H27" s="60">
        <f>F27-D27</f>
        <v>-22866752.149999999</v>
      </c>
      <c r="I27" s="38">
        <f>G27-E27</f>
        <v>3261654.34</v>
      </c>
    </row>
    <row r="28" spans="1:9" x14ac:dyDescent="0.25">
      <c r="A28" s="9">
        <v>12</v>
      </c>
      <c r="B28" s="7"/>
      <c r="C28" s="18" t="s">
        <v>36</v>
      </c>
      <c r="D28" s="65">
        <f>'TX-EGM-FLSH'!L28</f>
        <v>-28594631.149999999</v>
      </c>
      <c r="E28" s="66">
        <f>'TX-EGM-FLSH'!M28</f>
        <v>-11334756</v>
      </c>
      <c r="F28" s="60">
        <f>'TX-EGM-GL'!D28</f>
        <v>-14435611</v>
      </c>
      <c r="G28" s="38">
        <f>'TX-EGM-GL'!E28</f>
        <v>-37263633.910000011</v>
      </c>
      <c r="H28" s="60">
        <f>F28-D28</f>
        <v>14159020.149999999</v>
      </c>
      <c r="I28" s="38">
        <f>G28-E28</f>
        <v>-25928877.910000011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-8707732</v>
      </c>
      <c r="G29" s="70">
        <f t="shared" si="4"/>
        <v>-22667223.570000011</v>
      </c>
      <c r="H29" s="69">
        <f t="shared" si="4"/>
        <v>-8707732</v>
      </c>
      <c r="I29" s="70">
        <f t="shared" si="4"/>
        <v>-22667223.570000011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54495</v>
      </c>
      <c r="G32" s="38">
        <f>'TX-EGM-GL'!E32</f>
        <v>156291.35699999973</v>
      </c>
      <c r="H32" s="60">
        <f>F32-D32</f>
        <v>54495</v>
      </c>
      <c r="I32" s="38">
        <f>G32-E32</f>
        <v>156291.35699999973</v>
      </c>
    </row>
    <row r="33" spans="1:9" x14ac:dyDescent="0.25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54495</v>
      </c>
      <c r="G36" s="39">
        <f t="shared" si="6"/>
        <v>156291.35699999973</v>
      </c>
      <c r="H36" s="61">
        <f t="shared" si="6"/>
        <v>54495</v>
      </c>
      <c r="I36" s="39">
        <f t="shared" si="6"/>
        <v>156291.35699999973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'TX-EGM-FLSH'!L39</f>
        <v>30000</v>
      </c>
      <c r="E39" s="66">
        <f>'TX-EGM-FLSH'!M39</f>
        <v>87300</v>
      </c>
      <c r="F39" s="60">
        <f>'TX-EGM-GL'!D39</f>
        <v>317010</v>
      </c>
      <c r="G39" s="38">
        <f>'TX-EGM-GL'!E39</f>
        <v>936574.34</v>
      </c>
      <c r="H39" s="60">
        <f t="shared" ref="H39:I41" si="7">F39-D39</f>
        <v>287010</v>
      </c>
      <c r="I39" s="38">
        <f t="shared" si="7"/>
        <v>849274.34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'TX-EGM-FLSH'!L40</f>
        <v>-65000</v>
      </c>
      <c r="E40" s="66">
        <f>'TX-EGM-FLSH'!M40</f>
        <v>-189150</v>
      </c>
      <c r="F40" s="60">
        <f>'TX-EGM-GL'!D40</f>
        <v>-35300</v>
      </c>
      <c r="G40" s="38">
        <f>'TX-EGM-GL'!E40</f>
        <v>-75080.170000000013</v>
      </c>
      <c r="H40" s="60">
        <f t="shared" si="7"/>
        <v>29700</v>
      </c>
      <c r="I40" s="38">
        <f t="shared" si="7"/>
        <v>114069.82999999999</v>
      </c>
    </row>
    <row r="41" spans="1:9" x14ac:dyDescent="0.25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-30605</v>
      </c>
      <c r="H41" s="60">
        <f t="shared" si="7"/>
        <v>0</v>
      </c>
      <c r="I41" s="38">
        <f t="shared" si="7"/>
        <v>-30605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-65000</v>
      </c>
      <c r="E42" s="70">
        <f t="shared" si="8"/>
        <v>-189150</v>
      </c>
      <c r="F42" s="69">
        <f t="shared" si="8"/>
        <v>-35300</v>
      </c>
      <c r="G42" s="70">
        <f t="shared" si="8"/>
        <v>-105685.17000000001</v>
      </c>
      <c r="H42" s="69">
        <f t="shared" si="8"/>
        <v>29700</v>
      </c>
      <c r="I42" s="70">
        <f t="shared" si="8"/>
        <v>83464.829999999987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-35000</v>
      </c>
      <c r="E43" s="39">
        <f t="shared" si="9"/>
        <v>-101850</v>
      </c>
      <c r="F43" s="61">
        <f t="shared" si="9"/>
        <v>281710</v>
      </c>
      <c r="G43" s="39">
        <f t="shared" si="9"/>
        <v>830889.16999999993</v>
      </c>
      <c r="H43" s="61">
        <f t="shared" si="9"/>
        <v>316710</v>
      </c>
      <c r="I43" s="39">
        <f t="shared" si="9"/>
        <v>932739.16999999993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'TX-EGM-FLSH'!L49</f>
        <v>-4535980</v>
      </c>
      <c r="E49" s="66">
        <f>'TX-EGM-FLSH'!M49</f>
        <v>-13010971.261590526</v>
      </c>
      <c r="F49" s="60">
        <f>'TX-EGM-GL'!D49</f>
        <v>-2198</v>
      </c>
      <c r="G49" s="38">
        <f>'TX-EGM-GL'!E49</f>
        <v>-6303.8679999999149</v>
      </c>
      <c r="H49" s="60">
        <f>F49-D49</f>
        <v>4533782</v>
      </c>
      <c r="I49" s="38">
        <f>G49-E49</f>
        <v>13004667.393590525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'TX-EGM-FLSH'!L51</f>
        <v>-56</v>
      </c>
      <c r="E51" s="66">
        <f>'TX-EGM-FLSH'!M51</f>
        <v>0</v>
      </c>
      <c r="F51" s="60">
        <f>'TX-EGM-GL'!D51</f>
        <v>-2436</v>
      </c>
      <c r="G51" s="38">
        <f>'TX-EGM-GL'!E51</f>
        <v>-6986.4480000000003</v>
      </c>
      <c r="H51" s="60">
        <f>F51-D51</f>
        <v>-2380</v>
      </c>
      <c r="I51" s="38">
        <f>G51-E51</f>
        <v>-6986.4480000000003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-472403</v>
      </c>
      <c r="F54" s="60">
        <f>'TX-EGM-GL'!D54</f>
        <v>-15615830</v>
      </c>
      <c r="G54" s="38">
        <f>'TX-EGM-GL'!E54</f>
        <v>-531074.93000000005</v>
      </c>
      <c r="H54" s="60">
        <f>F54-D54</f>
        <v>-15615830</v>
      </c>
      <c r="I54" s="38">
        <f>G54-E54</f>
        <v>-58671.930000000051</v>
      </c>
    </row>
    <row r="55" spans="1:9" x14ac:dyDescent="0.25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-41961.3</v>
      </c>
      <c r="H55" s="60">
        <f>F55-D55</f>
        <v>0</v>
      </c>
      <c r="I55" s="38">
        <f>G55-E55</f>
        <v>-41961.3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-472403</v>
      </c>
      <c r="F56" s="61">
        <f t="shared" si="10"/>
        <v>-15615830</v>
      </c>
      <c r="G56" s="39">
        <f t="shared" si="10"/>
        <v>-573036.2300000001</v>
      </c>
      <c r="H56" s="61">
        <f t="shared" si="10"/>
        <v>-15615830</v>
      </c>
      <c r="I56" s="39">
        <f t="shared" si="10"/>
        <v>-100633.23000000005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-317010</v>
      </c>
      <c r="G64" s="38">
        <f>'TX-EGM-GL'!E64</f>
        <v>-67632.930000000008</v>
      </c>
      <c r="H64" s="60">
        <f>F64-D64</f>
        <v>-317010</v>
      </c>
      <c r="I64" s="38">
        <f>G64-E64</f>
        <v>-67632.930000000008</v>
      </c>
    </row>
    <row r="65" spans="1:9" x14ac:dyDescent="0.25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-317010</v>
      </c>
      <c r="G66" s="39">
        <f t="shared" si="12"/>
        <v>-67632.930000000008</v>
      </c>
      <c r="H66" s="61">
        <f t="shared" si="12"/>
        <v>-317010</v>
      </c>
      <c r="I66" s="39">
        <f t="shared" si="12"/>
        <v>-67632.930000000008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-1503217.93</v>
      </c>
      <c r="F70" s="60">
        <f>'TX-EGM-GL'!D70</f>
        <v>0</v>
      </c>
      <c r="G70" s="38">
        <f>'TX-EGM-GL'!E70</f>
        <v>-1525317.93</v>
      </c>
      <c r="H70" s="60">
        <f>F70-D70</f>
        <v>0</v>
      </c>
      <c r="I70" s="38">
        <f>G70-E70</f>
        <v>-22100</v>
      </c>
    </row>
    <row r="71" spans="1:9" x14ac:dyDescent="0.25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1681622</v>
      </c>
      <c r="F71" s="60">
        <f>'TX-EGM-GL'!D71</f>
        <v>0</v>
      </c>
      <c r="G71" s="38">
        <f>'TX-EGM-GL'!E71</f>
        <v>2659621.73</v>
      </c>
      <c r="H71" s="60">
        <f>F71-D71</f>
        <v>0</v>
      </c>
      <c r="I71" s="38">
        <f>G71-E71</f>
        <v>977999.73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5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142646.04</v>
      </c>
      <c r="F74" s="60">
        <f>'TX-EGM-GL'!D74</f>
        <v>0</v>
      </c>
      <c r="G74" s="38">
        <f>'TX-EGM-GL'!E74</f>
        <v>-1078000</v>
      </c>
      <c r="H74" s="60">
        <f t="shared" ref="H74:I79" si="14">F74-D74</f>
        <v>0</v>
      </c>
      <c r="I74" s="38">
        <f t="shared" si="14"/>
        <v>-1220646.04</v>
      </c>
    </row>
    <row r="75" spans="1:9" x14ac:dyDescent="0.25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900</v>
      </c>
      <c r="H75" s="60">
        <f t="shared" si="14"/>
        <v>0</v>
      </c>
      <c r="I75" s="38">
        <f t="shared" si="14"/>
        <v>900</v>
      </c>
    </row>
    <row r="76" spans="1:9" x14ac:dyDescent="0.25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-2466</v>
      </c>
      <c r="F76" s="60">
        <f>'TX-EGM-GL'!D76</f>
        <v>0</v>
      </c>
      <c r="G76" s="38">
        <f>'TX-EGM-GL'!E76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5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-42013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845093.8484094739</v>
      </c>
      <c r="F82" s="109">
        <f>F16+F24+F29+F36+F43+F45+F47+F49</f>
        <v>0</v>
      </c>
      <c r="G82" s="110">
        <f>SUM(G72:G81)+G16+G24+G29+G36+G43+G45+G47+G49+G51+G56+G61+G66</f>
        <v>5063842.6289999904</v>
      </c>
      <c r="H82" s="109">
        <f>H16+H24+H29+H36+H43+H45+H47+H49</f>
        <v>0</v>
      </c>
      <c r="I82" s="110">
        <f>SUM(I72:I81)+I16+I24+I29+I36+I43+I45+I47+I49+I51+I56+I61+I66</f>
        <v>4218748.7805905128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6"/>
      <c r="B86" s="3"/>
      <c r="C86" s="10" t="s">
        <v>167</v>
      </c>
      <c r="D86" s="167">
        <f>'TX-EGM-FLSH'!L86</f>
        <v>0</v>
      </c>
      <c r="E86" s="167">
        <f>'TX-EGM-FLSH'!M86</f>
        <v>-810329</v>
      </c>
      <c r="F86" s="167">
        <f>'TX-EGM-GL'!D86</f>
        <v>0</v>
      </c>
      <c r="G86" s="167">
        <f>'TX-EGM-GL'!E86</f>
        <v>0</v>
      </c>
      <c r="H86" s="167">
        <f t="shared" ref="H86:I88" si="15">F86-D86</f>
        <v>0</v>
      </c>
      <c r="I86" s="167">
        <f t="shared" si="15"/>
        <v>810329</v>
      </c>
    </row>
    <row r="87" spans="1:63" x14ac:dyDescent="0.25">
      <c r="A87" s="166"/>
      <c r="B87" s="3"/>
      <c r="C87" s="10" t="s">
        <v>71</v>
      </c>
      <c r="D87" s="168">
        <f>'TX-EGM-FLSH'!L87</f>
        <v>0</v>
      </c>
      <c r="E87" s="168">
        <f>'TX-EGM-FLSH'!M87</f>
        <v>0</v>
      </c>
      <c r="F87" s="168">
        <f>'TX-EGM-GL'!D87</f>
        <v>0</v>
      </c>
      <c r="G87" s="168">
        <f>'TX-EGM-GL'!E87</f>
        <v>0</v>
      </c>
      <c r="H87" s="168">
        <f t="shared" si="15"/>
        <v>0</v>
      </c>
      <c r="I87" s="168">
        <f t="shared" si="15"/>
        <v>0</v>
      </c>
    </row>
    <row r="88" spans="1:63" x14ac:dyDescent="0.25">
      <c r="A88" s="166"/>
      <c r="B88" s="3"/>
      <c r="C88" s="10" t="s">
        <v>72</v>
      </c>
      <c r="D88" s="169">
        <f>'TX-EGM-FLSH'!L88</f>
        <v>0</v>
      </c>
      <c r="E88" s="169">
        <f>'TX-EGM-FLSH'!M88</f>
        <v>924228</v>
      </c>
      <c r="F88" s="169">
        <f>'TX-EGM-GL'!D88</f>
        <v>0</v>
      </c>
      <c r="G88" s="169">
        <f>'TX-EGM-GL'!E88</f>
        <v>0</v>
      </c>
      <c r="H88" s="169">
        <f t="shared" si="15"/>
        <v>0</v>
      </c>
      <c r="I88" s="169">
        <f t="shared" si="15"/>
        <v>-924228</v>
      </c>
    </row>
    <row r="89" spans="1:63" s="141" customFormat="1" x14ac:dyDescent="0.25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113899</v>
      </c>
      <c r="F89" s="182">
        <f t="shared" si="16"/>
        <v>0</v>
      </c>
      <c r="G89" s="182">
        <f t="shared" si="16"/>
        <v>0</v>
      </c>
      <c r="H89" s="182">
        <f t="shared" si="16"/>
        <v>0</v>
      </c>
      <c r="I89" s="182">
        <f t="shared" si="16"/>
        <v>-113899</v>
      </c>
    </row>
    <row r="90" spans="1:63" s="141" customFormat="1" x14ac:dyDescent="0.25">
      <c r="A90" s="184"/>
      <c r="B90" s="181"/>
      <c r="D90" s="185"/>
      <c r="E90" s="185"/>
      <c r="F90" s="185"/>
      <c r="G90" s="185"/>
      <c r="H90" s="185"/>
      <c r="I90" s="185"/>
    </row>
    <row r="91" spans="1:63" s="141" customFormat="1" x14ac:dyDescent="0.25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958992.8484094739</v>
      </c>
      <c r="F91" s="182">
        <f t="shared" si="17"/>
        <v>0</v>
      </c>
      <c r="G91" s="182">
        <f t="shared" si="17"/>
        <v>5063842.6289999904</v>
      </c>
      <c r="H91" s="182">
        <f t="shared" si="17"/>
        <v>0</v>
      </c>
      <c r="I91" s="182">
        <f t="shared" si="17"/>
        <v>4104849.7805905128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10" sqref="H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'TX-HPLR-FLSH'!L11</f>
        <v>17799026.150000006</v>
      </c>
      <c r="E11" s="66">
        <f>'TX-HPLR-FLSH'!M11</f>
        <v>-15700839.480000019</v>
      </c>
      <c r="F11" s="60">
        <f>'TX-HPLR-GL '!D11</f>
        <v>536578</v>
      </c>
      <c r="G11" s="38">
        <f>'TX-HPLR-GL '!E11</f>
        <v>1208990.1199999999</v>
      </c>
      <c r="H11" s="60">
        <f>F11-D11</f>
        <v>-17262448.150000006</v>
      </c>
      <c r="I11" s="38">
        <f>G11-E11</f>
        <v>16909829.60000002</v>
      </c>
    </row>
    <row r="12" spans="1:22" x14ac:dyDescent="0.25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17799026.150000006</v>
      </c>
      <c r="E16" s="39">
        <f t="shared" si="1"/>
        <v>-15700839.480000019</v>
      </c>
      <c r="F16" s="61">
        <f t="shared" si="1"/>
        <v>536578</v>
      </c>
      <c r="G16" s="39">
        <f t="shared" si="1"/>
        <v>1208990.1199999999</v>
      </c>
      <c r="H16" s="61">
        <f t="shared" si="1"/>
        <v>-17262448.150000006</v>
      </c>
      <c r="I16" s="39">
        <f t="shared" si="1"/>
        <v>16909829.60000002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'TX-HPLR-FLSH'!L19</f>
        <v>-17800278.150000006</v>
      </c>
      <c r="E19" s="66">
        <f>'TX-HPLR-FLSH'!M19</f>
        <v>15708339.540000021</v>
      </c>
      <c r="F19" s="60">
        <f>'TX-HPLR-GL '!D19</f>
        <v>-420000</v>
      </c>
      <c r="G19" s="38">
        <f>'TX-HPLR-GL '!E19</f>
        <v>-1201200.04</v>
      </c>
      <c r="H19" s="60">
        <f>F19-D19</f>
        <v>17380278.150000006</v>
      </c>
      <c r="I19" s="38">
        <f>G19-E19</f>
        <v>-16909539.580000021</v>
      </c>
    </row>
    <row r="20" spans="1:9" x14ac:dyDescent="0.25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-0.20000000018626451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0.20000000018626451</v>
      </c>
    </row>
    <row r="22" spans="1:9" x14ac:dyDescent="0.25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-299.86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299.86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-17800278.150000006</v>
      </c>
      <c r="E24" s="39">
        <f t="shared" si="3"/>
        <v>15708039.480000023</v>
      </c>
      <c r="F24" s="61">
        <f t="shared" si="3"/>
        <v>-420000</v>
      </c>
      <c r="G24" s="39">
        <f t="shared" si="3"/>
        <v>-1201200.04</v>
      </c>
      <c r="H24" s="61">
        <f t="shared" si="3"/>
        <v>17380278.150000006</v>
      </c>
      <c r="I24" s="39">
        <f t="shared" si="3"/>
        <v>-16909239.520000022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'TX-HPLR-FLSH'!L27</f>
        <v>-17259875.149999999</v>
      </c>
      <c r="E27" s="66">
        <f>'TX-HPLR-FLSH'!M27</f>
        <v>17259882</v>
      </c>
      <c r="F27" s="60">
        <f>'TX-HPLR-GL '!D27</f>
        <v>892</v>
      </c>
      <c r="G27" s="38">
        <f>'TX-HPLR-GL '!E27</f>
        <v>1558783.91</v>
      </c>
      <c r="H27" s="60">
        <f>F27-D27</f>
        <v>17260767.149999999</v>
      </c>
      <c r="I27" s="38">
        <f>G27-E27</f>
        <v>-15701098.09</v>
      </c>
    </row>
    <row r="28" spans="1:9" x14ac:dyDescent="0.25">
      <c r="A28" s="9">
        <v>12</v>
      </c>
      <c r="B28" s="7"/>
      <c r="C28" s="18" t="s">
        <v>36</v>
      </c>
      <c r="D28" s="65">
        <f>'TX-HPLR-FLSH'!L28</f>
        <v>17259875.149999999</v>
      </c>
      <c r="E28" s="66">
        <f>'TX-HPLR-FLSH'!M28</f>
        <v>-17259882</v>
      </c>
      <c r="F28" s="60">
        <f>'TX-HPLR-GL '!D28</f>
        <v>-117470</v>
      </c>
      <c r="G28" s="38">
        <f>'TX-HPLR-GL '!E28</f>
        <v>-1897423.69</v>
      </c>
      <c r="H28" s="60">
        <f>F28-D28</f>
        <v>-17377345.149999999</v>
      </c>
      <c r="I28" s="38">
        <f>G28-E28</f>
        <v>15362458.310000001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-116578</v>
      </c>
      <c r="G29" s="70">
        <f t="shared" si="4"/>
        <v>-338639.78</v>
      </c>
      <c r="H29" s="69">
        <f t="shared" si="4"/>
        <v>-116578</v>
      </c>
      <c r="I29" s="70">
        <f t="shared" si="4"/>
        <v>-338639.77999999933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-0.62000000000080036</v>
      </c>
      <c r="H47" s="60">
        <f>F47-D47</f>
        <v>0</v>
      </c>
      <c r="I47" s="38">
        <f>G47-E47</f>
        <v>-0.62000000000080036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'TX-HPLR-FLSH'!L49</f>
        <v>1252</v>
      </c>
      <c r="E49" s="66">
        <f>'TX-HPLR-FLSH'!M49</f>
        <v>3591.2274788506329</v>
      </c>
      <c r="F49" s="60">
        <f>'TX-HPLR-GL '!D49</f>
        <v>0</v>
      </c>
      <c r="G49" s="38">
        <f>'TX-HPLR-GL '!E49</f>
        <v>0</v>
      </c>
      <c r="H49" s="60">
        <f>F49-D49</f>
        <v>-1252</v>
      </c>
      <c r="I49" s="38">
        <f>G49-E49</f>
        <v>-3591.2274788506329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'TX-HPLR-FLSH'!L51</f>
        <v>56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-56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-1219</v>
      </c>
      <c r="G64" s="38">
        <f>'TX-HPLR-GL '!E64</f>
        <v>-58.28</v>
      </c>
      <c r="H64" s="60">
        <f>F64-D64</f>
        <v>-1219</v>
      </c>
      <c r="I64" s="38">
        <f>G64-E64</f>
        <v>-58.28</v>
      </c>
    </row>
    <row r="65" spans="1:9" x14ac:dyDescent="0.25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-58.28</v>
      </c>
      <c r="H66" s="61">
        <f t="shared" si="12"/>
        <v>-1219</v>
      </c>
      <c r="I66" s="39">
        <f t="shared" si="12"/>
        <v>-58.28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10791.227478854358</v>
      </c>
      <c r="F82" s="109">
        <f>F16+F24+F29+F36+F43+F45+F47+F49</f>
        <v>0</v>
      </c>
      <c r="G82" s="110">
        <f>SUM(G72:G81)+G16+G24+G29+G36+G43+G45+G47+G49+G51+G56+G61+G66</f>
        <v>-330908.60000000021</v>
      </c>
      <c r="H82" s="109">
        <f>H16+H24+H29+H36+H43+H45+H47+H49</f>
        <v>0</v>
      </c>
      <c r="I82" s="110">
        <f>SUM(I72:I81)+I16+I24+I29+I36+I43+I45+I47+I49+I51+I56+I61+I66</f>
        <v>-341699.82747885177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'TX-HPLC-FLSH'!L11</f>
        <v>63522118</v>
      </c>
      <c r="E11" s="66">
        <f>'TX-HPLC-FLSH'!M11</f>
        <v>173093269</v>
      </c>
      <c r="F11" s="60">
        <f>'TX-HPLC-GL'!D11</f>
        <v>34530921</v>
      </c>
      <c r="G11" s="38">
        <f>'TX-HPLC-GL'!E11</f>
        <v>97544699.769999996</v>
      </c>
      <c r="H11" s="60">
        <f>F11-D11</f>
        <v>-28991197</v>
      </c>
      <c r="I11" s="38">
        <f>G11-E11</f>
        <v>-75548569.230000004</v>
      </c>
    </row>
    <row r="12" spans="1:22" x14ac:dyDescent="0.25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-298036.89999999991</v>
      </c>
      <c r="H12" s="60">
        <f>F12-D12</f>
        <v>0</v>
      </c>
      <c r="I12" s="38">
        <f>G12-E12</f>
        <v>-298036.89999999991</v>
      </c>
    </row>
    <row r="13" spans="1:22" x14ac:dyDescent="0.25">
      <c r="A13" s="9">
        <v>3</v>
      </c>
      <c r="B13" s="7"/>
      <c r="C13" s="18" t="s">
        <v>27</v>
      </c>
      <c r="D13" s="65">
        <f>'TX-HPLC-FLSH'!L13</f>
        <v>635030</v>
      </c>
      <c r="E13" s="66">
        <f>'TX-HPLC-FLSH'!M13</f>
        <v>1543961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-635030</v>
      </c>
      <c r="I13" s="38">
        <f t="shared" si="0"/>
        <v>-1543961</v>
      </c>
    </row>
    <row r="14" spans="1:22" x14ac:dyDescent="0.25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64157148</v>
      </c>
      <c r="E16" s="39">
        <f t="shared" si="1"/>
        <v>174637230</v>
      </c>
      <c r="F16" s="61">
        <f t="shared" si="1"/>
        <v>34530921</v>
      </c>
      <c r="G16" s="39">
        <f t="shared" si="1"/>
        <v>97246662.86999999</v>
      </c>
      <c r="H16" s="61">
        <f t="shared" si="1"/>
        <v>-29626227</v>
      </c>
      <c r="I16" s="39">
        <f t="shared" si="1"/>
        <v>-77390567.13000001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'TX-HPLC-FLSH'!L19</f>
        <v>-71960506</v>
      </c>
      <c r="E19" s="66">
        <f>'TX-HPLC-FLSH'!M19</f>
        <v>-193862687</v>
      </c>
      <c r="F19" s="60">
        <f>'TX-HPLC-GL'!D19</f>
        <v>-43066981</v>
      </c>
      <c r="G19" s="38">
        <f>'TX-HPLC-GL'!E19</f>
        <v>-117127210.48</v>
      </c>
      <c r="H19" s="60">
        <f>F19-D19</f>
        <v>28893525</v>
      </c>
      <c r="I19" s="38">
        <f>G19-E19</f>
        <v>76735476.519999996</v>
      </c>
    </row>
    <row r="20" spans="1:9" x14ac:dyDescent="0.25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-2663863.6</v>
      </c>
      <c r="H20" s="60">
        <f>F20-D20</f>
        <v>0</v>
      </c>
      <c r="I20" s="38">
        <f>G20-E20</f>
        <v>-2663863.6</v>
      </c>
    </row>
    <row r="21" spans="1:9" x14ac:dyDescent="0.25">
      <c r="A21" s="9">
        <v>8</v>
      </c>
      <c r="B21" s="7"/>
      <c r="C21" s="18" t="s">
        <v>27</v>
      </c>
      <c r="D21" s="65">
        <f>'TX-HPLC-FLSH'!L21</f>
        <v>-1846882</v>
      </c>
      <c r="E21" s="66">
        <f>'TX-HPLC-FLSH'!M21</f>
        <v>-4886583</v>
      </c>
      <c r="F21" s="60">
        <f>'TX-HPLC-GL'!D21</f>
        <v>0</v>
      </c>
      <c r="G21" s="38">
        <f>'TX-HPLC-GL'!E21</f>
        <v>0</v>
      </c>
      <c r="H21" s="60">
        <f t="shared" ref="H21:I23" si="2">F21-D21</f>
        <v>1846882</v>
      </c>
      <c r="I21" s="38">
        <f t="shared" si="2"/>
        <v>4886583</v>
      </c>
    </row>
    <row r="22" spans="1:9" x14ac:dyDescent="0.25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'TX-HPLC-FLSH'!L23</f>
        <v>60</v>
      </c>
      <c r="E23" s="66">
        <f>'TX-HPLC-FLSH'!M23</f>
        <v>151</v>
      </c>
      <c r="F23" s="60">
        <f>'TX-HPLC-GL'!D23</f>
        <v>0</v>
      </c>
      <c r="G23" s="38">
        <f>'TX-HPLC-GL'!E23</f>
        <v>0</v>
      </c>
      <c r="H23" s="60">
        <f t="shared" si="2"/>
        <v>-60</v>
      </c>
      <c r="I23" s="38">
        <f t="shared" si="2"/>
        <v>-151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-73807328</v>
      </c>
      <c r="E24" s="39">
        <f t="shared" si="3"/>
        <v>-198749119</v>
      </c>
      <c r="F24" s="61">
        <f t="shared" si="3"/>
        <v>-43066981</v>
      </c>
      <c r="G24" s="39">
        <f t="shared" si="3"/>
        <v>-119791074.08</v>
      </c>
      <c r="H24" s="61">
        <f t="shared" si="3"/>
        <v>30740347</v>
      </c>
      <c r="I24" s="39">
        <f t="shared" si="3"/>
        <v>78958044.920000002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'TX-HPLC-FLSH'!L27</f>
        <v>8785279</v>
      </c>
      <c r="E27" s="66">
        <f>'TX-HPLC-FLSH'!M27</f>
        <v>22798988</v>
      </c>
      <c r="F27" s="60">
        <f>'TX-HPLC-GL'!D27</f>
        <v>15951537</v>
      </c>
      <c r="G27" s="38">
        <f>'TX-HPLC-GL'!E27</f>
        <v>40704956</v>
      </c>
      <c r="H27" s="60">
        <f>F27-D27</f>
        <v>7166258</v>
      </c>
      <c r="I27" s="38">
        <f>G27-E27</f>
        <v>17905968</v>
      </c>
    </row>
    <row r="28" spans="1:9" x14ac:dyDescent="0.25">
      <c r="A28" s="9">
        <v>12</v>
      </c>
      <c r="B28" s="7"/>
      <c r="C28" s="18" t="s">
        <v>36</v>
      </c>
      <c r="D28" s="65">
        <f>'TX-HPLC-FLSH'!L28</f>
        <v>-4697779</v>
      </c>
      <c r="E28" s="66">
        <f>'TX-HPLC-FLSH'!M28</f>
        <v>-11956037</v>
      </c>
      <c r="F28" s="60">
        <f>'TX-HPLC-GL'!D28</f>
        <v>-8334180</v>
      </c>
      <c r="G28" s="38">
        <f>'TX-HPLC-GL'!E28</f>
        <v>-21027948</v>
      </c>
      <c r="H28" s="60">
        <f>F28-D28</f>
        <v>-3636401</v>
      </c>
      <c r="I28" s="38">
        <f>G28-E28</f>
        <v>-9071911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7617357</v>
      </c>
      <c r="G29" s="70">
        <f t="shared" si="4"/>
        <v>19677008</v>
      </c>
      <c r="H29" s="69">
        <f t="shared" si="4"/>
        <v>3529857</v>
      </c>
      <c r="I29" s="70">
        <f t="shared" si="4"/>
        <v>8834057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-109802</v>
      </c>
      <c r="G32" s="38">
        <f>'TX-HPLC-GL'!E32</f>
        <v>-314912.90000000002</v>
      </c>
      <c r="H32" s="60">
        <f>F32-D32</f>
        <v>-109802</v>
      </c>
      <c r="I32" s="38">
        <f>G32-E32</f>
        <v>-314912.90000000002</v>
      </c>
    </row>
    <row r="33" spans="1:9" x14ac:dyDescent="0.25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-109802</v>
      </c>
      <c r="G36" s="39">
        <f t="shared" si="6"/>
        <v>-314912.90000000002</v>
      </c>
      <c r="H36" s="61">
        <f t="shared" si="6"/>
        <v>-109802</v>
      </c>
      <c r="I36" s="39">
        <f t="shared" si="6"/>
        <v>-314912.90000000002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'TX-HPLC-FLSH'!L39</f>
        <v>1667992</v>
      </c>
      <c r="E39" s="66">
        <f>'TX-HPLC-FLSH'!M39</f>
        <v>4842683</v>
      </c>
      <c r="F39" s="60">
        <f>'TX-HPLC-GL'!D39</f>
        <v>885840</v>
      </c>
      <c r="G39" s="38">
        <f>'TX-HPLC-GL'!E39</f>
        <v>2603573</v>
      </c>
      <c r="H39" s="60">
        <f t="shared" ref="H39:I41" si="7">F39-D39</f>
        <v>-782152</v>
      </c>
      <c r="I39" s="38">
        <f t="shared" si="7"/>
        <v>-2239110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'TX-HPLC-FLSH'!L40</f>
        <v>-855296</v>
      </c>
      <c r="E40" s="66">
        <f>'TX-HPLC-FLSH'!M40</f>
        <v>-2483182</v>
      </c>
      <c r="F40" s="60">
        <f>'TX-HPLC-GL'!D40</f>
        <v>0</v>
      </c>
      <c r="G40" s="38">
        <f>'TX-HPLC-GL'!E40</f>
        <v>0</v>
      </c>
      <c r="H40" s="60">
        <f t="shared" si="7"/>
        <v>855296</v>
      </c>
      <c r="I40" s="38">
        <f t="shared" si="7"/>
        <v>2483182</v>
      </c>
    </row>
    <row r="41" spans="1:9" x14ac:dyDescent="0.25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-88952</v>
      </c>
      <c r="H41" s="60">
        <f t="shared" si="7"/>
        <v>0</v>
      </c>
      <c r="I41" s="38">
        <f t="shared" si="7"/>
        <v>-88952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-855296</v>
      </c>
      <c r="E42" s="70">
        <f t="shared" si="8"/>
        <v>-2483182</v>
      </c>
      <c r="F42" s="69">
        <f t="shared" si="8"/>
        <v>0</v>
      </c>
      <c r="G42" s="70">
        <f t="shared" si="8"/>
        <v>-88952</v>
      </c>
      <c r="H42" s="69">
        <f t="shared" si="8"/>
        <v>855296</v>
      </c>
      <c r="I42" s="70">
        <f t="shared" si="8"/>
        <v>2394230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812696</v>
      </c>
      <c r="E43" s="39">
        <f t="shared" si="9"/>
        <v>2359501</v>
      </c>
      <c r="F43" s="61">
        <f t="shared" si="9"/>
        <v>885840</v>
      </c>
      <c r="G43" s="39">
        <f t="shared" si="9"/>
        <v>2514621</v>
      </c>
      <c r="H43" s="61">
        <f t="shared" si="9"/>
        <v>73144</v>
      </c>
      <c r="I43" s="39">
        <f t="shared" si="9"/>
        <v>155120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'TX-HPLC-FLSH'!L49</f>
        <v>4749984</v>
      </c>
      <c r="E49" s="66">
        <f>'TX-HPLC-FLSH'!M49</f>
        <v>13476548.924070567</v>
      </c>
      <c r="F49" s="60">
        <f>'TX-HPLC-GL'!D49</f>
        <v>142665</v>
      </c>
      <c r="G49" s="38">
        <f>'TX-HPLC-GL'!E49</f>
        <v>387336.29000000004</v>
      </c>
      <c r="H49" s="60">
        <f>F49-D49</f>
        <v>-4607319</v>
      </c>
      <c r="I49" s="38">
        <f>G49-E49</f>
        <v>-13089212.634070568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-1704912</v>
      </c>
      <c r="F54" s="60">
        <f>'TX-HPLC-GL'!D54</f>
        <v>-62435</v>
      </c>
      <c r="G54" s="38">
        <f>'TX-HPLC-GL'!E54</f>
        <v>-1463525.93</v>
      </c>
      <c r="H54" s="60">
        <f>F54-D54</f>
        <v>-62435</v>
      </c>
      <c r="I54" s="38">
        <f>G54-E54</f>
        <v>241386.07000000007</v>
      </c>
    </row>
    <row r="55" spans="1:9" x14ac:dyDescent="0.25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2998.89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-1704912</v>
      </c>
      <c r="F56" s="61">
        <f t="shared" si="10"/>
        <v>-62435</v>
      </c>
      <c r="G56" s="39">
        <f t="shared" si="10"/>
        <v>-1460527.04</v>
      </c>
      <c r="H56" s="61">
        <f t="shared" si="10"/>
        <v>-62435</v>
      </c>
      <c r="I56" s="39">
        <f t="shared" si="10"/>
        <v>244384.96000000008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317010</v>
      </c>
      <c r="G64" s="38">
        <f>'TX-HPLC-GL'!E64</f>
        <v>0</v>
      </c>
      <c r="H64" s="60">
        <f>F64-D64</f>
        <v>317010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317010</v>
      </c>
      <c r="G66" s="39">
        <f t="shared" si="12"/>
        <v>60000</v>
      </c>
      <c r="H66" s="61">
        <f t="shared" si="12"/>
        <v>317010</v>
      </c>
      <c r="I66" s="39">
        <f t="shared" si="12"/>
        <v>60000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112120</v>
      </c>
      <c r="H74" s="60">
        <f t="shared" ref="H74:I79" si="14">F74-D74</f>
        <v>0</v>
      </c>
      <c r="I74" s="38">
        <f t="shared" si="14"/>
        <v>112120</v>
      </c>
    </row>
    <row r="75" spans="1:9" x14ac:dyDescent="0.25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895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-895</v>
      </c>
    </row>
    <row r="76" spans="1:9" x14ac:dyDescent="0.25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4803.8999999999996</v>
      </c>
      <c r="H81" s="60">
        <f>F81-D81</f>
        <v>0</v>
      </c>
      <c r="I81" s="38">
        <f>G81-E81</f>
        <v>4803.8999999999996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754794.92407056689</v>
      </c>
      <c r="F82" s="109">
        <f>F16+F24+F29+F36+F43+F45+F47+F49</f>
        <v>0</v>
      </c>
      <c r="G82" s="110">
        <f>SUM(G72:G81)+G16+G24+G29+G36+G43+G45+G47+G49+G51+G56+G61+G66</f>
        <v>-1563961.9600000023</v>
      </c>
      <c r="H82" s="109">
        <f>H16+H24+H29+H36+H43+H45+H47+H49</f>
        <v>0</v>
      </c>
      <c r="I82" s="110">
        <f>SUM(I72:I81)+I16+I24+I29+I36+I43+I45+I47+I49+I51+I56+I61+I66</f>
        <v>-2318756.8840705706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6"/>
      <c r="B86" s="3"/>
      <c r="C86" s="10" t="s">
        <v>167</v>
      </c>
      <c r="D86" s="167">
        <f>'TX-HPLC-FLSH'!L86</f>
        <v>0</v>
      </c>
      <c r="E86" s="167">
        <f>'TX-HPLC-FLSH'!M86</f>
        <v>0</v>
      </c>
      <c r="F86" s="167">
        <f>'TX-HPLC-GL'!D86</f>
        <v>0</v>
      </c>
      <c r="G86" s="167">
        <f>'TX-HPLC-GL'!E86</f>
        <v>-811020</v>
      </c>
      <c r="H86" s="167">
        <f t="shared" ref="H86:I88" si="15">F86-D86</f>
        <v>0</v>
      </c>
      <c r="I86" s="167">
        <f t="shared" si="15"/>
        <v>-811020</v>
      </c>
    </row>
    <row r="87" spans="1:63" x14ac:dyDescent="0.25">
      <c r="A87" s="166"/>
      <c r="B87" s="3"/>
      <c r="C87" s="10" t="s">
        <v>71</v>
      </c>
      <c r="D87" s="168">
        <f>'TX-HPLC-FLSH'!L87</f>
        <v>0</v>
      </c>
      <c r="E87" s="168">
        <f>'TX-HPLC-FLSH'!M87</f>
        <v>0</v>
      </c>
      <c r="F87" s="168">
        <f>'TX-HPLC-GL'!D87</f>
        <v>0</v>
      </c>
      <c r="G87" s="168">
        <f>'TX-HPLC-GL'!E87</f>
        <v>0</v>
      </c>
      <c r="H87" s="168">
        <f t="shared" si="15"/>
        <v>0</v>
      </c>
      <c r="I87" s="168">
        <f t="shared" si="15"/>
        <v>0</v>
      </c>
    </row>
    <row r="88" spans="1:63" x14ac:dyDescent="0.25">
      <c r="A88" s="166"/>
      <c r="B88" s="3"/>
      <c r="C88" s="10" t="s">
        <v>72</v>
      </c>
      <c r="D88" s="169">
        <f>'TX-HPLC-FLSH'!L88</f>
        <v>0</v>
      </c>
      <c r="E88" s="169">
        <f>'TX-HPLC-FLSH'!M88</f>
        <v>0</v>
      </c>
      <c r="F88" s="169">
        <f>'TX-HPLC-GL'!D88</f>
        <v>0</v>
      </c>
      <c r="G88" s="169">
        <f>'TX-HPLC-GL'!E88</f>
        <v>924200</v>
      </c>
      <c r="H88" s="169">
        <f t="shared" si="15"/>
        <v>0</v>
      </c>
      <c r="I88" s="169">
        <f t="shared" si="15"/>
        <v>924200</v>
      </c>
    </row>
    <row r="89" spans="1:63" x14ac:dyDescent="0.25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0</v>
      </c>
      <c r="F89" s="182">
        <f t="shared" si="16"/>
        <v>0</v>
      </c>
      <c r="G89" s="182">
        <f t="shared" si="16"/>
        <v>113180</v>
      </c>
      <c r="H89" s="182">
        <f t="shared" si="16"/>
        <v>0</v>
      </c>
      <c r="I89" s="182">
        <f t="shared" si="16"/>
        <v>113180</v>
      </c>
    </row>
    <row r="90" spans="1:63" x14ac:dyDescent="0.25">
      <c r="A90" s="184"/>
      <c r="B90" s="181"/>
      <c r="C90" s="141"/>
      <c r="D90" s="185"/>
      <c r="E90" s="185"/>
      <c r="F90" s="185"/>
      <c r="G90" s="185"/>
      <c r="H90" s="185"/>
      <c r="I90" s="185"/>
    </row>
    <row r="91" spans="1:63" x14ac:dyDescent="0.25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754794.92407056689</v>
      </c>
      <c r="F91" s="182">
        <f t="shared" si="17"/>
        <v>0</v>
      </c>
      <c r="G91" s="182">
        <f t="shared" si="17"/>
        <v>-1450781.9600000023</v>
      </c>
      <c r="H91" s="182">
        <f t="shared" si="17"/>
        <v>0</v>
      </c>
      <c r="I91" s="182">
        <f t="shared" si="17"/>
        <v>-2205576.8840705706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'TX-CON-FLSH'!L11</f>
        <v>79382181</v>
      </c>
      <c r="E11" s="66">
        <f>'TX-CON-FLSH'!M11</f>
        <v>217131157</v>
      </c>
      <c r="F11" s="60">
        <f>'TX-CON-GL '!D11</f>
        <v>45576496</v>
      </c>
      <c r="G11" s="38">
        <f>'TX-CON-GL '!E11</f>
        <v>130763365.24000001</v>
      </c>
      <c r="H11" s="60">
        <f>F11-D11</f>
        <v>-33805685</v>
      </c>
      <c r="I11" s="38">
        <f>G11-E11</f>
        <v>-86367791.75999999</v>
      </c>
    </row>
    <row r="12" spans="1:22" x14ac:dyDescent="0.25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2253488.59</v>
      </c>
      <c r="H12" s="60">
        <f>F12-D12</f>
        <v>0</v>
      </c>
      <c r="I12" s="38">
        <f>G12-E12</f>
        <v>2253488.59</v>
      </c>
    </row>
    <row r="13" spans="1:22" x14ac:dyDescent="0.25">
      <c r="A13" s="9">
        <v>3</v>
      </c>
      <c r="B13" s="7"/>
      <c r="C13" s="18" t="s">
        <v>27</v>
      </c>
      <c r="D13" s="65">
        <f>'TX-CON-FLSH'!L13</f>
        <v>637030</v>
      </c>
      <c r="E13" s="66">
        <f>'TX-CON-FLSH'!M13</f>
        <v>1548831</v>
      </c>
      <c r="F13" s="60">
        <f>'TX-CON-GL '!D13</f>
        <v>11336756</v>
      </c>
      <c r="G13" s="38">
        <f>'TX-CON-GL '!E13</f>
        <v>28599508</v>
      </c>
      <c r="H13" s="60">
        <f t="shared" ref="H13:I15" si="0">F13-D13</f>
        <v>10699726</v>
      </c>
      <c r="I13" s="38">
        <f t="shared" si="0"/>
        <v>27050677</v>
      </c>
    </row>
    <row r="14" spans="1:22" x14ac:dyDescent="0.25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80019211</v>
      </c>
      <c r="E16" s="39">
        <f t="shared" si="1"/>
        <v>218679988</v>
      </c>
      <c r="F16" s="61">
        <f t="shared" si="1"/>
        <v>56913252</v>
      </c>
      <c r="G16" s="39">
        <f t="shared" si="1"/>
        <v>161616361.83000001</v>
      </c>
      <c r="H16" s="61">
        <f t="shared" si="1"/>
        <v>-23105959</v>
      </c>
      <c r="I16" s="39">
        <f t="shared" si="1"/>
        <v>-57063626.169999987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'TX-CON-FLSH'!L19</f>
        <v>-83245144</v>
      </c>
      <c r="E19" s="66">
        <f>'TX-CON-FLSH'!M19</f>
        <v>-223724183</v>
      </c>
      <c r="F19" s="60">
        <f>'TX-CON-GL '!D19</f>
        <v>-45512865</v>
      </c>
      <c r="G19" s="38">
        <f>'TX-CON-GL '!E19</f>
        <v>-123449608.61</v>
      </c>
      <c r="H19" s="60">
        <f>F19-D19</f>
        <v>37732279</v>
      </c>
      <c r="I19" s="38">
        <f>G19-E19</f>
        <v>100274574.39</v>
      </c>
    </row>
    <row r="20" spans="1:9" x14ac:dyDescent="0.25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-3540522.72</v>
      </c>
      <c r="H20" s="60">
        <f>F20-D20</f>
        <v>0</v>
      </c>
      <c r="I20" s="38">
        <f>G20-E20</f>
        <v>-3540522.72</v>
      </c>
    </row>
    <row r="21" spans="1:9" x14ac:dyDescent="0.25">
      <c r="A21" s="9">
        <v>8</v>
      </c>
      <c r="B21" s="7"/>
      <c r="C21" s="18" t="s">
        <v>27</v>
      </c>
      <c r="D21" s="65">
        <f>'TX-CON-FLSH'!L21</f>
        <v>-1854635</v>
      </c>
      <c r="E21" s="66">
        <f>'TX-CON-FLSH'!M21</f>
        <v>-4906741</v>
      </c>
      <c r="F21" s="60">
        <f>'TX-CON-GL '!D21</f>
        <v>-11342509</v>
      </c>
      <c r="G21" s="38">
        <f>'TX-CON-GL '!E21</f>
        <v>-28614796</v>
      </c>
      <c r="H21" s="60">
        <f t="shared" ref="H21:I23" si="2">F21-D21</f>
        <v>-9487874</v>
      </c>
      <c r="I21" s="38">
        <f t="shared" si="2"/>
        <v>-23708055</v>
      </c>
    </row>
    <row r="22" spans="1:9" x14ac:dyDescent="0.25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'TX-CON-FLSH'!L23</f>
        <v>116</v>
      </c>
      <c r="E23" s="66">
        <f>'TX-CON-FLSH'!M23</f>
        <v>-6</v>
      </c>
      <c r="F23" s="60">
        <f>'TX-CON-GL '!D23</f>
        <v>2436</v>
      </c>
      <c r="G23" s="38">
        <f>'TX-CON-GL '!E23</f>
        <v>6986.4480000000003</v>
      </c>
      <c r="H23" s="60">
        <f t="shared" si="2"/>
        <v>2320</v>
      </c>
      <c r="I23" s="38">
        <f t="shared" si="2"/>
        <v>6992.4480000000003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-85099663</v>
      </c>
      <c r="E24" s="39">
        <f t="shared" si="3"/>
        <v>-228630930</v>
      </c>
      <c r="F24" s="61">
        <f t="shared" si="3"/>
        <v>-56852938</v>
      </c>
      <c r="G24" s="39">
        <f t="shared" si="3"/>
        <v>-155597940.88199997</v>
      </c>
      <c r="H24" s="61">
        <f t="shared" si="3"/>
        <v>28246725</v>
      </c>
      <c r="I24" s="39">
        <f t="shared" si="3"/>
        <v>73032989.118000001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'TX-CON-FLSH'!L27</f>
        <v>20120035</v>
      </c>
      <c r="E27" s="66">
        <f>'TX-CON-FLSH'!M27</f>
        <v>51393626</v>
      </c>
      <c r="F27" s="60">
        <f>'TX-CON-GL '!D27</f>
        <v>20907867</v>
      </c>
      <c r="G27" s="38">
        <f>'TX-CON-GL '!E27</f>
        <v>55283866.25</v>
      </c>
      <c r="H27" s="60">
        <f>F27-D27</f>
        <v>787832</v>
      </c>
      <c r="I27" s="38">
        <f>G27-E27</f>
        <v>3890240.25</v>
      </c>
    </row>
    <row r="28" spans="1:9" x14ac:dyDescent="0.25">
      <c r="A28" s="9">
        <v>12</v>
      </c>
      <c r="B28" s="7"/>
      <c r="C28" s="18" t="s">
        <v>36</v>
      </c>
      <c r="D28" s="65">
        <f>'TX-CON-FLSH'!L28</f>
        <v>-16032535</v>
      </c>
      <c r="E28" s="66">
        <f>'TX-CON-FLSH'!M28</f>
        <v>-40550675</v>
      </c>
      <c r="F28" s="60">
        <f>'TX-CON-GL '!D28</f>
        <v>-22132092</v>
      </c>
      <c r="G28" s="38">
        <f>'TX-CON-GL '!E28</f>
        <v>-58656449.600000009</v>
      </c>
      <c r="H28" s="60">
        <f>F28-D28</f>
        <v>-6099557</v>
      </c>
      <c r="I28" s="38">
        <f>G28-E28</f>
        <v>-18105774.600000009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-1224225</v>
      </c>
      <c r="G29" s="70">
        <f t="shared" si="4"/>
        <v>-3372583.3500000089</v>
      </c>
      <c r="H29" s="69">
        <f t="shared" si="4"/>
        <v>-5311725</v>
      </c>
      <c r="I29" s="70">
        <f t="shared" si="4"/>
        <v>-14215534.350000009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-141055</v>
      </c>
      <c r="G32" s="38">
        <f>'TX-CON-GL '!E32</f>
        <v>-377649.38300000038</v>
      </c>
      <c r="H32" s="60">
        <f>F32-D32</f>
        <v>-141055</v>
      </c>
      <c r="I32" s="38">
        <f>G32-E32</f>
        <v>-377649.38300000038</v>
      </c>
    </row>
    <row r="33" spans="1:9" x14ac:dyDescent="0.25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-141055</v>
      </c>
      <c r="G36" s="39">
        <f t="shared" si="6"/>
        <v>-377649.38300000038</v>
      </c>
      <c r="H36" s="61">
        <f t="shared" si="6"/>
        <v>-141055</v>
      </c>
      <c r="I36" s="39">
        <f t="shared" si="6"/>
        <v>-377649.38300000038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'TX-CON-FLSH'!L39</f>
        <v>1697992</v>
      </c>
      <c r="E39" s="66">
        <f>'TX-CON-FLSH'!M39</f>
        <v>4929983</v>
      </c>
      <c r="F39" s="60">
        <f>'TX-CON-GL '!D39</f>
        <v>1200806</v>
      </c>
      <c r="G39" s="38">
        <f>'TX-CON-GL '!E39</f>
        <v>3547661.34</v>
      </c>
      <c r="H39" s="60">
        <f t="shared" ref="H39:I41" si="7">F39-D39</f>
        <v>-497186</v>
      </c>
      <c r="I39" s="38">
        <f t="shared" si="7"/>
        <v>-1382321.6600000001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'TX-CON-FLSH'!L40</f>
        <v>-920296</v>
      </c>
      <c r="E40" s="66">
        <f>'TX-CON-FLSH'!M40</f>
        <v>-2672332</v>
      </c>
      <c r="F40" s="60">
        <f>'TX-CON-GL '!D40</f>
        <v>-35300</v>
      </c>
      <c r="G40" s="38">
        <f>'TX-CON-GL '!E40</f>
        <v>-75080.170000000013</v>
      </c>
      <c r="H40" s="60">
        <f t="shared" si="7"/>
        <v>884996</v>
      </c>
      <c r="I40" s="38">
        <f t="shared" si="7"/>
        <v>2597251.83</v>
      </c>
    </row>
    <row r="41" spans="1:9" x14ac:dyDescent="0.25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-30605</v>
      </c>
      <c r="H41" s="60">
        <f t="shared" si="7"/>
        <v>0</v>
      </c>
      <c r="I41" s="38">
        <f t="shared" si="7"/>
        <v>-30605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-920296</v>
      </c>
      <c r="E42" s="70">
        <f t="shared" si="8"/>
        <v>-2672332</v>
      </c>
      <c r="F42" s="69">
        <f t="shared" si="8"/>
        <v>-35300</v>
      </c>
      <c r="G42" s="70">
        <f t="shared" si="8"/>
        <v>-105685.17000000001</v>
      </c>
      <c r="H42" s="69">
        <f t="shared" si="8"/>
        <v>884996</v>
      </c>
      <c r="I42" s="70">
        <f t="shared" si="8"/>
        <v>2566646.83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777696</v>
      </c>
      <c r="E43" s="39">
        <f t="shared" si="9"/>
        <v>2257651</v>
      </c>
      <c r="F43" s="61">
        <f t="shared" si="9"/>
        <v>1165506</v>
      </c>
      <c r="G43" s="39">
        <f t="shared" si="9"/>
        <v>3441976.17</v>
      </c>
      <c r="H43" s="61">
        <f t="shared" si="9"/>
        <v>387810</v>
      </c>
      <c r="I43" s="39">
        <f t="shared" si="9"/>
        <v>1184325.17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-0.62000000000080036</v>
      </c>
      <c r="H47" s="60">
        <f>F47-D47</f>
        <v>0</v>
      </c>
      <c r="I47" s="38">
        <f>G47-E47</f>
        <v>-0.62000000000080036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'TX-CON-FLSH'!L49</f>
        <v>215256</v>
      </c>
      <c r="E49" s="66">
        <f>'TX-CON-FLSH'!M49</f>
        <v>469168.88995889202</v>
      </c>
      <c r="F49" s="60">
        <f>'TX-CON-GL '!D49</f>
        <v>139460</v>
      </c>
      <c r="G49" s="38">
        <f>'TX-CON-GL '!E49</f>
        <v>381319.87199999986</v>
      </c>
      <c r="H49" s="60">
        <f>F49-D49</f>
        <v>-75796</v>
      </c>
      <c r="I49" s="38">
        <f>G49-E49</f>
        <v>-87849.01795889216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-2436</v>
      </c>
      <c r="G51" s="38">
        <f>'TX-CON-GL '!E51</f>
        <v>-6986.4480000000003</v>
      </c>
      <c r="H51" s="60">
        <f>F51-D51</f>
        <v>-2436</v>
      </c>
      <c r="I51" s="38">
        <f>G51-E51</f>
        <v>-6986.4480000000003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-2177315</v>
      </c>
      <c r="F54" s="60">
        <f>'TX-CON-GL '!D54</f>
        <v>-15615830</v>
      </c>
      <c r="G54" s="38">
        <f>'TX-CON-GL '!E54</f>
        <v>-1782474.88</v>
      </c>
      <c r="H54" s="60">
        <f>F54-D54</f>
        <v>-15615830</v>
      </c>
      <c r="I54" s="38">
        <f>G54-E54</f>
        <v>394840.12000000011</v>
      </c>
    </row>
    <row r="55" spans="1:9" x14ac:dyDescent="0.25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-41961.3</v>
      </c>
      <c r="H55" s="60">
        <f>F55-D55</f>
        <v>0</v>
      </c>
      <c r="I55" s="38">
        <f>G55-E55</f>
        <v>-41961.3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-2177315</v>
      </c>
      <c r="F56" s="61">
        <f t="shared" si="10"/>
        <v>-15615830</v>
      </c>
      <c r="G56" s="39">
        <f t="shared" si="10"/>
        <v>-1824436.18</v>
      </c>
      <c r="H56" s="61">
        <f t="shared" si="10"/>
        <v>-15615830</v>
      </c>
      <c r="I56" s="39">
        <f t="shared" si="10"/>
        <v>352878.82000000012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-1219</v>
      </c>
      <c r="G64" s="38">
        <f>'TX-CON-GL '!E64</f>
        <v>-67691.210000000006</v>
      </c>
      <c r="H64" s="60">
        <f>F64-D64</f>
        <v>-1219</v>
      </c>
      <c r="I64" s="38">
        <f>G64-E64</f>
        <v>-67691.210000000006</v>
      </c>
    </row>
    <row r="65" spans="1:9" x14ac:dyDescent="0.25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-7691.2100000000064</v>
      </c>
      <c r="H66" s="61">
        <f t="shared" si="12"/>
        <v>-1219</v>
      </c>
      <c r="I66" s="39">
        <f t="shared" si="12"/>
        <v>-7691.2100000000064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-1503217.93</v>
      </c>
      <c r="F70" s="60">
        <f>'TX-CON-GL '!D70</f>
        <v>0</v>
      </c>
      <c r="G70" s="38">
        <f>'TX-CON-GL '!E70</f>
        <v>-1525317.93</v>
      </c>
      <c r="H70" s="60">
        <f>F70-D70</f>
        <v>0</v>
      </c>
      <c r="I70" s="38">
        <f>G70-E70</f>
        <v>-22100</v>
      </c>
    </row>
    <row r="71" spans="1:9" x14ac:dyDescent="0.25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1681622</v>
      </c>
      <c r="F71" s="60">
        <f>'TX-CON-GL '!D71</f>
        <v>0</v>
      </c>
      <c r="G71" s="38">
        <f>'TX-CON-GL '!E71</f>
        <v>2659621.73</v>
      </c>
      <c r="H71" s="60">
        <f>F71-D71</f>
        <v>0</v>
      </c>
      <c r="I71" s="38">
        <f>G71-E71</f>
        <v>977999.73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5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142646.04</v>
      </c>
      <c r="F74" s="60">
        <f>'TX-CON-GL '!D74</f>
        <v>0</v>
      </c>
      <c r="G74" s="38">
        <f>'TX-CON-GL '!E74</f>
        <v>-965880</v>
      </c>
      <c r="H74" s="60">
        <f t="shared" ref="H74:I79" si="14">F74-D74</f>
        <v>0</v>
      </c>
      <c r="I74" s="38">
        <f t="shared" si="14"/>
        <v>-1108526.04</v>
      </c>
    </row>
    <row r="75" spans="1:9" x14ac:dyDescent="0.25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895</v>
      </c>
      <c r="F75" s="60">
        <f>'TX-CON-GL '!D75</f>
        <v>0</v>
      </c>
      <c r="G75" s="38">
        <f>'TX-CON-GL '!E75</f>
        <v>900</v>
      </c>
      <c r="H75" s="60">
        <f t="shared" si="14"/>
        <v>0</v>
      </c>
      <c r="I75" s="38">
        <f t="shared" si="14"/>
        <v>5</v>
      </c>
    </row>
    <row r="76" spans="1:9" x14ac:dyDescent="0.25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-2466</v>
      </c>
      <c r="F76" s="60">
        <f>'TX-CON-GL '!D76</f>
        <v>0</v>
      </c>
      <c r="G76" s="38">
        <f>'TX-CON-GL 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5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-42013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1610679.9999589063</v>
      </c>
      <c r="F82" s="109">
        <f>F16+F24+F29+F36+F43+F45+F47+F49</f>
        <v>0</v>
      </c>
      <c r="G82" s="110">
        <f>SUM(G72:G81)+G16+G24+G29+G36+G43+G45+G47+G49+G51+G56+G61+G66</f>
        <v>4419227.5790000353</v>
      </c>
      <c r="H82" s="109">
        <f>H16+H24+H29+H36+H43+H45+H47+H49</f>
        <v>0</v>
      </c>
      <c r="I82" s="110">
        <f>SUM(I72:I81)+I16+I24+I29+I36+I43+I45+I47+I49+I51+I56+I61+I66</f>
        <v>2808547.5790411145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6"/>
      <c r="B86" s="3"/>
      <c r="C86" s="10" t="s">
        <v>167</v>
      </c>
      <c r="D86" s="167">
        <f>'TX-CON-FLSH'!L86</f>
        <v>0</v>
      </c>
      <c r="E86" s="167">
        <f>'TX-CON-FLSH'!M86</f>
        <v>-810329</v>
      </c>
      <c r="F86" s="167">
        <f>'TX-CON-GL '!D86</f>
        <v>0</v>
      </c>
      <c r="G86" s="167">
        <f>'TX-CON-GL '!E86</f>
        <v>0</v>
      </c>
      <c r="H86" s="167">
        <f t="shared" ref="H86:I88" si="15">F86-D86</f>
        <v>0</v>
      </c>
      <c r="I86" s="167">
        <f t="shared" si="15"/>
        <v>810329</v>
      </c>
    </row>
    <row r="87" spans="1:63" x14ac:dyDescent="0.25">
      <c r="A87" s="166"/>
      <c r="B87" s="3"/>
      <c r="C87" s="10" t="s">
        <v>71</v>
      </c>
      <c r="D87" s="168">
        <f>'TX-CON-FLSH'!L87</f>
        <v>0</v>
      </c>
      <c r="E87" s="168">
        <f>'TX-CON-FLSH'!M87</f>
        <v>0</v>
      </c>
      <c r="F87" s="168">
        <f>'TX-CON-GL '!D87</f>
        <v>0</v>
      </c>
      <c r="G87" s="168">
        <f>'TX-CON-GL '!E87</f>
        <v>0</v>
      </c>
      <c r="H87" s="168">
        <f t="shared" si="15"/>
        <v>0</v>
      </c>
      <c r="I87" s="168">
        <f t="shared" si="15"/>
        <v>0</v>
      </c>
    </row>
    <row r="88" spans="1:63" x14ac:dyDescent="0.25">
      <c r="A88" s="166"/>
      <c r="B88" s="3"/>
      <c r="C88" s="10" t="s">
        <v>72</v>
      </c>
      <c r="D88" s="169">
        <f>'TX-CON-FLSH'!L88</f>
        <v>0</v>
      </c>
      <c r="E88" s="169">
        <f>'TX-CON-FLSH'!M88</f>
        <v>924228</v>
      </c>
      <c r="F88" s="169">
        <f>'TX-CON-GL '!D88</f>
        <v>0</v>
      </c>
      <c r="G88" s="169">
        <f>'TX-CON-GL '!E88</f>
        <v>924200</v>
      </c>
      <c r="H88" s="169">
        <f t="shared" si="15"/>
        <v>0</v>
      </c>
      <c r="I88" s="169">
        <f t="shared" si="15"/>
        <v>-28</v>
      </c>
    </row>
    <row r="89" spans="1:63" ht="15" x14ac:dyDescent="0.25">
      <c r="A89" s="173"/>
      <c r="B89" s="174"/>
      <c r="C89" s="179" t="s">
        <v>170</v>
      </c>
      <c r="D89" s="177">
        <f t="shared" ref="D89:I89" si="16">SUM(D86:D88)</f>
        <v>0</v>
      </c>
      <c r="E89" s="177">
        <f t="shared" si="16"/>
        <v>113899</v>
      </c>
      <c r="F89" s="177">
        <f t="shared" si="16"/>
        <v>0</v>
      </c>
      <c r="G89" s="177">
        <f t="shared" si="16"/>
        <v>924200</v>
      </c>
      <c r="H89" s="177">
        <f t="shared" si="16"/>
        <v>0</v>
      </c>
      <c r="I89" s="177">
        <f t="shared" si="16"/>
        <v>810301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3"/>
      <c r="B91" s="174"/>
      <c r="C91" s="179" t="s">
        <v>173</v>
      </c>
      <c r="D91" s="177">
        <f t="shared" ref="D91:I91" si="17">+D82+D89</f>
        <v>0</v>
      </c>
      <c r="E91" s="177">
        <f t="shared" si="17"/>
        <v>1724578.9999589063</v>
      </c>
      <c r="F91" s="177">
        <f t="shared" si="17"/>
        <v>0</v>
      </c>
      <c r="G91" s="177">
        <f t="shared" si="17"/>
        <v>5343427.5790000353</v>
      </c>
      <c r="H91" s="177">
        <f t="shared" si="17"/>
        <v>0</v>
      </c>
      <c r="I91" s="177">
        <f t="shared" si="17"/>
        <v>3618848.5790411145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'WE-FLSH'!L11</f>
        <v>29506141</v>
      </c>
      <c r="E11" s="66">
        <f>'WE-FLSH'!M11</f>
        <v>79305771</v>
      </c>
      <c r="F11" s="60">
        <f>'WE-GL '!D11</f>
        <v>28518280</v>
      </c>
      <c r="G11" s="38">
        <f>'WE-GL '!E11</f>
        <v>74546314.579999998</v>
      </c>
      <c r="H11" s="60">
        <f>F11-D11</f>
        <v>-987861</v>
      </c>
      <c r="I11" s="38">
        <f>G11-E11</f>
        <v>-4759456.4200000018</v>
      </c>
    </row>
    <row r="12" spans="1:22" x14ac:dyDescent="0.25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3035416.6599999997</v>
      </c>
      <c r="H12" s="60">
        <f>F12-D12</f>
        <v>0</v>
      </c>
      <c r="I12" s="38">
        <f>G12-E12</f>
        <v>3035416.6599999997</v>
      </c>
    </row>
    <row r="13" spans="1:22" x14ac:dyDescent="0.25">
      <c r="A13" s="9">
        <v>3</v>
      </c>
      <c r="B13" s="7"/>
      <c r="C13" s="18" t="s">
        <v>27</v>
      </c>
      <c r="D13" s="65">
        <f>'WE-FLSH'!L13</f>
        <v>15672974</v>
      </c>
      <c r="E13" s="66">
        <f>'WE-FLSH'!M13</f>
        <v>38359595</v>
      </c>
      <c r="F13" s="60">
        <f>'WE-GL '!D13</f>
        <v>15666477</v>
      </c>
      <c r="G13" s="38">
        <f>'WE-GL '!E13</f>
        <v>38344588</v>
      </c>
      <c r="H13" s="60">
        <f t="shared" ref="H13:I15" si="0">F13-D13</f>
        <v>-6497</v>
      </c>
      <c r="I13" s="38">
        <f t="shared" si="0"/>
        <v>-15007</v>
      </c>
    </row>
    <row r="14" spans="1:22" x14ac:dyDescent="0.25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431061.19</v>
      </c>
      <c r="H15" s="60">
        <f t="shared" si="0"/>
        <v>0</v>
      </c>
      <c r="I15" s="38">
        <f t="shared" si="0"/>
        <v>431061.19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45179115</v>
      </c>
      <c r="E16" s="39">
        <f t="shared" si="1"/>
        <v>117665366</v>
      </c>
      <c r="F16" s="61">
        <f t="shared" si="1"/>
        <v>44184757</v>
      </c>
      <c r="G16" s="39">
        <f t="shared" si="1"/>
        <v>116357380.42999999</v>
      </c>
      <c r="H16" s="61">
        <f t="shared" si="1"/>
        <v>-994358</v>
      </c>
      <c r="I16" s="39">
        <f t="shared" si="1"/>
        <v>-1307985.5700000022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'WE-FLSH'!L19</f>
        <v>-30580828</v>
      </c>
      <c r="E19" s="66">
        <f>'WE-FLSH'!M19</f>
        <v>-79714556</v>
      </c>
      <c r="F19" s="60">
        <f>'WE-GL '!D19</f>
        <v>-30591178</v>
      </c>
      <c r="G19" s="38">
        <f>'WE-GL '!E19</f>
        <v>-77463485.659999996</v>
      </c>
      <c r="H19" s="60">
        <f>F19-D19</f>
        <v>-10350</v>
      </c>
      <c r="I19" s="38">
        <f>G19-E19</f>
        <v>2251070.3400000036</v>
      </c>
    </row>
    <row r="20" spans="1:9" x14ac:dyDescent="0.25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-2418239.29</v>
      </c>
      <c r="H20" s="60">
        <f>F20-D20</f>
        <v>0</v>
      </c>
      <c r="I20" s="38">
        <f>G20-E20</f>
        <v>-2418239.29</v>
      </c>
    </row>
    <row r="21" spans="1:9" x14ac:dyDescent="0.25">
      <c r="A21" s="9">
        <v>8</v>
      </c>
      <c r="B21" s="7"/>
      <c r="C21" s="18" t="s">
        <v>27</v>
      </c>
      <c r="D21" s="65">
        <f>'WE-FLSH'!L21</f>
        <v>-15154169</v>
      </c>
      <c r="E21" s="66">
        <f>'WE-FLSH'!M21</f>
        <v>-36942817</v>
      </c>
      <c r="F21" s="60">
        <f>'WE-GL '!D21</f>
        <v>-15154169</v>
      </c>
      <c r="G21" s="38">
        <f>'WE-GL '!E21</f>
        <v>-36942817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'WE-FLSH'!L23</f>
        <v>273688</v>
      </c>
      <c r="E23" s="66">
        <f>'WE-FLSH'!M23</f>
        <v>625452</v>
      </c>
      <c r="F23" s="60">
        <f>'WE-GL '!D23</f>
        <v>310319</v>
      </c>
      <c r="G23" s="38">
        <f>'WE-GL '!E23</f>
        <v>818000.8820000001</v>
      </c>
      <c r="H23" s="60">
        <f t="shared" si="2"/>
        <v>36631</v>
      </c>
      <c r="I23" s="38">
        <f t="shared" si="2"/>
        <v>192548.8820000001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-45461309</v>
      </c>
      <c r="E24" s="39">
        <f t="shared" si="3"/>
        <v>-116031921</v>
      </c>
      <c r="F24" s="61">
        <f t="shared" si="3"/>
        <v>-45435028</v>
      </c>
      <c r="G24" s="39">
        <f t="shared" si="3"/>
        <v>-116006541.068</v>
      </c>
      <c r="H24" s="61">
        <f t="shared" si="3"/>
        <v>26281</v>
      </c>
      <c r="I24" s="39">
        <f t="shared" si="3"/>
        <v>25379.932000003639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1135500</v>
      </c>
      <c r="G27" s="38">
        <f>'WE-GL '!E27</f>
        <v>3090021.15</v>
      </c>
      <c r="H27" s="60">
        <f>F27-D27</f>
        <v>1135500</v>
      </c>
      <c r="I27" s="38">
        <f>G27-E27</f>
        <v>3090021.15</v>
      </c>
    </row>
    <row r="28" spans="1:9" x14ac:dyDescent="0.25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-15000</v>
      </c>
      <c r="G28" s="38">
        <f>'WE-GL '!E28</f>
        <v>-36625</v>
      </c>
      <c r="H28" s="60">
        <f>F28-D28</f>
        <v>-15000</v>
      </c>
      <c r="I28" s="38">
        <f>G28-E28</f>
        <v>-36625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1120500</v>
      </c>
      <c r="G29" s="70">
        <f t="shared" si="4"/>
        <v>3053396.15</v>
      </c>
      <c r="H29" s="69">
        <f t="shared" si="4"/>
        <v>1120500</v>
      </c>
      <c r="I29" s="70">
        <f t="shared" si="4"/>
        <v>3053396.15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'WE-FLSH'!L32</f>
        <v>-17540</v>
      </c>
      <c r="E32" s="66">
        <f>'WE-FLSH'!M32</f>
        <v>-105055</v>
      </c>
      <c r="F32" s="60">
        <f>'WE-GL '!D32</f>
        <v>-60812</v>
      </c>
      <c r="G32" s="38">
        <f>'WE-GL '!E32</f>
        <v>-160300.10600000003</v>
      </c>
      <c r="H32" s="60">
        <f>F32-D32</f>
        <v>-43272</v>
      </c>
      <c r="I32" s="38">
        <f>G32-E32</f>
        <v>-55245.106000000029</v>
      </c>
    </row>
    <row r="33" spans="1:9" x14ac:dyDescent="0.25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-21</v>
      </c>
      <c r="G33" s="38">
        <f>'WE-GL '!E33</f>
        <v>-51.49</v>
      </c>
      <c r="H33" s="60">
        <f t="shared" ref="H33:I35" si="5">F33-D33</f>
        <v>-21</v>
      </c>
      <c r="I33" s="38">
        <f t="shared" si="5"/>
        <v>-51.49</v>
      </c>
    </row>
    <row r="34" spans="1:9" x14ac:dyDescent="0.25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10415</v>
      </c>
      <c r="G34" s="38">
        <f>'WE-GL '!E34</f>
        <v>27495.599999999999</v>
      </c>
      <c r="H34" s="60">
        <f t="shared" si="5"/>
        <v>10415</v>
      </c>
      <c r="I34" s="38">
        <f t="shared" si="5"/>
        <v>27495.599999999999</v>
      </c>
    </row>
    <row r="35" spans="1:9" x14ac:dyDescent="0.25">
      <c r="A35" s="9">
        <v>16</v>
      </c>
      <c r="B35" s="7"/>
      <c r="C35" s="18" t="s">
        <v>42</v>
      </c>
      <c r="D35" s="65">
        <f>'WE-FLSH'!L35</f>
        <v>313858</v>
      </c>
      <c r="E35" s="66">
        <f>'WE-FLSH'!M35</f>
        <v>924854</v>
      </c>
      <c r="F35" s="60">
        <f>'WE-GL '!D35</f>
        <v>-28723</v>
      </c>
      <c r="G35" s="38">
        <f>'WE-GL '!E35</f>
        <v>-6253.070000000007</v>
      </c>
      <c r="H35" s="60">
        <f t="shared" si="5"/>
        <v>-342581</v>
      </c>
      <c r="I35" s="38">
        <f t="shared" si="5"/>
        <v>-931107.07000000007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296318</v>
      </c>
      <c r="E36" s="39">
        <f t="shared" si="6"/>
        <v>819799</v>
      </c>
      <c r="F36" s="61">
        <f t="shared" si="6"/>
        <v>-79141</v>
      </c>
      <c r="G36" s="39">
        <f t="shared" si="6"/>
        <v>-139109.06600000002</v>
      </c>
      <c r="H36" s="61">
        <f t="shared" si="6"/>
        <v>-375459</v>
      </c>
      <c r="I36" s="39">
        <f t="shared" si="6"/>
        <v>-958908.06600000011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'WE-FLSH'!L39</f>
        <v>27687</v>
      </c>
      <c r="E39" s="66">
        <f>'WE-FLSH'!M39</f>
        <v>60954</v>
      </c>
      <c r="F39" s="60">
        <f>'WE-GL '!D39</f>
        <v>322383</v>
      </c>
      <c r="G39" s="38">
        <f>'WE-GL '!E39</f>
        <v>-46782.370000000155</v>
      </c>
      <c r="H39" s="60">
        <f t="shared" ref="H39:I41" si="7">F39-D39</f>
        <v>294696</v>
      </c>
      <c r="I39" s="38">
        <f t="shared" si="7"/>
        <v>-107736.37000000016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'WE-FLSH'!L40</f>
        <v>-40151</v>
      </c>
      <c r="E40" s="66">
        <f>'WE-FLSH'!M40</f>
        <v>-94691</v>
      </c>
      <c r="F40" s="60">
        <f>'WE-GL '!D40</f>
        <v>-12464</v>
      </c>
      <c r="G40" s="38">
        <f>'WE-GL '!E40</f>
        <v>-27919.360000000001</v>
      </c>
      <c r="H40" s="60">
        <f t="shared" si="7"/>
        <v>27687</v>
      </c>
      <c r="I40" s="38">
        <f t="shared" si="7"/>
        <v>66771.64</v>
      </c>
    </row>
    <row r="41" spans="1:9" x14ac:dyDescent="0.25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1">
        <f t="shared" ref="D42:I42" si="8">SUM(D40:D41)</f>
        <v>-40151</v>
      </c>
      <c r="E42" s="39">
        <f t="shared" si="8"/>
        <v>-94691</v>
      </c>
      <c r="F42" s="61">
        <f t="shared" si="8"/>
        <v>-12464</v>
      </c>
      <c r="G42" s="39">
        <f t="shared" si="8"/>
        <v>-27919.360000000001</v>
      </c>
      <c r="H42" s="61">
        <f t="shared" si="8"/>
        <v>27687</v>
      </c>
      <c r="I42" s="39">
        <f t="shared" si="8"/>
        <v>66771.64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-12464</v>
      </c>
      <c r="E43" s="39">
        <f t="shared" si="9"/>
        <v>-33737</v>
      </c>
      <c r="F43" s="61">
        <f t="shared" si="9"/>
        <v>309919</v>
      </c>
      <c r="G43" s="39">
        <f t="shared" si="9"/>
        <v>-74701.730000000156</v>
      </c>
      <c r="H43" s="61">
        <f t="shared" si="9"/>
        <v>322383</v>
      </c>
      <c r="I43" s="39">
        <f t="shared" si="9"/>
        <v>-40964.730000000156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'WE-FLSH'!L49</f>
        <v>-1660</v>
      </c>
      <c r="E49" s="66">
        <f>'WE-FLSH'!M49</f>
        <v>-4375.3585052358821</v>
      </c>
      <c r="F49" s="60">
        <f>'WE-GL '!D49</f>
        <v>-101007</v>
      </c>
      <c r="G49" s="38">
        <f>'WE-GL '!E49</f>
        <v>-266254.45000000036</v>
      </c>
      <c r="H49" s="60">
        <f>F49-D49</f>
        <v>-99347</v>
      </c>
      <c r="I49" s="38">
        <f>G49-E49</f>
        <v>-261879.09149476449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'WE-FLSH'!L51</f>
        <v>-273688</v>
      </c>
      <c r="E51" s="66">
        <f>'WE-FLSH'!M51</f>
        <v>-625452</v>
      </c>
      <c r="F51" s="60">
        <f>'WE-GL '!D51</f>
        <v>-310319</v>
      </c>
      <c r="G51" s="38">
        <f>'WE-GL '!E51</f>
        <v>-818000.8820000001</v>
      </c>
      <c r="H51" s="60">
        <f>F51-D51</f>
        <v>-36631</v>
      </c>
      <c r="I51" s="38">
        <f>G51-E51</f>
        <v>-192548.8820000001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-284126.77</v>
      </c>
      <c r="F54" s="60">
        <f>'WE-GL '!D54</f>
        <v>-21334254</v>
      </c>
      <c r="G54" s="38">
        <f>'WE-GL '!E54</f>
        <v>-209258.54400000005</v>
      </c>
      <c r="H54" s="60">
        <f>F54-D54</f>
        <v>-21334254</v>
      </c>
      <c r="I54" s="38">
        <f>G54-E54</f>
        <v>74868.225999999966</v>
      </c>
    </row>
    <row r="55" spans="1:9" x14ac:dyDescent="0.25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-1289909.17</v>
      </c>
      <c r="F55" s="60">
        <f>'WE-GL '!D55</f>
        <v>0</v>
      </c>
      <c r="G55" s="38">
        <f>'WE-GL '!E55</f>
        <v>-1884397.9600000004</v>
      </c>
      <c r="H55" s="60">
        <f>F55-D55</f>
        <v>0</v>
      </c>
      <c r="I55" s="38">
        <f>G55-E55</f>
        <v>-594488.7900000005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-1574035.94</v>
      </c>
      <c r="F56" s="61">
        <f t="shared" si="10"/>
        <v>-21334254</v>
      </c>
      <c r="G56" s="39">
        <f t="shared" si="10"/>
        <v>-2093656.5040000004</v>
      </c>
      <c r="H56" s="61">
        <f t="shared" si="10"/>
        <v>-21334254</v>
      </c>
      <c r="I56" s="39">
        <f t="shared" si="10"/>
        <v>-519620.56400000054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2316418.4004000002</v>
      </c>
      <c r="F70" s="60">
        <f>'WE-GL '!D70</f>
        <v>0</v>
      </c>
      <c r="G70" s="38">
        <f>'WE-GL '!E70</f>
        <v>2316418.4</v>
      </c>
      <c r="H70" s="60">
        <f>F70-D70</f>
        <v>0</v>
      </c>
      <c r="I70" s="38">
        <f>G70-E70</f>
        <v>-4.0000025182962418E-4</v>
      </c>
    </row>
    <row r="71" spans="1:9" x14ac:dyDescent="0.25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-1281047</v>
      </c>
      <c r="F71" s="60">
        <f>'WE-GL '!D71</f>
        <v>0</v>
      </c>
      <c r="G71" s="38">
        <f>'WE-GL '!E71</f>
        <v>-1281047.17</v>
      </c>
      <c r="H71" s="60">
        <f>F71-D71</f>
        <v>0</v>
      </c>
      <c r="I71" s="38">
        <f>G71-E71</f>
        <v>-0.16999999992549419</v>
      </c>
    </row>
    <row r="72" spans="1:9" x14ac:dyDescent="0.25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1035371.4004000002</v>
      </c>
      <c r="F72" s="61">
        <f t="shared" si="13"/>
        <v>0</v>
      </c>
      <c r="G72" s="39">
        <f t="shared" si="13"/>
        <v>1035371.23</v>
      </c>
      <c r="H72" s="61">
        <f t="shared" si="13"/>
        <v>0</v>
      </c>
      <c r="I72" s="39">
        <f t="shared" si="13"/>
        <v>-0.17040000017732382</v>
      </c>
    </row>
    <row r="73" spans="1:9" x14ac:dyDescent="0.25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158710</v>
      </c>
      <c r="F74" s="60">
        <f>'WE-GL '!D74</f>
        <v>0</v>
      </c>
      <c r="G74" s="38">
        <f>'WE-GL '!E74</f>
        <v>351430</v>
      </c>
      <c r="H74" s="60">
        <f t="shared" ref="H74:I79" si="14">F74-D74</f>
        <v>0</v>
      </c>
      <c r="I74" s="38">
        <f t="shared" si="14"/>
        <v>192720</v>
      </c>
    </row>
    <row r="75" spans="1:9" x14ac:dyDescent="0.25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13464</v>
      </c>
      <c r="F75" s="60">
        <f>'WE-GL '!D75</f>
        <v>0</v>
      </c>
      <c r="G75" s="38">
        <f>'WE-GL '!E75</f>
        <v>13500</v>
      </c>
      <c r="H75" s="60">
        <f t="shared" si="14"/>
        <v>0</v>
      </c>
      <c r="I75" s="38">
        <f t="shared" si="14"/>
        <v>36</v>
      </c>
    </row>
    <row r="76" spans="1:9" x14ac:dyDescent="0.25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-10883</v>
      </c>
      <c r="F76" s="60">
        <f>'WE-GL '!D76</f>
        <v>0</v>
      </c>
      <c r="G76" s="38">
        <f>'WE-GL '!E76</f>
        <v>-11861.84</v>
      </c>
      <c r="H76" s="60">
        <f t="shared" si="14"/>
        <v>0</v>
      </c>
      <c r="I76" s="38">
        <f t="shared" si="14"/>
        <v>-978.84000000000015</v>
      </c>
    </row>
    <row r="77" spans="1:9" x14ac:dyDescent="0.25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225847</v>
      </c>
      <c r="F81" s="60">
        <f>'WE-GL '!D81</f>
        <v>0</v>
      </c>
      <c r="G81" s="38">
        <f>'WE-GL '!E81</f>
        <v>58384.86</v>
      </c>
      <c r="H81" s="60">
        <f>F81-D81</f>
        <v>0</v>
      </c>
      <c r="I81" s="38">
        <f>G81-E81</f>
        <v>-167462.14000000001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1638153.1018947619</v>
      </c>
      <c r="F82" s="109">
        <f>F16+F24+F29+F36+F43+F45+F47+F49</f>
        <v>0</v>
      </c>
      <c r="G82" s="110">
        <f>SUM(G72:G81)+G16+G24+G29+G36+G43+G45+G47+G49+G51+G56+G61+G66</f>
        <v>1459337.129999988</v>
      </c>
      <c r="H82" s="109">
        <f>H16+H24+H29+H36+H43+H45+H47+H49</f>
        <v>0</v>
      </c>
      <c r="I82" s="110">
        <f>SUM(I72:I81)+I16+I24+I29+I36+I43+I45+I47+I49+I51+I56+I61+I66</f>
        <v>-178815.97189476405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8" activePane="bottomRight" state="frozen"/>
      <selection activeCell="H22" sqref="H22"/>
      <selection pane="topRight" activeCell="H22" sqref="H22"/>
      <selection pane="bottomLeft" activeCell="H22" sqref="H22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-32894</v>
      </c>
      <c r="H12" s="60">
        <f>F12-D12</f>
        <v>0</v>
      </c>
      <c r="I12" s="38">
        <f>G12-E12</f>
        <v>-32894</v>
      </c>
    </row>
    <row r="13" spans="1:22" x14ac:dyDescent="0.25">
      <c r="A13" s="9">
        <v>3</v>
      </c>
      <c r="B13" s="7"/>
      <c r="C13" s="18" t="s">
        <v>201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-2504847</v>
      </c>
      <c r="H13" s="60">
        <f t="shared" ref="H13:I15" si="0">F13-D13</f>
        <v>0</v>
      </c>
      <c r="I13" s="38">
        <f t="shared" si="0"/>
        <v>-2504847</v>
      </c>
    </row>
    <row r="14" spans="1:22" x14ac:dyDescent="0.25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-2537741</v>
      </c>
      <c r="H16" s="61">
        <f t="shared" si="1"/>
        <v>0</v>
      </c>
      <c r="I16" s="39">
        <f t="shared" si="1"/>
        <v>-2537741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30605</v>
      </c>
      <c r="H41" s="60">
        <f t="shared" si="7"/>
        <v>0</v>
      </c>
      <c r="I41" s="38">
        <f t="shared" si="7"/>
        <v>30605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30605</v>
      </c>
      <c r="H42" s="69">
        <f t="shared" si="8"/>
        <v>0</v>
      </c>
      <c r="I42" s="70">
        <f t="shared" si="8"/>
        <v>30605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30605</v>
      </c>
      <c r="H43" s="61">
        <f t="shared" si="9"/>
        <v>0</v>
      </c>
      <c r="I43" s="39">
        <f t="shared" si="9"/>
        <v>30605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-92352</v>
      </c>
      <c r="H51" s="60">
        <f>F51-D51</f>
        <v>0</v>
      </c>
      <c r="I51" s="38">
        <f>G51-E51</f>
        <v>-92352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9573645</v>
      </c>
      <c r="H70" s="60">
        <f>F70-D70</f>
        <v>0</v>
      </c>
      <c r="I70" s="38">
        <f>G70-E70</f>
        <v>9573645</v>
      </c>
    </row>
    <row r="71" spans="1:9" x14ac:dyDescent="0.25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9573645</v>
      </c>
      <c r="H72" s="69">
        <f t="shared" si="13"/>
        <v>0</v>
      </c>
      <c r="I72" s="70">
        <f t="shared" si="13"/>
        <v>9573645</v>
      </c>
    </row>
    <row r="73" spans="1:9" x14ac:dyDescent="0.25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-4817775</v>
      </c>
      <c r="H74" s="60">
        <f t="shared" ref="H74:I79" si="14">F74-D74</f>
        <v>0</v>
      </c>
      <c r="I74" s="38">
        <f t="shared" si="14"/>
        <v>-4817775</v>
      </c>
    </row>
    <row r="75" spans="1:9" x14ac:dyDescent="0.25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-345</v>
      </c>
      <c r="H76" s="60">
        <f t="shared" si="14"/>
        <v>0</v>
      </c>
      <c r="I76" s="38">
        <f t="shared" si="14"/>
        <v>-345</v>
      </c>
    </row>
    <row r="77" spans="1:9" x14ac:dyDescent="0.25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5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2172000</v>
      </c>
      <c r="F81" s="60">
        <f>STG_GL!D81</f>
        <v>0</v>
      </c>
      <c r="G81" s="38">
        <f>STG_GL!E81</f>
        <v>-99344</v>
      </c>
      <c r="H81" s="60">
        <f>F81-D81</f>
        <v>0</v>
      </c>
      <c r="I81" s="38">
        <f>G81-E81</f>
        <v>-2271344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2172000</v>
      </c>
      <c r="F82" s="109">
        <f>F16+F24+F29+F36+F43+F45+F47+F49</f>
        <v>0</v>
      </c>
      <c r="G82" s="110">
        <f>SUM(G72:G81)+G16+G24+G29+G36+G43+G45+G47+G49+G51+G56+G61+G66</f>
        <v>1803372</v>
      </c>
      <c r="H82" s="109">
        <f>H16+H24+H29+H36+H43+H45+H47+H49</f>
        <v>0</v>
      </c>
      <c r="I82" s="110">
        <f>SUM(I72:I81)+I16+I24+I29+I36+I43+I45+I47+I49+I51+I56+I61+I66</f>
        <v>-368628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5" activePane="bottomRight" state="frozen"/>
      <selection activeCell="H22" sqref="H22"/>
      <selection pane="topRight" activeCell="H22" sqref="H22"/>
      <selection pane="bottomLeft" activeCell="H22" sqref="H22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ONT_FLSH!L11</f>
        <v>15784027</v>
      </c>
      <c r="E11" s="66">
        <f>ONT_FLSH!M11</f>
        <v>46298293</v>
      </c>
      <c r="F11" s="60">
        <f>'ONT_GL '!D11</f>
        <v>17715983</v>
      </c>
      <c r="G11" s="38">
        <f>'ONT_GL '!E11</f>
        <v>51728523.260000005</v>
      </c>
      <c r="H11" s="60">
        <f>F11-D11</f>
        <v>1931956</v>
      </c>
      <c r="I11" s="38">
        <f>G11-E11</f>
        <v>5430230.2600000054</v>
      </c>
    </row>
    <row r="12" spans="1:22" x14ac:dyDescent="0.25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364671.51</v>
      </c>
      <c r="H12" s="60">
        <f>F12-D12</f>
        <v>0</v>
      </c>
      <c r="I12" s="38">
        <f>G12-E12</f>
        <v>364671.51</v>
      </c>
    </row>
    <row r="13" spans="1:22" x14ac:dyDescent="0.25">
      <c r="A13" s="9">
        <v>3</v>
      </c>
      <c r="B13" s="7"/>
      <c r="C13" s="18" t="s">
        <v>27</v>
      </c>
      <c r="D13" s="65">
        <f>ONT_FLSH!L13</f>
        <v>4750308</v>
      </c>
      <c r="E13" s="66">
        <f>ONT_FLSH!M13</f>
        <v>13933581</v>
      </c>
      <c r="F13" s="60">
        <f>'ONT_GL '!D13</f>
        <v>2819328</v>
      </c>
      <c r="G13" s="38">
        <f>'ONT_GL '!E13</f>
        <v>8206805</v>
      </c>
      <c r="H13" s="60">
        <f t="shared" ref="H13:I15" si="0">F13-D13</f>
        <v>-1930980</v>
      </c>
      <c r="I13" s="38">
        <f t="shared" si="0"/>
        <v>-5726776</v>
      </c>
    </row>
    <row r="14" spans="1:22" x14ac:dyDescent="0.25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-23437.5</v>
      </c>
      <c r="H15" s="60">
        <f t="shared" si="0"/>
        <v>0</v>
      </c>
      <c r="I15" s="38">
        <f t="shared" si="0"/>
        <v>-23437.5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20534335</v>
      </c>
      <c r="E16" s="39">
        <f t="shared" si="1"/>
        <v>60231874</v>
      </c>
      <c r="F16" s="61">
        <f t="shared" si="1"/>
        <v>20535311</v>
      </c>
      <c r="G16" s="39">
        <f t="shared" si="1"/>
        <v>60276562.270000003</v>
      </c>
      <c r="H16" s="61">
        <f t="shared" si="1"/>
        <v>976</v>
      </c>
      <c r="I16" s="39">
        <f t="shared" si="1"/>
        <v>44688.270000005141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ONT_FLSH!L19</f>
        <v>-15913928</v>
      </c>
      <c r="E19" s="66">
        <f>ONT_FLSH!M19</f>
        <v>-46630843</v>
      </c>
      <c r="F19" s="60">
        <f>'ONT_GL '!D19</f>
        <v>-19199582</v>
      </c>
      <c r="G19" s="38">
        <f>'ONT_GL '!E19</f>
        <v>-56025576.869999997</v>
      </c>
      <c r="H19" s="60">
        <f>F19-D19</f>
        <v>-3285654</v>
      </c>
      <c r="I19" s="38">
        <f>G19-E19</f>
        <v>-9394733.8699999973</v>
      </c>
    </row>
    <row r="20" spans="1:9" x14ac:dyDescent="0.25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-530722.32000000007</v>
      </c>
      <c r="H20" s="60">
        <f>F20-D20</f>
        <v>0</v>
      </c>
      <c r="I20" s="38">
        <f>G20-E20</f>
        <v>-530722.32000000007</v>
      </c>
    </row>
    <row r="21" spans="1:9" x14ac:dyDescent="0.25">
      <c r="A21" s="9">
        <v>8</v>
      </c>
      <c r="B21" s="7"/>
      <c r="C21" s="18" t="s">
        <v>27</v>
      </c>
      <c r="D21" s="65">
        <f>ONT_FLSH!L21</f>
        <v>-4617010</v>
      </c>
      <c r="E21" s="66">
        <f>ONT_FLSH!M21</f>
        <v>-13548941</v>
      </c>
      <c r="F21" s="60">
        <f>'ONT_GL '!D21</f>
        <v>-826927</v>
      </c>
      <c r="G21" s="38">
        <f>'ONT_GL '!E21</f>
        <v>-2312686</v>
      </c>
      <c r="H21" s="60">
        <f t="shared" ref="H21:I23" si="2">F21-D21</f>
        <v>3790083</v>
      </c>
      <c r="I21" s="38">
        <f t="shared" si="2"/>
        <v>11236255</v>
      </c>
    </row>
    <row r="22" spans="1:9" x14ac:dyDescent="0.25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-20530938</v>
      </c>
      <c r="E24" s="39">
        <f t="shared" si="3"/>
        <v>-60179784</v>
      </c>
      <c r="F24" s="61">
        <f t="shared" si="3"/>
        <v>-20026509</v>
      </c>
      <c r="G24" s="39">
        <f t="shared" si="3"/>
        <v>-58868985.189999998</v>
      </c>
      <c r="H24" s="61">
        <f t="shared" si="3"/>
        <v>504429</v>
      </c>
      <c r="I24" s="39">
        <f t="shared" si="3"/>
        <v>1310798.8100000024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-64078</v>
      </c>
      <c r="G32" s="38">
        <f>'ONT_GL '!E32</f>
        <v>-165962.25</v>
      </c>
      <c r="H32" s="60">
        <f>F32-D32</f>
        <v>-64078</v>
      </c>
      <c r="I32" s="38">
        <f>G32-E32</f>
        <v>-165962.25</v>
      </c>
    </row>
    <row r="33" spans="1:9" x14ac:dyDescent="0.25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-500000</v>
      </c>
      <c r="G35" s="38">
        <f>'ONT_GL '!E35</f>
        <v>-1335000</v>
      </c>
      <c r="H35" s="60">
        <f t="shared" si="5"/>
        <v>-500000</v>
      </c>
      <c r="I35" s="38">
        <f t="shared" si="5"/>
        <v>-1335000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-564078</v>
      </c>
      <c r="G36" s="39">
        <f t="shared" si="6"/>
        <v>-1500962.25</v>
      </c>
      <c r="H36" s="61">
        <f t="shared" si="6"/>
        <v>-564078</v>
      </c>
      <c r="I36" s="39">
        <f t="shared" si="6"/>
        <v>-1500962.25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ONT_FLSH!L49</f>
        <v>-3397</v>
      </c>
      <c r="E49" s="66">
        <f>ONT_FLSH!M49</f>
        <v>-8798.23</v>
      </c>
      <c r="F49" s="60">
        <f>'ONT_GL '!D49</f>
        <v>55276</v>
      </c>
      <c r="G49" s="38">
        <f>'ONT_GL '!E49</f>
        <v>143164.38000000082</v>
      </c>
      <c r="H49" s="60">
        <f>F49-D49</f>
        <v>58673</v>
      </c>
      <c r="I49" s="38">
        <f>G49-E49</f>
        <v>151962.61000000083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-55215</v>
      </c>
      <c r="H54" s="60">
        <f>F54-D54</f>
        <v>0</v>
      </c>
      <c r="I54" s="38">
        <f>G54-E54</f>
        <v>-55215</v>
      </c>
    </row>
    <row r="55" spans="1:9" x14ac:dyDescent="0.25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-55215</v>
      </c>
      <c r="H56" s="61">
        <f t="shared" si="10"/>
        <v>0</v>
      </c>
      <c r="I56" s="39">
        <f t="shared" si="10"/>
        <v>-55215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-756466.47710170969</v>
      </c>
      <c r="F70" s="60">
        <f>'ONT_GL '!D70</f>
        <v>0</v>
      </c>
      <c r="G70" s="38">
        <f>'ONT_GL '!E70</f>
        <v>-756466.48</v>
      </c>
      <c r="H70" s="60">
        <f>F70-D70</f>
        <v>0</v>
      </c>
      <c r="I70" s="38">
        <f>G70-E70</f>
        <v>-2.8982902877032757E-3</v>
      </c>
    </row>
    <row r="71" spans="1:9" x14ac:dyDescent="0.25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1320182.0900000001</v>
      </c>
      <c r="F71" s="60">
        <f>'ONT_GL '!D71</f>
        <v>0</v>
      </c>
      <c r="G71" s="38">
        <f>'ONT_GL '!E71</f>
        <v>1320182.57</v>
      </c>
      <c r="H71" s="60">
        <f>F71-D71</f>
        <v>0</v>
      </c>
      <c r="I71" s="38">
        <f>G71-E71</f>
        <v>0.47999999998137355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563715.61289829039</v>
      </c>
      <c r="F72" s="69">
        <f t="shared" si="13"/>
        <v>0</v>
      </c>
      <c r="G72" s="70">
        <f t="shared" si="13"/>
        <v>563716.09000000008</v>
      </c>
      <c r="H72" s="69">
        <f t="shared" si="13"/>
        <v>0</v>
      </c>
      <c r="I72" s="70">
        <f t="shared" si="13"/>
        <v>0.47710170969367027</v>
      </c>
    </row>
    <row r="73" spans="1:9" x14ac:dyDescent="0.25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-315848</v>
      </c>
      <c r="F74" s="60">
        <f>'ONT_GL '!D74</f>
        <v>0</v>
      </c>
      <c r="G74" s="38">
        <f>'ONT_GL '!E74</f>
        <v>-961615.66000000015</v>
      </c>
      <c r="H74" s="60">
        <f t="shared" ref="H74:I79" si="14">F74-D74</f>
        <v>0</v>
      </c>
      <c r="I74" s="38">
        <f t="shared" si="14"/>
        <v>-645767.66000000015</v>
      </c>
    </row>
    <row r="75" spans="1:9" x14ac:dyDescent="0.25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-32</v>
      </c>
      <c r="F76" s="60">
        <f>'ONT_GL '!D76</f>
        <v>0</v>
      </c>
      <c r="G76" s="38">
        <f>'ONT_GL '!E76</f>
        <v>340</v>
      </c>
      <c r="H76" s="60">
        <f t="shared" si="14"/>
        <v>0</v>
      </c>
      <c r="I76" s="38">
        <f t="shared" si="14"/>
        <v>372</v>
      </c>
    </row>
    <row r="77" spans="1:9" x14ac:dyDescent="0.25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3290</v>
      </c>
      <c r="F81" s="60">
        <f>'ONT_GL '!D81</f>
        <v>0</v>
      </c>
      <c r="G81" s="38">
        <f>'ONT_GL '!E81</f>
        <v>-340</v>
      </c>
      <c r="H81" s="60">
        <f>F81-D81</f>
        <v>0</v>
      </c>
      <c r="I81" s="38">
        <f>G81-E81</f>
        <v>-3630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294417.38289829018</v>
      </c>
      <c r="F82" s="109">
        <f>F16+F24+F29+F36+F43+F45+F47+F49</f>
        <v>0</v>
      </c>
      <c r="G82" s="110">
        <f>SUM(G72:G81)+G16+G24+G29+G36+G43+G45+G47+G49+G51+G56+G61+G66</f>
        <v>-403335.35999999382</v>
      </c>
      <c r="H82" s="109">
        <f>H16+H24+H29+H36+H43+H45+H47+H49</f>
        <v>0</v>
      </c>
      <c r="I82" s="110">
        <f>SUM(I72:I81)+I16+I24+I29+I36+I43+I45+I47+I49+I51+I56+I61+I66</f>
        <v>-697752.74289828213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6"/>
      <c r="B86" s="3"/>
      <c r="C86" s="10" t="s">
        <v>167</v>
      </c>
      <c r="D86" s="167">
        <f>ONT_FLSH!L86</f>
        <v>0</v>
      </c>
      <c r="E86" s="167">
        <f>ONT_FLSH!M86</f>
        <v>796865</v>
      </c>
      <c r="F86" s="167">
        <f>'ONT_GL '!D86</f>
        <v>0</v>
      </c>
      <c r="G86" s="167">
        <f>'ONT_GL '!E86</f>
        <v>1337301.46</v>
      </c>
      <c r="H86" s="167">
        <f t="shared" ref="H86:I88" si="15">F86-D86</f>
        <v>0</v>
      </c>
      <c r="I86" s="167">
        <f t="shared" si="15"/>
        <v>540436.46</v>
      </c>
    </row>
    <row r="87" spans="1:63" x14ac:dyDescent="0.25">
      <c r="A87" s="166"/>
      <c r="B87" s="3"/>
      <c r="C87" s="10" t="s">
        <v>71</v>
      </c>
      <c r="D87" s="168">
        <f>ONT_FLSH!L87</f>
        <v>0</v>
      </c>
      <c r="E87" s="168">
        <f>ONT_FLSH!M87</f>
        <v>0</v>
      </c>
      <c r="F87" s="168">
        <f>'ONT_GL '!D87</f>
        <v>0</v>
      </c>
      <c r="G87" s="168">
        <f>'ONT_GL '!E87</f>
        <v>-520266</v>
      </c>
      <c r="H87" s="168">
        <f t="shared" si="15"/>
        <v>0</v>
      </c>
      <c r="I87" s="168">
        <f t="shared" si="15"/>
        <v>-520266</v>
      </c>
    </row>
    <row r="88" spans="1:63" x14ac:dyDescent="0.25">
      <c r="A88" s="166"/>
      <c r="B88" s="3"/>
      <c r="C88" s="10" t="s">
        <v>72</v>
      </c>
      <c r="D88" s="169">
        <f>ONT_FLSH!L88</f>
        <v>0</v>
      </c>
      <c r="E88" s="169">
        <f>ONT_FLSH!M88</f>
        <v>0</v>
      </c>
      <c r="F88" s="169">
        <f>'ONT_GL '!D88</f>
        <v>0</v>
      </c>
      <c r="G88" s="169">
        <f>'ONT_GL '!E88</f>
        <v>-20170</v>
      </c>
      <c r="H88" s="169">
        <f t="shared" si="15"/>
        <v>0</v>
      </c>
      <c r="I88" s="169">
        <f t="shared" si="15"/>
        <v>-20170</v>
      </c>
    </row>
    <row r="89" spans="1:63" s="141" customFormat="1" x14ac:dyDescent="0.25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796865</v>
      </c>
      <c r="F89" s="182">
        <f t="shared" si="16"/>
        <v>0</v>
      </c>
      <c r="G89" s="182">
        <f t="shared" si="16"/>
        <v>796865.46</v>
      </c>
      <c r="H89" s="182">
        <f t="shared" si="16"/>
        <v>0</v>
      </c>
      <c r="I89" s="182">
        <f t="shared" si="16"/>
        <v>0.4599999999627471</v>
      </c>
    </row>
    <row r="90" spans="1:63" s="141" customFormat="1" x14ac:dyDescent="0.25">
      <c r="A90" s="184"/>
      <c r="B90" s="181"/>
      <c r="D90" s="185"/>
      <c r="E90" s="185"/>
      <c r="F90" s="185"/>
      <c r="G90" s="185"/>
      <c r="H90" s="185"/>
      <c r="I90" s="185"/>
    </row>
    <row r="91" spans="1:63" s="141" customFormat="1" x14ac:dyDescent="0.25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1091282.3828982902</v>
      </c>
      <c r="F91" s="182">
        <f t="shared" si="17"/>
        <v>0</v>
      </c>
      <c r="G91" s="182">
        <f t="shared" si="17"/>
        <v>393530.10000000615</v>
      </c>
      <c r="H91" s="182">
        <f t="shared" si="17"/>
        <v>0</v>
      </c>
      <c r="I91" s="182">
        <f t="shared" si="17"/>
        <v>-697752.28289828217</v>
      </c>
    </row>
    <row r="92" spans="1:63" s="141" customFormat="1" x14ac:dyDescent="0.25">
      <c r="A92" s="184"/>
      <c r="B92" s="181"/>
      <c r="D92" s="185"/>
      <c r="E92" s="185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BUG_FLSH!D11</f>
        <v>6413468</v>
      </c>
      <c r="E11" s="66">
        <f>BUG_FLSH!E11</f>
        <v>17728256</v>
      </c>
      <c r="F11" s="60">
        <f>BUG_GL!D11</f>
        <v>6366410</v>
      </c>
      <c r="G11" s="38">
        <f>BUG_GL!E11</f>
        <v>21435251</v>
      </c>
      <c r="H11" s="60">
        <f>F11-D11</f>
        <v>-47058</v>
      </c>
      <c r="I11" s="38">
        <f>G11-E11</f>
        <v>3706995</v>
      </c>
    </row>
    <row r="12" spans="1:22" x14ac:dyDescent="0.25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BUG_FLSH!D13</f>
        <v>14467229</v>
      </c>
      <c r="E13" s="66">
        <f>BUG_FLSH!E13</f>
        <v>41012395</v>
      </c>
      <c r="F13" s="60">
        <f>BUG_GL!D13</f>
        <v>14467229</v>
      </c>
      <c r="G13" s="38">
        <f>BUG_GL!E13</f>
        <v>41012395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10335461</v>
      </c>
      <c r="H15" s="60">
        <f t="shared" si="0"/>
        <v>0</v>
      </c>
      <c r="I15" s="38">
        <f t="shared" si="0"/>
        <v>10335461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20880697</v>
      </c>
      <c r="E16" s="39">
        <f t="shared" si="1"/>
        <v>58740651</v>
      </c>
      <c r="F16" s="61">
        <f t="shared" si="1"/>
        <v>20833639</v>
      </c>
      <c r="G16" s="39">
        <f t="shared" si="1"/>
        <v>72783107</v>
      </c>
      <c r="H16" s="61">
        <f t="shared" si="1"/>
        <v>-47058</v>
      </c>
      <c r="I16" s="39">
        <f t="shared" si="1"/>
        <v>14042456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BUG_FLSH!D19</f>
        <v>-6492723</v>
      </c>
      <c r="E19" s="66">
        <f>BUG_FLSH!E19</f>
        <v>-17543348</v>
      </c>
      <c r="F19" s="60">
        <f>BUG_GL!D19</f>
        <v>-6491207</v>
      </c>
      <c r="G19" s="38">
        <f>BUG_GL!E19</f>
        <v>-32356699.449999999</v>
      </c>
      <c r="H19" s="60">
        <f>F19-D19</f>
        <v>1516</v>
      </c>
      <c r="I19" s="38">
        <f>G19-E19</f>
        <v>-14813351.449999999</v>
      </c>
    </row>
    <row r="20" spans="1:9" x14ac:dyDescent="0.25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11877735</v>
      </c>
      <c r="H20" s="60">
        <f>F20-D20</f>
        <v>0</v>
      </c>
      <c r="I20" s="38">
        <f>G20-E20</f>
        <v>11877735</v>
      </c>
    </row>
    <row r="21" spans="1:9" x14ac:dyDescent="0.25">
      <c r="A21" s="9">
        <v>8</v>
      </c>
      <c r="B21" s="7"/>
      <c r="C21" s="18" t="s">
        <v>27</v>
      </c>
      <c r="D21" s="65">
        <f>BUG_FLSH!D21</f>
        <v>-16876830</v>
      </c>
      <c r="E21" s="66">
        <f>BUG_FLSH!E21</f>
        <v>-47287506</v>
      </c>
      <c r="F21" s="60">
        <f>BUG_GL!D21</f>
        <v>-16876830</v>
      </c>
      <c r="G21" s="38">
        <f>BUG_GL!E21</f>
        <v>-47287506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BUG_FLSH!D23</f>
        <v>352755</v>
      </c>
      <c r="E23" s="66">
        <f>BUG_FLSH!E23</f>
        <v>893648</v>
      </c>
      <c r="F23" s="60">
        <f>BUG_GL!D23</f>
        <v>352755</v>
      </c>
      <c r="G23" s="38">
        <f>BUG_GL!E23</f>
        <v>0</v>
      </c>
      <c r="H23" s="60">
        <f t="shared" si="2"/>
        <v>0</v>
      </c>
      <c r="I23" s="38">
        <f t="shared" si="2"/>
        <v>-893648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-23016798</v>
      </c>
      <c r="E24" s="39">
        <f t="shared" si="3"/>
        <v>-63937206</v>
      </c>
      <c r="F24" s="61">
        <f t="shared" si="3"/>
        <v>-23015282</v>
      </c>
      <c r="G24" s="39">
        <f t="shared" si="3"/>
        <v>-67766470.450000003</v>
      </c>
      <c r="H24" s="61">
        <f t="shared" si="3"/>
        <v>1516</v>
      </c>
      <c r="I24" s="39">
        <f t="shared" si="3"/>
        <v>-3829264.4499999993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BUG_FLSH!D35</f>
        <v>19999</v>
      </c>
      <c r="E35" s="66">
        <f>BUG_FLSH!E35</f>
        <v>17</v>
      </c>
      <c r="F35" s="60">
        <f>BUG_GL!D35</f>
        <v>20000</v>
      </c>
      <c r="G35" s="38">
        <f>BUG_GL!E35</f>
        <v>0</v>
      </c>
      <c r="H35" s="60">
        <f t="shared" si="5"/>
        <v>1</v>
      </c>
      <c r="I35" s="38">
        <f t="shared" si="5"/>
        <v>-17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19999</v>
      </c>
      <c r="E36" s="39">
        <f t="shared" si="6"/>
        <v>17</v>
      </c>
      <c r="F36" s="61">
        <f t="shared" si="6"/>
        <v>20000</v>
      </c>
      <c r="G36" s="39">
        <f t="shared" si="6"/>
        <v>0</v>
      </c>
      <c r="H36" s="61">
        <f t="shared" si="6"/>
        <v>1</v>
      </c>
      <c r="I36" s="39">
        <f t="shared" si="6"/>
        <v>-17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BUG_FLSH!D39</f>
        <v>2250548</v>
      </c>
      <c r="E39" s="66">
        <f>BUG_FLSH!E39</f>
        <v>7215304</v>
      </c>
      <c r="F39" s="60">
        <f>BUG_GL!D39</f>
        <v>2171212</v>
      </c>
      <c r="G39" s="38">
        <f>BUG_GL!E39</f>
        <v>6967631.7200000007</v>
      </c>
      <c r="H39" s="60">
        <f t="shared" ref="H39:I41" si="7">F39-D39</f>
        <v>-79336</v>
      </c>
      <c r="I39" s="38">
        <f t="shared" si="7"/>
        <v>-247672.27999999933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BUG_FLSH!D40</f>
        <v>-96462</v>
      </c>
      <c r="E40" s="66">
        <f>BUG_FLSH!E40</f>
        <v>-302891</v>
      </c>
      <c r="F40" s="60">
        <f>BUG_GL!D40</f>
        <v>0</v>
      </c>
      <c r="G40" s="38">
        <f>BUG_GL!E40</f>
        <v>0</v>
      </c>
      <c r="H40" s="60">
        <f t="shared" si="7"/>
        <v>96462</v>
      </c>
      <c r="I40" s="38">
        <f t="shared" si="7"/>
        <v>302891</v>
      </c>
    </row>
    <row r="41" spans="1:9" x14ac:dyDescent="0.25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-96462</v>
      </c>
      <c r="E42" s="70">
        <f t="shared" si="8"/>
        <v>-302891</v>
      </c>
      <c r="F42" s="69">
        <f t="shared" si="8"/>
        <v>0</v>
      </c>
      <c r="G42" s="70">
        <f t="shared" si="8"/>
        <v>0</v>
      </c>
      <c r="H42" s="69">
        <f t="shared" si="8"/>
        <v>96462</v>
      </c>
      <c r="I42" s="70">
        <f t="shared" si="8"/>
        <v>302891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2154086</v>
      </c>
      <c r="E43" s="39">
        <f t="shared" si="9"/>
        <v>6912413</v>
      </c>
      <c r="F43" s="61">
        <f t="shared" si="9"/>
        <v>2171212</v>
      </c>
      <c r="G43" s="39">
        <f t="shared" si="9"/>
        <v>6967631.7200000007</v>
      </c>
      <c r="H43" s="61">
        <f t="shared" si="9"/>
        <v>17126</v>
      </c>
      <c r="I43" s="39">
        <f t="shared" si="9"/>
        <v>55218.720000000671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BUG_FLSH!D45</f>
        <v>16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-16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BUG_FLSH!D49</f>
        <v>-37984</v>
      </c>
      <c r="E49" s="66">
        <f>BUG_FLSH!E49</f>
        <v>-110077.632</v>
      </c>
      <c r="F49" s="60">
        <f>BUG_GL!D49</f>
        <v>-9569</v>
      </c>
      <c r="G49" s="38">
        <f>BUG_GL!E49</f>
        <v>-27731.032000000123</v>
      </c>
      <c r="H49" s="60">
        <f>F49-D49</f>
        <v>28415</v>
      </c>
      <c r="I49" s="38">
        <f>G49-E49</f>
        <v>82346.599999999875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BUG_FLSH!D51</f>
        <v>-352755</v>
      </c>
      <c r="E51" s="66">
        <f>BUG_FLSH!E51</f>
        <v>-893648</v>
      </c>
      <c r="F51" s="60">
        <f>BUG_GL!D51</f>
        <v>0</v>
      </c>
      <c r="G51" s="38">
        <f>BUG_GL!E51</f>
        <v>0</v>
      </c>
      <c r="H51" s="60">
        <f>F51-D51</f>
        <v>352755</v>
      </c>
      <c r="I51" s="38">
        <f>G51-E51</f>
        <v>893648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-407340</v>
      </c>
      <c r="F54" s="60">
        <f>BUG_GL!D54</f>
        <v>-14807944</v>
      </c>
      <c r="G54" s="38">
        <f>BUG_GL!E54</f>
        <v>-3037763.5300000003</v>
      </c>
      <c r="H54" s="60">
        <f>F54-D54</f>
        <v>-14807944</v>
      </c>
      <c r="I54" s="38">
        <f>G54-E54</f>
        <v>-2630423.5300000003</v>
      </c>
    </row>
    <row r="55" spans="1:9" x14ac:dyDescent="0.25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234620</v>
      </c>
      <c r="F55" s="60">
        <f>BUG_GL!D55</f>
        <v>0</v>
      </c>
      <c r="G55" s="38">
        <f>BUG_GL!E55</f>
        <v>-7431241.6299999999</v>
      </c>
      <c r="H55" s="60">
        <f>F55-D55</f>
        <v>0</v>
      </c>
      <c r="I55" s="38">
        <f>G55-E55</f>
        <v>-7665861.6299999999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-172720</v>
      </c>
      <c r="F56" s="61">
        <f t="shared" si="10"/>
        <v>-14807944</v>
      </c>
      <c r="G56" s="39">
        <f t="shared" si="10"/>
        <v>-10469005.16</v>
      </c>
      <c r="H56" s="61">
        <f t="shared" si="10"/>
        <v>-14807944</v>
      </c>
      <c r="I56" s="39">
        <f t="shared" si="10"/>
        <v>-10296285.16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6989410.2769007981</v>
      </c>
      <c r="F70" s="60">
        <f>BUG_GL!D70</f>
        <v>0</v>
      </c>
      <c r="G70" s="38">
        <f>BUG_GL!E70</f>
        <v>6989410.2800000003</v>
      </c>
      <c r="H70" s="60">
        <f>F70-D70</f>
        <v>0</v>
      </c>
      <c r="I70" s="38">
        <f>G70-E70</f>
        <v>3.0992021784186363E-3</v>
      </c>
    </row>
    <row r="71" spans="1:9" x14ac:dyDescent="0.25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-7418547</v>
      </c>
      <c r="F71" s="60">
        <f>BUG_GL!D71</f>
        <v>0</v>
      </c>
      <c r="G71" s="38">
        <f>BUG_GL!E71</f>
        <v>-7418547.2599999998</v>
      </c>
      <c r="H71" s="60">
        <f>F71-D71</f>
        <v>0</v>
      </c>
      <c r="I71" s="38">
        <f>G71-E71</f>
        <v>-0.25999999977648258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-429136.72309920192</v>
      </c>
      <c r="F72" s="69">
        <f t="shared" si="13"/>
        <v>0</v>
      </c>
      <c r="G72" s="70">
        <f t="shared" si="13"/>
        <v>-429136.97999999952</v>
      </c>
      <c r="H72" s="69">
        <f t="shared" si="13"/>
        <v>0</v>
      </c>
      <c r="I72" s="70">
        <f t="shared" si="13"/>
        <v>-0.25690079759806395</v>
      </c>
    </row>
    <row r="73" spans="1:9" x14ac:dyDescent="0.25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-595946</v>
      </c>
      <c r="F74" s="60">
        <f>BUG_GL!D74</f>
        <v>0</v>
      </c>
      <c r="G74" s="38">
        <f>BUG_GL!E74</f>
        <v>-595659</v>
      </c>
      <c r="H74" s="60">
        <f t="shared" ref="H74:I79" si="14">F74-D74</f>
        <v>0</v>
      </c>
      <c r="I74" s="38">
        <f t="shared" si="14"/>
        <v>287</v>
      </c>
    </row>
    <row r="75" spans="1:9" x14ac:dyDescent="0.25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12068</v>
      </c>
      <c r="F75" s="60">
        <f>BUG_GL!D75</f>
        <v>0</v>
      </c>
      <c r="G75" s="38">
        <f>BUG_GL!E75</f>
        <v>12300</v>
      </c>
      <c r="H75" s="60">
        <f t="shared" si="14"/>
        <v>0</v>
      </c>
      <c r="I75" s="38">
        <f t="shared" si="14"/>
        <v>232</v>
      </c>
    </row>
    <row r="76" spans="1:9" x14ac:dyDescent="0.25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280471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-280471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-193114.3550992019</v>
      </c>
      <c r="F82" s="109">
        <f>F16+F24+F29+F36+F43+F45+F47+F49</f>
        <v>0</v>
      </c>
      <c r="G82" s="110">
        <f>SUM(G72:G81)+G16+G24+G29+G36+G43+G45+G47+G49+G51+G56+G61+G66</f>
        <v>475036.09799999371</v>
      </c>
      <c r="H82" s="109">
        <f>H16+H24+H29+H36+H43+H45+H47+H49</f>
        <v>-16</v>
      </c>
      <c r="I82" s="110">
        <f>SUM(I72:I81)+I16+I24+I29+I36+I43+I45+I47+I49+I51+I56+I61+I66</f>
        <v>668150.45309920236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5"/>
  <sheetViews>
    <sheetView workbookViewId="0">
      <pane xSplit="4" ySplit="3" topLeftCell="Y634" activePane="bottomRight" state="frozen"/>
      <selection pane="topRight" activeCell="E1" sqref="E1"/>
      <selection pane="bottomLeft" activeCell="A4" sqref="A4"/>
      <selection pane="bottomRight" activeCell="AE649" sqref="AE649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1" customWidth="1"/>
    <col min="8" max="8" width="12.33203125" customWidth="1"/>
    <col min="9" max="9" width="11.6640625" style="121" customWidth="1"/>
    <col min="10" max="10" width="11.33203125" customWidth="1"/>
    <col min="11" max="11" width="10.6640625" customWidth="1"/>
    <col min="12" max="13" width="11.6640625" customWidth="1"/>
    <col min="14" max="14" width="12.44140625" customWidth="1"/>
    <col min="16" max="16" width="12.33203125" customWidth="1"/>
    <col min="17" max="17" width="12.5546875" customWidth="1"/>
    <col min="19" max="19" width="11.6640625" customWidth="1"/>
    <col min="23" max="23" width="10.109375" customWidth="1"/>
  </cols>
  <sheetData>
    <row r="1" spans="1:118" ht="28.5" customHeight="1" x14ac:dyDescent="0.25">
      <c r="E1" s="220">
        <v>36404</v>
      </c>
      <c r="F1" s="220"/>
      <c r="G1" s="221">
        <f>+E1+31</f>
        <v>36435</v>
      </c>
      <c r="H1" s="221"/>
      <c r="I1" s="221">
        <f>+G1+30</f>
        <v>36465</v>
      </c>
      <c r="J1" s="221"/>
      <c r="K1" s="215">
        <f>+I1+31</f>
        <v>36496</v>
      </c>
      <c r="L1" s="215"/>
      <c r="M1" s="215">
        <f>+K1+31</f>
        <v>36527</v>
      </c>
      <c r="N1" s="215"/>
      <c r="O1" s="215">
        <f>+M1+30</f>
        <v>36557</v>
      </c>
      <c r="P1" s="215"/>
      <c r="Q1" s="215">
        <f>+O1+31</f>
        <v>36588</v>
      </c>
      <c r="R1" s="215"/>
      <c r="S1" s="215">
        <f>+Q1+31</f>
        <v>36619</v>
      </c>
      <c r="T1" s="215"/>
      <c r="U1" s="215">
        <f>+S1+31</f>
        <v>36650</v>
      </c>
      <c r="V1" s="215"/>
      <c r="W1" s="215">
        <f>+U1+31</f>
        <v>36681</v>
      </c>
      <c r="X1" s="215"/>
      <c r="Y1" s="215">
        <f>+W1+31</f>
        <v>36712</v>
      </c>
      <c r="Z1" s="215"/>
      <c r="AA1" s="215">
        <f>+Y1+31</f>
        <v>36743</v>
      </c>
      <c r="AB1" s="215"/>
      <c r="AC1" s="215">
        <f>+AA1+31</f>
        <v>36774</v>
      </c>
      <c r="AD1" s="215"/>
      <c r="AE1" s="215">
        <f>+AC1+31</f>
        <v>36805</v>
      </c>
      <c r="AF1" s="215"/>
      <c r="AG1" s="215"/>
      <c r="AH1" s="215"/>
    </row>
    <row r="2" spans="1:118" x14ac:dyDescent="0.25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21" t="s">
        <v>120</v>
      </c>
    </row>
    <row r="3" spans="1:118" s="115" customFormat="1" x14ac:dyDescent="0.25">
      <c r="A3" s="113" t="s">
        <v>121</v>
      </c>
      <c r="B3" s="113" t="s">
        <v>115</v>
      </c>
      <c r="C3" s="113" t="s">
        <v>116</v>
      </c>
      <c r="D3" s="113" t="s">
        <v>117</v>
      </c>
      <c r="E3" s="114" t="s">
        <v>194</v>
      </c>
      <c r="F3" s="115" t="s">
        <v>195</v>
      </c>
      <c r="G3" s="162" t="s">
        <v>194</v>
      </c>
      <c r="H3" s="115" t="s">
        <v>195</v>
      </c>
      <c r="I3" s="162" t="s">
        <v>194</v>
      </c>
      <c r="J3" s="115" t="s">
        <v>195</v>
      </c>
      <c r="K3" s="114" t="s">
        <v>194</v>
      </c>
      <c r="L3" s="115" t="s">
        <v>195</v>
      </c>
      <c r="M3" s="114" t="s">
        <v>194</v>
      </c>
      <c r="N3" s="115" t="s">
        <v>195</v>
      </c>
      <c r="O3" s="114" t="s">
        <v>194</v>
      </c>
      <c r="P3" s="115" t="s">
        <v>195</v>
      </c>
      <c r="Q3" s="114" t="s">
        <v>194</v>
      </c>
      <c r="R3" s="115" t="s">
        <v>195</v>
      </c>
      <c r="S3" s="114" t="s">
        <v>194</v>
      </c>
      <c r="T3" s="115" t="s">
        <v>195</v>
      </c>
      <c r="U3" s="114" t="s">
        <v>194</v>
      </c>
      <c r="V3" s="115" t="s">
        <v>195</v>
      </c>
      <c r="W3" s="114" t="s">
        <v>194</v>
      </c>
      <c r="X3" s="115" t="s">
        <v>195</v>
      </c>
      <c r="Y3" s="114" t="s">
        <v>122</v>
      </c>
      <c r="AA3" s="114" t="s">
        <v>122</v>
      </c>
      <c r="AC3" s="114" t="s">
        <v>122</v>
      </c>
      <c r="AE3" s="114" t="s">
        <v>122</v>
      </c>
    </row>
    <row r="4" spans="1:118" x14ac:dyDescent="0.25">
      <c r="A4" s="116" t="s">
        <v>123</v>
      </c>
      <c r="B4" s="116" t="s">
        <v>124</v>
      </c>
      <c r="C4" s="117">
        <v>1</v>
      </c>
      <c r="D4" s="116" t="s">
        <v>25</v>
      </c>
      <c r="E4" s="118">
        <v>535551</v>
      </c>
      <c r="F4" s="118">
        <v>1205979.98</v>
      </c>
      <c r="G4" s="122">
        <v>1027</v>
      </c>
      <c r="H4" s="119">
        <v>3010.14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0</v>
      </c>
      <c r="W4" s="119">
        <v>0</v>
      </c>
      <c r="X4" s="119">
        <v>0</v>
      </c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5">
      <c r="A5" s="116" t="s">
        <v>123</v>
      </c>
      <c r="B5" s="116" t="s">
        <v>124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5">
      <c r="A6" s="116" t="s">
        <v>123</v>
      </c>
      <c r="B6" s="116" t="s">
        <v>124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5">
      <c r="A7" s="116" t="s">
        <v>123</v>
      </c>
      <c r="B7" s="116" t="s">
        <v>124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5">
      <c r="A8" s="116" t="s">
        <v>123</v>
      </c>
      <c r="B8" s="116" t="s">
        <v>124</v>
      </c>
      <c r="C8" s="117">
        <v>5</v>
      </c>
      <c r="D8" s="116" t="s">
        <v>125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5">
      <c r="A9" s="116" t="s">
        <v>123</v>
      </c>
      <c r="B9" s="116" t="s">
        <v>124</v>
      </c>
      <c r="C9" s="117">
        <v>6</v>
      </c>
      <c r="D9" s="116" t="s">
        <v>25</v>
      </c>
      <c r="E9" s="118">
        <v>-418748</v>
      </c>
      <c r="F9" s="118">
        <v>-1197609.3</v>
      </c>
      <c r="G9" s="122">
        <v>-1252</v>
      </c>
      <c r="H9" s="119">
        <v>-3590.74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5">
      <c r="A10" s="116" t="s">
        <v>123</v>
      </c>
      <c r="B10" s="116" t="s">
        <v>124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>
        <v>0</v>
      </c>
      <c r="T10" s="119">
        <v>0</v>
      </c>
      <c r="U10" s="119">
        <v>0</v>
      </c>
      <c r="V10" s="119">
        <v>0</v>
      </c>
      <c r="W10" s="119">
        <v>0</v>
      </c>
      <c r="X10" s="119">
        <v>0</v>
      </c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5">
      <c r="A11" s="116" t="s">
        <v>123</v>
      </c>
      <c r="B11" s="116" t="s">
        <v>124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>
        <v>0</v>
      </c>
      <c r="T11" s="119">
        <v>0</v>
      </c>
      <c r="U11" s="119">
        <v>0</v>
      </c>
      <c r="V11" s="119">
        <v>0</v>
      </c>
      <c r="W11" s="119">
        <v>0</v>
      </c>
      <c r="X11" s="119">
        <v>0</v>
      </c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5">
      <c r="A12" s="116" t="s">
        <v>123</v>
      </c>
      <c r="B12" s="116" t="s">
        <v>124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>
        <v>0</v>
      </c>
      <c r="T12" s="119">
        <v>0</v>
      </c>
      <c r="U12" s="119">
        <v>0</v>
      </c>
      <c r="V12" s="119">
        <v>0</v>
      </c>
      <c r="W12" s="119">
        <v>0</v>
      </c>
      <c r="X12" s="119">
        <v>0</v>
      </c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5">
      <c r="A13" s="116" t="s">
        <v>123</v>
      </c>
      <c r="B13" s="116" t="s">
        <v>124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119">
        <v>0</v>
      </c>
      <c r="U13" s="119">
        <v>0</v>
      </c>
      <c r="V13" s="119">
        <v>0</v>
      </c>
      <c r="W13" s="119">
        <v>0</v>
      </c>
      <c r="X13" s="119">
        <v>0</v>
      </c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5">
      <c r="A14" s="116" t="s">
        <v>123</v>
      </c>
      <c r="B14" s="116" t="s">
        <v>124</v>
      </c>
      <c r="C14" s="117">
        <v>11</v>
      </c>
      <c r="D14" s="116" t="s">
        <v>35</v>
      </c>
      <c r="E14" s="118">
        <v>0</v>
      </c>
      <c r="F14" s="118">
        <v>0</v>
      </c>
      <c r="G14" s="122">
        <v>892</v>
      </c>
      <c r="H14" s="119">
        <v>2595.7199999999998</v>
      </c>
      <c r="I14" s="122">
        <v>0</v>
      </c>
      <c r="J14" s="119">
        <v>0</v>
      </c>
      <c r="K14" s="119">
        <v>0</v>
      </c>
      <c r="L14" s="119">
        <v>1556188.19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0</v>
      </c>
      <c r="T14" s="119">
        <v>0</v>
      </c>
      <c r="U14" s="119">
        <v>0</v>
      </c>
      <c r="V14" s="119">
        <v>0</v>
      </c>
      <c r="W14" s="119">
        <v>0</v>
      </c>
      <c r="X14" s="119">
        <v>0</v>
      </c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5">
      <c r="A15" s="116" t="s">
        <v>123</v>
      </c>
      <c r="B15" s="116" t="s">
        <v>124</v>
      </c>
      <c r="C15" s="117">
        <v>12</v>
      </c>
      <c r="D15" s="116" t="s">
        <v>36</v>
      </c>
      <c r="E15" s="118">
        <v>-116803</v>
      </c>
      <c r="F15" s="118">
        <v>-339068.34</v>
      </c>
      <c r="G15" s="122">
        <v>-667</v>
      </c>
      <c r="H15" s="119">
        <v>-2167.16</v>
      </c>
      <c r="I15" s="122">
        <v>0</v>
      </c>
      <c r="J15" s="119">
        <v>0</v>
      </c>
      <c r="K15" s="119">
        <v>0</v>
      </c>
      <c r="L15" s="119">
        <v>-1556188.19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>
        <v>0</v>
      </c>
      <c r="V15" s="119">
        <v>0</v>
      </c>
      <c r="W15" s="119">
        <v>0</v>
      </c>
      <c r="X15" s="119">
        <v>0</v>
      </c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5">
      <c r="A16" s="116" t="s">
        <v>123</v>
      </c>
      <c r="B16" s="116" t="s">
        <v>124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19">
        <v>0</v>
      </c>
      <c r="X16" s="119">
        <v>0</v>
      </c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5">
      <c r="A17" s="116" t="s">
        <v>123</v>
      </c>
      <c r="B17" s="116" t="s">
        <v>124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>
        <v>0</v>
      </c>
      <c r="T17" s="119">
        <v>0</v>
      </c>
      <c r="U17" s="119">
        <v>0</v>
      </c>
      <c r="V17" s="119">
        <v>0</v>
      </c>
      <c r="W17" s="119">
        <v>0</v>
      </c>
      <c r="X17" s="119">
        <v>0</v>
      </c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5">
      <c r="A18" s="116" t="s">
        <v>123</v>
      </c>
      <c r="B18" s="116" t="s">
        <v>124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>
        <v>0</v>
      </c>
      <c r="T18" s="119">
        <v>0</v>
      </c>
      <c r="U18" s="119">
        <v>0</v>
      </c>
      <c r="V18" s="119">
        <v>0</v>
      </c>
      <c r="W18" s="119">
        <v>0</v>
      </c>
      <c r="X18" s="119">
        <v>0</v>
      </c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5">
      <c r="A19" s="116" t="s">
        <v>123</v>
      </c>
      <c r="B19" s="116" t="s">
        <v>124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>
        <v>0</v>
      </c>
      <c r="T19" s="119">
        <v>0</v>
      </c>
      <c r="U19" s="119">
        <v>0</v>
      </c>
      <c r="V19" s="119">
        <v>0</v>
      </c>
      <c r="W19" s="119">
        <v>0</v>
      </c>
      <c r="X19" s="119">
        <v>0</v>
      </c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5">
      <c r="A20" s="116" t="s">
        <v>123</v>
      </c>
      <c r="B20" s="116" t="s">
        <v>124</v>
      </c>
      <c r="C20" s="117">
        <v>17</v>
      </c>
      <c r="D20" s="116" t="s">
        <v>126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19">
        <v>0</v>
      </c>
      <c r="X20" s="119">
        <v>0</v>
      </c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5">
      <c r="A21" s="116" t="s">
        <v>123</v>
      </c>
      <c r="B21" s="116" t="s">
        <v>124</v>
      </c>
      <c r="C21" s="117">
        <v>18</v>
      </c>
      <c r="D21" s="116" t="s">
        <v>127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>
        <v>0</v>
      </c>
      <c r="V21" s="119">
        <v>0</v>
      </c>
      <c r="W21" s="119">
        <v>0</v>
      </c>
      <c r="X21" s="119">
        <v>0</v>
      </c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5">
      <c r="A22" s="116" t="s">
        <v>123</v>
      </c>
      <c r="B22" s="116" t="s">
        <v>124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>
        <v>0</v>
      </c>
      <c r="T22" s="119">
        <v>0</v>
      </c>
      <c r="U22" s="119">
        <v>0</v>
      </c>
      <c r="V22" s="119">
        <v>0</v>
      </c>
      <c r="W22" s="119">
        <v>0</v>
      </c>
      <c r="X22" s="119">
        <v>0</v>
      </c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5">
      <c r="A23" s="116" t="s">
        <v>123</v>
      </c>
      <c r="B23" s="116" t="s">
        <v>124</v>
      </c>
      <c r="C23" s="117">
        <v>20</v>
      </c>
      <c r="D23" s="116" t="s">
        <v>128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>
        <v>0</v>
      </c>
      <c r="V23" s="119">
        <v>0</v>
      </c>
      <c r="W23" s="119">
        <v>0</v>
      </c>
      <c r="X23" s="119">
        <v>0</v>
      </c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5">
      <c r="A24" s="116" t="s">
        <v>123</v>
      </c>
      <c r="B24" s="116" t="s">
        <v>124</v>
      </c>
      <c r="C24" s="117">
        <v>21</v>
      </c>
      <c r="D24" s="116" t="s">
        <v>129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>
        <v>0</v>
      </c>
      <c r="V24" s="119">
        <v>5416.82</v>
      </c>
      <c r="W24" s="119">
        <v>0</v>
      </c>
      <c r="X24" s="119">
        <v>0</v>
      </c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5">
      <c r="A25" s="116" t="s">
        <v>123</v>
      </c>
      <c r="B25" s="116" t="s">
        <v>124</v>
      </c>
      <c r="C25" s="117">
        <v>22</v>
      </c>
      <c r="D25" s="116" t="s">
        <v>130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>
        <v>0</v>
      </c>
      <c r="T25" s="119">
        <v>0</v>
      </c>
      <c r="U25" s="119">
        <v>0</v>
      </c>
      <c r="V25" s="119">
        <v>0</v>
      </c>
      <c r="W25" s="119">
        <v>0</v>
      </c>
      <c r="X25" s="119">
        <v>0</v>
      </c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5">
      <c r="A26" s="116" t="s">
        <v>123</v>
      </c>
      <c r="B26" s="116" t="s">
        <v>124</v>
      </c>
      <c r="C26" s="117">
        <v>23</v>
      </c>
      <c r="D26" s="116" t="s">
        <v>131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>
        <v>0</v>
      </c>
      <c r="T26" s="119">
        <v>0</v>
      </c>
      <c r="U26" s="119">
        <v>0</v>
      </c>
      <c r="V26" s="119">
        <v>0</v>
      </c>
      <c r="W26" s="119">
        <v>0</v>
      </c>
      <c r="X26" s="119">
        <v>0</v>
      </c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5">
      <c r="A27" s="116" t="s">
        <v>123</v>
      </c>
      <c r="B27" s="116" t="s">
        <v>124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>
        <v>0</v>
      </c>
      <c r="V27" s="119">
        <v>0</v>
      </c>
      <c r="W27" s="119">
        <v>0</v>
      </c>
      <c r="X27" s="119">
        <v>0</v>
      </c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5">
      <c r="A28" s="116" t="s">
        <v>123</v>
      </c>
      <c r="B28" s="116" t="s">
        <v>124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W28" s="119">
        <v>0</v>
      </c>
      <c r="X28" s="119">
        <v>0</v>
      </c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5">
      <c r="A29" s="116" t="s">
        <v>123</v>
      </c>
      <c r="B29" s="116" t="s">
        <v>124</v>
      </c>
      <c r="C29" s="117">
        <v>26</v>
      </c>
      <c r="D29" s="116" t="s">
        <v>132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>
        <v>0</v>
      </c>
      <c r="X29" s="119">
        <v>0</v>
      </c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5">
      <c r="A30" s="116" t="s">
        <v>123</v>
      </c>
      <c r="B30" s="116" t="s">
        <v>124</v>
      </c>
      <c r="C30" s="117">
        <v>27</v>
      </c>
      <c r="D30" s="116" t="s">
        <v>133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>
        <v>0</v>
      </c>
      <c r="V30" s="119">
        <v>0</v>
      </c>
      <c r="W30" s="119">
        <v>0</v>
      </c>
      <c r="X30" s="119">
        <v>0</v>
      </c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5">
      <c r="A31" s="116" t="s">
        <v>123</v>
      </c>
      <c r="B31" s="116" t="s">
        <v>124</v>
      </c>
      <c r="C31" s="117">
        <v>28</v>
      </c>
      <c r="D31" s="116" t="s">
        <v>134</v>
      </c>
      <c r="E31" s="118">
        <v>-1152</v>
      </c>
      <c r="F31" s="118">
        <v>-53.64</v>
      </c>
      <c r="G31" s="122">
        <v>-67</v>
      </c>
      <c r="H31" s="119">
        <v>-4.6399999999999997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>
        <v>0</v>
      </c>
      <c r="V31" s="119">
        <v>0</v>
      </c>
      <c r="W31" s="119">
        <v>0</v>
      </c>
      <c r="X31" s="119">
        <v>0</v>
      </c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5">
      <c r="A32" s="116" t="s">
        <v>123</v>
      </c>
      <c r="B32" s="116" t="s">
        <v>124</v>
      </c>
      <c r="C32" s="117">
        <v>29</v>
      </c>
      <c r="D32" s="116" t="s">
        <v>135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>
        <v>0</v>
      </c>
      <c r="V32" s="119">
        <v>0</v>
      </c>
      <c r="W32" s="119">
        <v>0</v>
      </c>
      <c r="X32" s="119">
        <v>0</v>
      </c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5">
      <c r="A33" s="116" t="s">
        <v>123</v>
      </c>
      <c r="B33" s="116" t="s">
        <v>124</v>
      </c>
      <c r="C33" s="117">
        <v>30</v>
      </c>
      <c r="D33" s="116" t="s">
        <v>136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>
        <v>0</v>
      </c>
      <c r="V33" s="119">
        <v>0</v>
      </c>
      <c r="W33" s="119">
        <v>0</v>
      </c>
      <c r="X33" s="119">
        <v>0</v>
      </c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5">
      <c r="A34" s="116" t="s">
        <v>123</v>
      </c>
      <c r="B34" s="116" t="s">
        <v>124</v>
      </c>
      <c r="C34" s="117">
        <v>31</v>
      </c>
      <c r="D34" s="116" t="s">
        <v>137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>
        <v>0</v>
      </c>
      <c r="V34" s="119">
        <v>0</v>
      </c>
      <c r="W34" s="119">
        <v>0</v>
      </c>
      <c r="X34" s="119">
        <v>0</v>
      </c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5">
      <c r="A35" s="116" t="s">
        <v>123</v>
      </c>
      <c r="B35" s="116" t="s">
        <v>124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>
        <v>0</v>
      </c>
      <c r="V35" s="119">
        <v>0</v>
      </c>
      <c r="W35" s="119">
        <v>0</v>
      </c>
      <c r="X35" s="119">
        <v>0</v>
      </c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5">
      <c r="A36" s="116" t="s">
        <v>123</v>
      </c>
      <c r="B36" s="116" t="s">
        <v>124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>
        <v>0</v>
      </c>
      <c r="T36" s="119">
        <v>0</v>
      </c>
      <c r="U36" s="119">
        <v>0</v>
      </c>
      <c r="V36" s="119">
        <v>0</v>
      </c>
      <c r="W36" s="119">
        <v>0</v>
      </c>
      <c r="X36" s="119">
        <v>0</v>
      </c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5">
      <c r="A37" s="116" t="s">
        <v>123</v>
      </c>
      <c r="B37" s="116" t="s">
        <v>124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>
        <v>0</v>
      </c>
      <c r="V37" s="119">
        <v>0</v>
      </c>
      <c r="W37" s="119">
        <v>0</v>
      </c>
      <c r="X37" s="119">
        <v>0</v>
      </c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5">
      <c r="A38" s="116" t="s">
        <v>123</v>
      </c>
      <c r="B38" s="116" t="s">
        <v>124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>
        <v>0</v>
      </c>
      <c r="V38" s="119">
        <v>0</v>
      </c>
      <c r="W38" s="119">
        <v>0</v>
      </c>
      <c r="X38" s="119">
        <v>0</v>
      </c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5">
      <c r="A39" s="116" t="s">
        <v>123</v>
      </c>
      <c r="B39" s="116" t="s">
        <v>124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>
        <v>0</v>
      </c>
      <c r="T39" s="119">
        <v>0</v>
      </c>
      <c r="U39" s="119">
        <v>0</v>
      </c>
      <c r="V39" s="119">
        <v>0</v>
      </c>
      <c r="W39" s="119">
        <v>0</v>
      </c>
      <c r="X39" s="119">
        <v>0</v>
      </c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5">
      <c r="A40" s="116" t="s">
        <v>123</v>
      </c>
      <c r="B40" s="116" t="s">
        <v>124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>
        <v>0</v>
      </c>
      <c r="V40" s="119">
        <v>0</v>
      </c>
      <c r="W40" s="119">
        <v>0</v>
      </c>
      <c r="X40" s="119">
        <v>0</v>
      </c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5">
      <c r="A41" s="116" t="s">
        <v>123</v>
      </c>
      <c r="B41" s="116" t="s">
        <v>124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>
        <v>0</v>
      </c>
      <c r="V41" s="119">
        <v>0</v>
      </c>
      <c r="W41" s="119">
        <v>0</v>
      </c>
      <c r="X41" s="119">
        <v>0</v>
      </c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5">
      <c r="A42" s="116" t="s">
        <v>123</v>
      </c>
      <c r="B42" s="116" t="s">
        <v>124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>
        <v>0</v>
      </c>
      <c r="X42" s="119">
        <v>0</v>
      </c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5">
      <c r="A43" s="116" t="s">
        <v>123</v>
      </c>
      <c r="B43" s="116" t="s">
        <v>124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>
        <v>0</v>
      </c>
      <c r="V43" s="119">
        <v>0</v>
      </c>
      <c r="W43" s="119">
        <v>0</v>
      </c>
      <c r="X43" s="119">
        <v>0</v>
      </c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5">
      <c r="A44" t="s">
        <v>138</v>
      </c>
      <c r="B44" t="s">
        <v>139</v>
      </c>
      <c r="C44">
        <v>1</v>
      </c>
      <c r="D44" t="s">
        <v>25</v>
      </c>
      <c r="E44" s="14">
        <v>7046833</v>
      </c>
      <c r="F44" s="14">
        <v>19883932.260000002</v>
      </c>
      <c r="G44" s="122">
        <v>108821</v>
      </c>
      <c r="H44" s="119">
        <v>337137.36</v>
      </c>
      <c r="I44" s="122">
        <v>0</v>
      </c>
      <c r="J44" s="119">
        <v>0</v>
      </c>
      <c r="K44" s="119">
        <v>0</v>
      </c>
      <c r="L44" s="119">
        <v>-1960.4</v>
      </c>
      <c r="M44" s="119">
        <v>0</v>
      </c>
      <c r="N44" s="119">
        <v>0</v>
      </c>
      <c r="O44" s="119">
        <v>6000</v>
      </c>
      <c r="P44" s="119">
        <v>15454.8</v>
      </c>
      <c r="Q44" s="119">
        <v>10714</v>
      </c>
      <c r="R44" s="119">
        <v>28070.68</v>
      </c>
      <c r="S44" s="119">
        <v>0</v>
      </c>
      <c r="T44" s="119">
        <v>0</v>
      </c>
      <c r="U44" s="119">
        <v>0</v>
      </c>
      <c r="V44" s="119">
        <v>0</v>
      </c>
      <c r="W44" s="119">
        <v>0</v>
      </c>
      <c r="X44" s="119">
        <v>0</v>
      </c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5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>
        <v>0</v>
      </c>
      <c r="T45" s="119">
        <v>0</v>
      </c>
      <c r="U45" s="119">
        <v>0</v>
      </c>
      <c r="V45" s="119">
        <v>0</v>
      </c>
      <c r="W45" s="119">
        <v>0</v>
      </c>
      <c r="X45" s="119">
        <v>0</v>
      </c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5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>
        <v>0</v>
      </c>
      <c r="X46" s="119">
        <v>0</v>
      </c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5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19">
        <v>0</v>
      </c>
      <c r="X47" s="119">
        <v>0</v>
      </c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5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>
        <v>0</v>
      </c>
      <c r="V48" s="119">
        <v>0</v>
      </c>
      <c r="W48" s="119">
        <v>0</v>
      </c>
      <c r="X48" s="119">
        <v>0</v>
      </c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5">
      <c r="A49" t="s">
        <v>138</v>
      </c>
      <c r="B49" t="s">
        <v>139</v>
      </c>
      <c r="C49">
        <v>6</v>
      </c>
      <c r="D49" t="s">
        <v>25</v>
      </c>
      <c r="E49" s="14">
        <v>-810936</v>
      </c>
      <c r="F49" s="14">
        <v>-2301509.39</v>
      </c>
      <c r="G49" s="122">
        <v>70426</v>
      </c>
      <c r="H49" s="119">
        <v>202035.04</v>
      </c>
      <c r="I49" s="122">
        <v>-45183</v>
      </c>
      <c r="J49" s="119">
        <v>-132147.14000000001</v>
      </c>
      <c r="K49" s="119">
        <v>0</v>
      </c>
      <c r="L49" s="119">
        <v>2591.98</v>
      </c>
      <c r="M49" s="119">
        <v>0</v>
      </c>
      <c r="N49" s="119">
        <v>-441.21</v>
      </c>
      <c r="O49" s="119">
        <v>0</v>
      </c>
      <c r="P49" s="119">
        <v>0</v>
      </c>
      <c r="Q49" s="119">
        <v>0</v>
      </c>
      <c r="R49" s="119">
        <v>0.21</v>
      </c>
      <c r="S49" s="119">
        <v>0</v>
      </c>
      <c r="T49" s="119">
        <v>0</v>
      </c>
      <c r="U49" s="119">
        <v>0</v>
      </c>
      <c r="V49" s="119">
        <v>0</v>
      </c>
      <c r="W49" s="119">
        <v>0</v>
      </c>
      <c r="X49" s="119">
        <v>0</v>
      </c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5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>
        <v>0</v>
      </c>
      <c r="V50" s="119">
        <v>0</v>
      </c>
      <c r="W50" s="119">
        <v>0</v>
      </c>
      <c r="X50" s="119">
        <v>0</v>
      </c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5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5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>
        <v>0</v>
      </c>
      <c r="X52" s="119">
        <v>0</v>
      </c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5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2">
        <v>744</v>
      </c>
      <c r="H53" s="119">
        <v>1941.87</v>
      </c>
      <c r="I53" s="122">
        <v>0</v>
      </c>
      <c r="J53" s="119">
        <v>0</v>
      </c>
      <c r="K53" s="119">
        <v>0</v>
      </c>
      <c r="L53" s="119">
        <v>0</v>
      </c>
      <c r="M53" s="119">
        <v>0</v>
      </c>
      <c r="N53" s="119">
        <v>0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>
        <v>0</v>
      </c>
      <c r="V53" s="119">
        <v>0</v>
      </c>
      <c r="W53" s="119">
        <v>0</v>
      </c>
      <c r="X53" s="119">
        <v>0</v>
      </c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5">
      <c r="A54" t="s">
        <v>138</v>
      </c>
      <c r="B54" t="s">
        <v>139</v>
      </c>
      <c r="C54">
        <v>11</v>
      </c>
      <c r="D54" t="s">
        <v>35</v>
      </c>
      <c r="E54" s="14">
        <v>2593741</v>
      </c>
      <c r="F54" s="14">
        <v>6799293.3400000008</v>
      </c>
      <c r="G54" s="122">
        <v>-529784</v>
      </c>
      <c r="H54" s="119">
        <v>-1495302.7</v>
      </c>
      <c r="I54" s="122">
        <v>0</v>
      </c>
      <c r="J54" s="119">
        <v>0</v>
      </c>
      <c r="K54" s="119">
        <v>201928</v>
      </c>
      <c r="L54" s="119">
        <v>583208.21</v>
      </c>
      <c r="M54" s="119">
        <v>-196160</v>
      </c>
      <c r="N54" s="119">
        <v>-568079.35999999999</v>
      </c>
      <c r="O54" s="119">
        <v>0</v>
      </c>
      <c r="P54" s="119">
        <v>0.21</v>
      </c>
      <c r="Q54" s="119">
        <v>-18</v>
      </c>
      <c r="R54" s="119">
        <v>-51.75</v>
      </c>
      <c r="S54" s="119">
        <v>18</v>
      </c>
      <c r="T54" s="119">
        <v>47.19</v>
      </c>
      <c r="U54" s="119">
        <v>5</v>
      </c>
      <c r="V54" s="119">
        <v>12.63</v>
      </c>
      <c r="W54" s="119">
        <v>0</v>
      </c>
      <c r="X54" s="119">
        <v>0</v>
      </c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5">
      <c r="A55" t="s">
        <v>138</v>
      </c>
      <c r="B55" t="s">
        <v>139</v>
      </c>
      <c r="C55">
        <v>12</v>
      </c>
      <c r="D55" t="s">
        <v>36</v>
      </c>
      <c r="E55" s="14">
        <v>-9047728</v>
      </c>
      <c r="F55" s="14">
        <v>-23276727.110000003</v>
      </c>
      <c r="G55" s="122">
        <v>531926</v>
      </c>
      <c r="H55" s="119">
        <v>1492353.09</v>
      </c>
      <c r="I55" s="122">
        <v>0</v>
      </c>
      <c r="J55" s="119">
        <v>0</v>
      </c>
      <c r="K55" s="119">
        <v>-205757</v>
      </c>
      <c r="L55" s="119">
        <v>-593048.66</v>
      </c>
      <c r="M55" s="119">
        <v>199989</v>
      </c>
      <c r="N55" s="119">
        <v>577919.81000000006</v>
      </c>
      <c r="O55" s="119">
        <v>0</v>
      </c>
      <c r="P55" s="119">
        <v>-0.21</v>
      </c>
      <c r="Q55" s="119">
        <v>-2765</v>
      </c>
      <c r="R55" s="119">
        <v>-7048.98</v>
      </c>
      <c r="S55" s="119">
        <v>0</v>
      </c>
      <c r="T55" s="119">
        <v>0</v>
      </c>
      <c r="U55" s="119">
        <v>2747</v>
      </c>
      <c r="V55" s="119">
        <v>7001.79</v>
      </c>
      <c r="W55" s="119">
        <v>0</v>
      </c>
      <c r="X55" s="119">
        <v>0</v>
      </c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5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2">
        <v>5768</v>
      </c>
      <c r="H56" s="119">
        <v>16715.664000000001</v>
      </c>
      <c r="I56" s="122">
        <v>0</v>
      </c>
      <c r="J56" s="119">
        <v>0</v>
      </c>
      <c r="K56" s="119">
        <v>0</v>
      </c>
      <c r="L56" s="119">
        <v>0</v>
      </c>
      <c r="M56" s="119">
        <v>0</v>
      </c>
      <c r="N56" s="119">
        <v>0</v>
      </c>
      <c r="O56" s="119">
        <v>0</v>
      </c>
      <c r="P56" s="119">
        <v>0</v>
      </c>
      <c r="Q56" s="119">
        <v>-16696</v>
      </c>
      <c r="R56" s="119">
        <v>-48385.008000000002</v>
      </c>
      <c r="S56" s="119">
        <v>0</v>
      </c>
      <c r="T56" s="119">
        <v>0</v>
      </c>
      <c r="U56" s="119">
        <v>0</v>
      </c>
      <c r="V56" s="119">
        <v>0</v>
      </c>
      <c r="W56" s="119">
        <v>-5</v>
      </c>
      <c r="X56" s="119">
        <v>-14.49</v>
      </c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5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>
        <v>0</v>
      </c>
      <c r="V57" s="119">
        <v>0</v>
      </c>
      <c r="W57" s="119">
        <v>0</v>
      </c>
      <c r="X57" s="119">
        <v>0</v>
      </c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5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>
        <v>0</v>
      </c>
      <c r="V58" s="119">
        <v>0</v>
      </c>
      <c r="W58" s="119">
        <v>0</v>
      </c>
      <c r="X58" s="119">
        <v>0</v>
      </c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5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>
        <v>0</v>
      </c>
      <c r="V59" s="119">
        <v>0</v>
      </c>
      <c r="W59" s="119">
        <v>0</v>
      </c>
      <c r="X59" s="119">
        <v>0</v>
      </c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5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2">
        <v>985871</v>
      </c>
      <c r="H60" s="119">
        <v>2859025.9</v>
      </c>
      <c r="I60" s="122">
        <v>-107288</v>
      </c>
      <c r="J60" s="119">
        <v>-311135.2</v>
      </c>
      <c r="K60" s="119">
        <v>-34662</v>
      </c>
      <c r="L60" s="119">
        <v>-100519.8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>
        <v>0</v>
      </c>
      <c r="T60" s="119">
        <v>0</v>
      </c>
      <c r="U60" s="119">
        <v>0</v>
      </c>
      <c r="V60" s="119">
        <v>0</v>
      </c>
      <c r="W60" s="119">
        <v>0</v>
      </c>
      <c r="X60" s="119">
        <v>0</v>
      </c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5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2">
        <v>-938704</v>
      </c>
      <c r="H61" s="119">
        <v>-2722241.6</v>
      </c>
      <c r="I61" s="122">
        <v>80720</v>
      </c>
      <c r="J61" s="119">
        <v>234088</v>
      </c>
      <c r="K61" s="119">
        <v>34662</v>
      </c>
      <c r="L61" s="119">
        <v>100519.8</v>
      </c>
      <c r="M61" s="119">
        <v>0</v>
      </c>
      <c r="N61" s="119">
        <v>0</v>
      </c>
      <c r="O61" s="119">
        <v>0</v>
      </c>
      <c r="P61" s="119">
        <v>0</v>
      </c>
      <c r="Q61" s="119">
        <v>0</v>
      </c>
      <c r="R61" s="119">
        <v>0</v>
      </c>
      <c r="S61" s="119">
        <v>0</v>
      </c>
      <c r="T61" s="119">
        <v>0</v>
      </c>
      <c r="U61" s="119">
        <v>0</v>
      </c>
      <c r="V61" s="119">
        <v>0</v>
      </c>
      <c r="W61" s="119">
        <v>0</v>
      </c>
      <c r="X61" s="119">
        <v>0</v>
      </c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5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>
        <v>0</v>
      </c>
      <c r="V62" s="119">
        <v>0</v>
      </c>
      <c r="W62" s="119">
        <v>0</v>
      </c>
      <c r="X62" s="119">
        <v>0</v>
      </c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5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2">
        <v>3612</v>
      </c>
      <c r="H63" s="119">
        <v>4216.46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0.21</v>
      </c>
      <c r="Q63" s="119">
        <v>0</v>
      </c>
      <c r="R63" s="119">
        <v>0.21</v>
      </c>
      <c r="S63" s="119">
        <v>0</v>
      </c>
      <c r="T63" s="119">
        <v>0</v>
      </c>
      <c r="U63" s="119">
        <v>0</v>
      </c>
      <c r="V63" s="119">
        <v>0</v>
      </c>
      <c r="W63" s="119">
        <v>0</v>
      </c>
      <c r="X63" s="119">
        <v>0</v>
      </c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5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>
        <v>0</v>
      </c>
      <c r="T64" s="119">
        <v>0</v>
      </c>
      <c r="U64" s="119">
        <v>0</v>
      </c>
      <c r="V64" s="119">
        <v>0</v>
      </c>
      <c r="W64" s="119">
        <v>0</v>
      </c>
      <c r="X64" s="119">
        <v>0</v>
      </c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5">
      <c r="A65" t="s">
        <v>138</v>
      </c>
      <c r="B65" t="s">
        <v>139</v>
      </c>
      <c r="C65">
        <v>22</v>
      </c>
      <c r="D65" t="s">
        <v>130</v>
      </c>
      <c r="E65" s="14">
        <v>218090</v>
      </c>
      <c r="F65" s="14">
        <v>632024.81999999995</v>
      </c>
      <c r="G65" s="122">
        <v>-238680</v>
      </c>
      <c r="H65" s="119">
        <v>-691694.64</v>
      </c>
      <c r="I65" s="122">
        <v>71751</v>
      </c>
      <c r="J65" s="119">
        <v>207934.39799999999</v>
      </c>
      <c r="K65" s="119">
        <v>3829</v>
      </c>
      <c r="L65" s="119">
        <v>11096.441999999999</v>
      </c>
      <c r="M65" s="119">
        <v>-3829</v>
      </c>
      <c r="N65" s="119">
        <v>-11096.441999999999</v>
      </c>
      <c r="O65" s="119">
        <v>-6000</v>
      </c>
      <c r="P65" s="119">
        <v>-17388</v>
      </c>
      <c r="Q65" s="119">
        <v>8765</v>
      </c>
      <c r="R65" s="119">
        <v>25400.97</v>
      </c>
      <c r="S65" s="119">
        <v>-18</v>
      </c>
      <c r="T65" s="119">
        <v>-52.164000000000001</v>
      </c>
      <c r="U65" s="119">
        <v>-2752</v>
      </c>
      <c r="V65" s="119">
        <v>-7975.2960000000003</v>
      </c>
      <c r="W65" s="119">
        <v>5</v>
      </c>
      <c r="X65" s="119">
        <v>14.49</v>
      </c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5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2">
        <v>-744</v>
      </c>
      <c r="H66" s="119">
        <v>-1941.87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0</v>
      </c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5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0</v>
      </c>
      <c r="R67" s="119">
        <v>0</v>
      </c>
      <c r="S67" s="119">
        <v>-242324</v>
      </c>
      <c r="T67" s="119">
        <v>-7269.72</v>
      </c>
      <c r="U67" s="119">
        <v>0</v>
      </c>
      <c r="V67" s="119">
        <v>0</v>
      </c>
      <c r="W67" s="119">
        <v>0</v>
      </c>
      <c r="X67" s="119">
        <v>0</v>
      </c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5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0</v>
      </c>
      <c r="V68" s="119">
        <v>0</v>
      </c>
      <c r="W68" s="119">
        <v>0</v>
      </c>
      <c r="X68" s="119">
        <v>0</v>
      </c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5">
      <c r="A69" t="s">
        <v>138</v>
      </c>
      <c r="B69" t="s">
        <v>139</v>
      </c>
      <c r="C69">
        <v>26</v>
      </c>
      <c r="D69" t="s">
        <v>132</v>
      </c>
      <c r="E69" s="14">
        <v>2614991</v>
      </c>
      <c r="F69" s="14">
        <v>62878.33</v>
      </c>
      <c r="G69" s="122">
        <v>-11586</v>
      </c>
      <c r="H69" s="119">
        <v>-12141.85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6000</v>
      </c>
      <c r="P69" s="119">
        <v>0</v>
      </c>
      <c r="Q69" s="119">
        <v>10696</v>
      </c>
      <c r="R69" s="119">
        <v>0</v>
      </c>
      <c r="S69" s="119">
        <v>0</v>
      </c>
      <c r="T69" s="119">
        <v>0</v>
      </c>
      <c r="U69" s="119">
        <v>5</v>
      </c>
      <c r="V69" s="119">
        <v>0</v>
      </c>
      <c r="W69" s="119">
        <v>0</v>
      </c>
      <c r="X69" s="119">
        <v>0</v>
      </c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5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5">
      <c r="A71" t="s">
        <v>138</v>
      </c>
      <c r="B71" t="s">
        <v>139</v>
      </c>
      <c r="C71">
        <v>28</v>
      </c>
      <c r="D71" t="s">
        <v>134</v>
      </c>
      <c r="E71" s="14">
        <v>-11164499</v>
      </c>
      <c r="F71" s="14">
        <v>-2143389.29</v>
      </c>
      <c r="G71" s="122">
        <v>-6728624</v>
      </c>
      <c r="H71" s="119">
        <v>919550.74</v>
      </c>
      <c r="I71" s="122">
        <v>69324</v>
      </c>
      <c r="J71" s="119">
        <v>-1123404.49</v>
      </c>
      <c r="K71" s="119">
        <v>-98080</v>
      </c>
      <c r="L71" s="119">
        <v>-9808.01</v>
      </c>
      <c r="M71" s="119">
        <v>0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>
        <v>0</v>
      </c>
      <c r="V71" s="119">
        <v>0</v>
      </c>
      <c r="W71" s="119">
        <v>0</v>
      </c>
      <c r="X71" s="119">
        <v>0</v>
      </c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5">
      <c r="A72" t="s">
        <v>138</v>
      </c>
      <c r="B72" t="s">
        <v>139</v>
      </c>
      <c r="C72">
        <v>29</v>
      </c>
      <c r="D72" t="s">
        <v>135</v>
      </c>
      <c r="E72" s="14">
        <v>10292693</v>
      </c>
      <c r="F72" s="14">
        <v>1503389.31</v>
      </c>
      <c r="G72" s="122">
        <v>6721847</v>
      </c>
      <c r="H72" s="119">
        <v>-919550.76</v>
      </c>
      <c r="I72" s="122">
        <v>-34662</v>
      </c>
      <c r="J72" s="119">
        <v>1123404.49</v>
      </c>
      <c r="K72" s="119">
        <v>98080</v>
      </c>
      <c r="L72" s="119">
        <v>9808.02</v>
      </c>
      <c r="M72" s="119">
        <v>0</v>
      </c>
      <c r="N72" s="119">
        <v>-0.01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>
        <v>0</v>
      </c>
      <c r="V72" s="119">
        <v>0</v>
      </c>
      <c r="W72" s="119">
        <v>0</v>
      </c>
      <c r="X72" s="119">
        <v>0</v>
      </c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5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>
        <v>0</v>
      </c>
      <c r="V73" s="119">
        <v>0</v>
      </c>
      <c r="W73" s="119">
        <v>0</v>
      </c>
      <c r="X73" s="119">
        <v>0</v>
      </c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5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19">
        <v>0</v>
      </c>
      <c r="X74" s="119">
        <v>0</v>
      </c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5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>
        <v>0</v>
      </c>
      <c r="V75" s="119">
        <v>0</v>
      </c>
      <c r="W75" s="119">
        <v>0</v>
      </c>
      <c r="X75" s="119">
        <v>0</v>
      </c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5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19">
        <v>0</v>
      </c>
      <c r="W76" s="119">
        <v>0</v>
      </c>
      <c r="X76" s="119">
        <v>0</v>
      </c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5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>
        <v>0</v>
      </c>
      <c r="V77" s="119">
        <v>0</v>
      </c>
      <c r="W77" s="119">
        <v>0</v>
      </c>
      <c r="X77" s="119">
        <v>0</v>
      </c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5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>
        <v>0</v>
      </c>
      <c r="V78" s="119">
        <v>0</v>
      </c>
      <c r="W78" s="119">
        <v>0</v>
      </c>
      <c r="X78" s="119">
        <v>0</v>
      </c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5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19">
        <v>0</v>
      </c>
      <c r="X79" s="119">
        <v>0</v>
      </c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5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>
        <v>0</v>
      </c>
      <c r="V80" s="119">
        <v>0</v>
      </c>
      <c r="W80" s="119">
        <v>0</v>
      </c>
      <c r="X80" s="119">
        <v>0</v>
      </c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5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>
        <v>0</v>
      </c>
      <c r="V81" s="119">
        <v>0</v>
      </c>
      <c r="W81" s="119">
        <v>0</v>
      </c>
      <c r="X81" s="119">
        <v>0</v>
      </c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5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>
        <v>0</v>
      </c>
      <c r="V82" s="119">
        <v>0</v>
      </c>
      <c r="W82" s="119">
        <v>0</v>
      </c>
      <c r="X82" s="119">
        <v>0</v>
      </c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5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>
        <v>0</v>
      </c>
      <c r="V83" s="119">
        <v>0</v>
      </c>
      <c r="W83" s="119">
        <v>0</v>
      </c>
      <c r="X83" s="119">
        <v>0</v>
      </c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5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>
        <v>0</v>
      </c>
      <c r="V84" s="119">
        <v>0</v>
      </c>
      <c r="W84" s="119">
        <v>0</v>
      </c>
      <c r="X84" s="119">
        <v>0</v>
      </c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5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19">
        <v>0</v>
      </c>
      <c r="X85" s="119">
        <v>0</v>
      </c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5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19">
        <v>0</v>
      </c>
      <c r="X86" s="119">
        <v>0</v>
      </c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5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>
        <v>0</v>
      </c>
      <c r="V87" s="119">
        <v>0</v>
      </c>
      <c r="W87" s="119">
        <v>0</v>
      </c>
      <c r="X87" s="119">
        <v>0</v>
      </c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5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>
        <v>0</v>
      </c>
      <c r="V88" s="119">
        <v>0</v>
      </c>
      <c r="W88" s="119">
        <v>0</v>
      </c>
      <c r="X88" s="119">
        <v>0</v>
      </c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5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>
        <v>0</v>
      </c>
      <c r="X89" s="119">
        <v>0</v>
      </c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5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19">
        <v>0</v>
      </c>
      <c r="X90" s="119">
        <v>0</v>
      </c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5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19">
        <v>0</v>
      </c>
      <c r="X91" s="119">
        <v>0</v>
      </c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5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>
        <v>0</v>
      </c>
      <c r="T92" s="119">
        <v>0</v>
      </c>
      <c r="U92" s="119">
        <v>0</v>
      </c>
      <c r="V92" s="119">
        <v>0</v>
      </c>
      <c r="W92" s="119">
        <v>0</v>
      </c>
      <c r="X92" s="119">
        <v>0</v>
      </c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5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>
        <v>0</v>
      </c>
      <c r="T93" s="119">
        <v>0</v>
      </c>
      <c r="U93" s="119">
        <v>0</v>
      </c>
      <c r="V93" s="119">
        <v>0</v>
      </c>
      <c r="W93" s="119">
        <v>0</v>
      </c>
      <c r="X93" s="119">
        <v>0</v>
      </c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5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>
        <v>0</v>
      </c>
      <c r="V94" s="119">
        <v>0</v>
      </c>
      <c r="W94" s="119">
        <v>0</v>
      </c>
      <c r="X94" s="119">
        <v>0</v>
      </c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5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>
        <v>0</v>
      </c>
      <c r="T95" s="119">
        <v>0</v>
      </c>
      <c r="U95" s="119">
        <v>0</v>
      </c>
      <c r="V95" s="119">
        <v>0</v>
      </c>
      <c r="W95" s="119">
        <v>0</v>
      </c>
      <c r="X95" s="119">
        <v>0</v>
      </c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5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>
        <v>0</v>
      </c>
      <c r="V96" s="119">
        <v>0</v>
      </c>
      <c r="W96" s="119">
        <v>0</v>
      </c>
      <c r="X96" s="119">
        <v>0</v>
      </c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5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>
        <v>0</v>
      </c>
      <c r="V97" s="119">
        <v>0</v>
      </c>
      <c r="W97" s="119">
        <v>0</v>
      </c>
      <c r="X97" s="119">
        <v>0</v>
      </c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5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>
        <v>0</v>
      </c>
      <c r="V98" s="119">
        <v>0</v>
      </c>
      <c r="W98" s="119">
        <v>0</v>
      </c>
      <c r="X98" s="119">
        <v>0</v>
      </c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5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>
        <v>0</v>
      </c>
      <c r="V99" s="119">
        <v>0</v>
      </c>
      <c r="W99" s="119">
        <v>0</v>
      </c>
      <c r="X99" s="119">
        <v>0</v>
      </c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5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>
        <v>0</v>
      </c>
      <c r="T100" s="119">
        <v>0</v>
      </c>
      <c r="U100" s="119">
        <v>0</v>
      </c>
      <c r="V100" s="119">
        <v>0</v>
      </c>
      <c r="W100" s="119">
        <v>0</v>
      </c>
      <c r="X100" s="119">
        <v>0</v>
      </c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5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>
        <v>0</v>
      </c>
      <c r="T101" s="119">
        <v>0</v>
      </c>
      <c r="U101" s="119">
        <v>0</v>
      </c>
      <c r="V101" s="119">
        <v>0</v>
      </c>
      <c r="W101" s="119">
        <v>0</v>
      </c>
      <c r="X101" s="119">
        <v>0</v>
      </c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5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>
        <v>0</v>
      </c>
      <c r="V102" s="119">
        <v>0</v>
      </c>
      <c r="W102" s="119">
        <v>0</v>
      </c>
      <c r="X102" s="119">
        <v>0</v>
      </c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5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>
        <v>0</v>
      </c>
      <c r="T103" s="119">
        <v>0</v>
      </c>
      <c r="U103" s="119">
        <v>0</v>
      </c>
      <c r="V103" s="119">
        <v>0</v>
      </c>
      <c r="W103" s="119">
        <v>0</v>
      </c>
      <c r="X103" s="119">
        <v>0</v>
      </c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5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>
        <v>0</v>
      </c>
      <c r="V104" s="119">
        <v>0</v>
      </c>
      <c r="W104" s="119">
        <v>0</v>
      </c>
      <c r="X104" s="119">
        <v>0</v>
      </c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5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>
        <v>0</v>
      </c>
      <c r="V105" s="119">
        <v>0</v>
      </c>
      <c r="W105" s="119">
        <v>0</v>
      </c>
      <c r="X105" s="119">
        <v>0</v>
      </c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5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>
        <v>0</v>
      </c>
      <c r="T106" s="119">
        <v>0</v>
      </c>
      <c r="U106" s="119">
        <v>0</v>
      </c>
      <c r="V106" s="119">
        <v>0</v>
      </c>
      <c r="W106" s="119">
        <v>0</v>
      </c>
      <c r="X106" s="119">
        <v>0</v>
      </c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5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>
        <v>0</v>
      </c>
      <c r="X107" s="119">
        <v>0</v>
      </c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5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>
        <v>0</v>
      </c>
      <c r="V108" s="119">
        <v>0</v>
      </c>
      <c r="W108" s="119">
        <v>0</v>
      </c>
      <c r="X108" s="119">
        <v>0</v>
      </c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5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>
        <v>0</v>
      </c>
      <c r="V109" s="119">
        <v>0</v>
      </c>
      <c r="W109" s="119">
        <v>0</v>
      </c>
      <c r="X109" s="119">
        <v>0</v>
      </c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5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>
        <v>0</v>
      </c>
      <c r="X110" s="119">
        <v>0</v>
      </c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5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>
        <v>0</v>
      </c>
      <c r="V111" s="119">
        <v>0</v>
      </c>
      <c r="W111" s="119">
        <v>0</v>
      </c>
      <c r="X111" s="119">
        <v>0</v>
      </c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5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>
        <v>0</v>
      </c>
      <c r="T112" s="119">
        <v>0</v>
      </c>
      <c r="U112" s="119">
        <v>0</v>
      </c>
      <c r="V112" s="119">
        <v>0</v>
      </c>
      <c r="W112" s="119">
        <v>0</v>
      </c>
      <c r="X112" s="119">
        <v>0</v>
      </c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5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>
        <v>0</v>
      </c>
      <c r="T113" s="119">
        <v>0</v>
      </c>
      <c r="U113" s="119">
        <v>0</v>
      </c>
      <c r="V113" s="119">
        <v>0</v>
      </c>
      <c r="W113" s="119">
        <v>0</v>
      </c>
      <c r="X113" s="119">
        <v>0</v>
      </c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5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>
        <v>0</v>
      </c>
      <c r="T114" s="119">
        <v>0</v>
      </c>
      <c r="U114" s="119">
        <v>0</v>
      </c>
      <c r="V114" s="119">
        <v>0</v>
      </c>
      <c r="W114" s="119">
        <v>0</v>
      </c>
      <c r="X114" s="119">
        <v>0</v>
      </c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5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>
        <v>0</v>
      </c>
      <c r="T115" s="119">
        <v>0</v>
      </c>
      <c r="U115" s="119">
        <v>0</v>
      </c>
      <c r="V115" s="119">
        <v>0</v>
      </c>
      <c r="W115" s="119">
        <v>0</v>
      </c>
      <c r="X115" s="119">
        <v>0</v>
      </c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5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>
        <v>0</v>
      </c>
      <c r="V116" s="119">
        <v>0</v>
      </c>
      <c r="W116" s="119">
        <v>0</v>
      </c>
      <c r="X116" s="119">
        <v>0</v>
      </c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5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>
        <v>0</v>
      </c>
      <c r="T117" s="119">
        <v>0</v>
      </c>
      <c r="U117" s="119">
        <v>0</v>
      </c>
      <c r="V117" s="119">
        <v>0</v>
      </c>
      <c r="W117" s="119">
        <v>0</v>
      </c>
      <c r="X117" s="119">
        <v>0</v>
      </c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5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>
        <v>0</v>
      </c>
      <c r="T118" s="119">
        <v>0</v>
      </c>
      <c r="U118" s="119">
        <v>0</v>
      </c>
      <c r="V118" s="119">
        <v>0</v>
      </c>
      <c r="W118" s="119">
        <v>0</v>
      </c>
      <c r="X118" s="119">
        <v>0</v>
      </c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5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>
        <v>0</v>
      </c>
      <c r="V119" s="119">
        <v>0</v>
      </c>
      <c r="W119" s="119">
        <v>0</v>
      </c>
      <c r="X119" s="119">
        <v>0</v>
      </c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5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>
        <v>0</v>
      </c>
      <c r="T120" s="119">
        <v>0</v>
      </c>
      <c r="U120" s="119">
        <v>0</v>
      </c>
      <c r="V120" s="119">
        <v>0</v>
      </c>
      <c r="W120" s="119">
        <v>0</v>
      </c>
      <c r="X120" s="119">
        <v>0</v>
      </c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5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>
        <v>0</v>
      </c>
      <c r="T121" s="119">
        <v>0</v>
      </c>
      <c r="U121" s="119">
        <v>0</v>
      </c>
      <c r="V121" s="119">
        <v>0</v>
      </c>
      <c r="W121" s="119">
        <v>0</v>
      </c>
      <c r="X121" s="119">
        <v>0</v>
      </c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5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0</v>
      </c>
      <c r="U122" s="119">
        <v>0</v>
      </c>
      <c r="V122" s="119">
        <v>0</v>
      </c>
      <c r="W122" s="119">
        <v>0</v>
      </c>
      <c r="X122" s="119">
        <v>0</v>
      </c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5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>
        <v>0</v>
      </c>
      <c r="V123" s="119">
        <v>0</v>
      </c>
      <c r="W123" s="119">
        <v>0</v>
      </c>
      <c r="X123" s="119">
        <v>0</v>
      </c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5">
      <c r="A124" t="s">
        <v>140</v>
      </c>
      <c r="B124" t="s">
        <v>141</v>
      </c>
      <c r="C124">
        <v>1</v>
      </c>
      <c r="D124" t="s">
        <v>25</v>
      </c>
      <c r="E124" s="14">
        <v>45440102</v>
      </c>
      <c r="F124" s="14">
        <v>128086325.45</v>
      </c>
      <c r="G124" s="122">
        <v>505724</v>
      </c>
      <c r="H124" s="119">
        <v>-1062899.51</v>
      </c>
      <c r="I124" s="122">
        <v>-15044</v>
      </c>
      <c r="J124" s="119">
        <v>487951.75</v>
      </c>
      <c r="K124" s="119">
        <v>9192</v>
      </c>
      <c r="L124" s="119">
        <v>-371.06</v>
      </c>
      <c r="M124" s="119">
        <v>0</v>
      </c>
      <c r="N124" s="119">
        <v>0</v>
      </c>
      <c r="O124" s="119">
        <v>0</v>
      </c>
      <c r="P124" s="119">
        <v>0</v>
      </c>
      <c r="Q124" s="119">
        <v>0</v>
      </c>
      <c r="R124" s="119">
        <v>0</v>
      </c>
      <c r="S124" s="119">
        <v>0</v>
      </c>
      <c r="T124" s="119">
        <v>0</v>
      </c>
      <c r="U124" s="119">
        <v>0</v>
      </c>
      <c r="V124" s="119">
        <v>0</v>
      </c>
      <c r="W124" s="119">
        <v>0</v>
      </c>
      <c r="X124" s="119">
        <v>0</v>
      </c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5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>
        <v>0</v>
      </c>
      <c r="V125" s="119">
        <v>0</v>
      </c>
      <c r="W125" s="119">
        <v>0</v>
      </c>
      <c r="X125" s="119">
        <v>0</v>
      </c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5">
      <c r="A126" t="s">
        <v>140</v>
      </c>
      <c r="B126" t="s">
        <v>141</v>
      </c>
      <c r="C126">
        <v>3</v>
      </c>
      <c r="D126" t="s">
        <v>27</v>
      </c>
      <c r="E126" s="14">
        <v>20677516</v>
      </c>
      <c r="F126" s="14">
        <v>53795611</v>
      </c>
      <c r="G126" s="122">
        <v>2118164</v>
      </c>
      <c r="H126" s="119">
        <v>5680551</v>
      </c>
      <c r="I126" s="122">
        <v>2110843</v>
      </c>
      <c r="J126" s="119">
        <v>5661955</v>
      </c>
      <c r="K126" s="119">
        <v>-22795873</v>
      </c>
      <c r="L126" s="119">
        <v>-59476695</v>
      </c>
      <c r="M126" s="119">
        <v>19844503</v>
      </c>
      <c r="N126" s="119">
        <v>56584409</v>
      </c>
      <c r="O126" s="119">
        <v>0</v>
      </c>
      <c r="P126" s="119">
        <v>0</v>
      </c>
      <c r="Q126" s="119">
        <v>-19844503</v>
      </c>
      <c r="R126" s="119">
        <v>-56584409</v>
      </c>
      <c r="S126" s="119">
        <v>0</v>
      </c>
      <c r="T126" s="119">
        <v>0</v>
      </c>
      <c r="U126" s="119">
        <v>0</v>
      </c>
      <c r="V126" s="119">
        <v>0</v>
      </c>
      <c r="W126" s="119">
        <v>11778592</v>
      </c>
      <c r="X126" s="119">
        <v>33226388</v>
      </c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5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>
        <v>0</v>
      </c>
      <c r="V127" s="119">
        <v>0</v>
      </c>
      <c r="W127" s="119">
        <v>0</v>
      </c>
      <c r="X127" s="119">
        <v>0</v>
      </c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5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1369900</v>
      </c>
      <c r="G128" s="122">
        <v>0</v>
      </c>
      <c r="H128" s="119">
        <v>629339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0</v>
      </c>
      <c r="O128" s="119">
        <v>0</v>
      </c>
      <c r="P128" s="119">
        <v>-26</v>
      </c>
      <c r="Q128" s="119">
        <v>0</v>
      </c>
      <c r="R128" s="119">
        <v>-28310</v>
      </c>
      <c r="S128" s="119">
        <v>0</v>
      </c>
      <c r="T128" s="119">
        <v>0</v>
      </c>
      <c r="U128" s="119">
        <v>0</v>
      </c>
      <c r="V128" s="119">
        <v>0</v>
      </c>
      <c r="W128" s="119">
        <v>0</v>
      </c>
      <c r="X128" s="119">
        <v>0</v>
      </c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5">
      <c r="A129" t="s">
        <v>140</v>
      </c>
      <c r="B129" t="s">
        <v>141</v>
      </c>
      <c r="C129">
        <v>6</v>
      </c>
      <c r="D129" t="s">
        <v>25</v>
      </c>
      <c r="E129" s="14">
        <v>-44836401</v>
      </c>
      <c r="F129" s="14">
        <v>-124579072.03999999</v>
      </c>
      <c r="G129" s="122">
        <v>-508228</v>
      </c>
      <c r="H129" s="119">
        <v>-1505909.39</v>
      </c>
      <c r="I129" s="122">
        <v>-10319</v>
      </c>
      <c r="J129" s="119">
        <v>-29028.7</v>
      </c>
      <c r="K129" s="119">
        <v>-14053</v>
      </c>
      <c r="L129" s="119">
        <v>862892.09</v>
      </c>
      <c r="M129" s="119">
        <v>0</v>
      </c>
      <c r="N129" s="119">
        <v>-36.450000000000003</v>
      </c>
      <c r="O129" s="119">
        <v>0</v>
      </c>
      <c r="P129" s="119">
        <v>-1</v>
      </c>
      <c r="Q129" s="119">
        <v>0</v>
      </c>
      <c r="R129" s="119">
        <v>0</v>
      </c>
      <c r="S129" s="119">
        <v>0</v>
      </c>
      <c r="T129" s="119">
        <v>0</v>
      </c>
      <c r="U129" s="119">
        <v>0</v>
      </c>
      <c r="V129" s="119">
        <v>0</v>
      </c>
      <c r="W129" s="119">
        <v>0</v>
      </c>
      <c r="X129" s="119">
        <v>0</v>
      </c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5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>
        <v>0</v>
      </c>
      <c r="T130" s="119">
        <v>0</v>
      </c>
      <c r="U130" s="119">
        <v>0</v>
      </c>
      <c r="V130" s="119">
        <v>0</v>
      </c>
      <c r="W130" s="119">
        <v>0</v>
      </c>
      <c r="X130" s="119">
        <v>0</v>
      </c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5">
      <c r="A131" t="s">
        <v>140</v>
      </c>
      <c r="B131" t="s">
        <v>141</v>
      </c>
      <c r="C131">
        <v>8</v>
      </c>
      <c r="D131" t="s">
        <v>27</v>
      </c>
      <c r="E131" s="14">
        <v>-21339668</v>
      </c>
      <c r="F131" s="14">
        <v>-56148237</v>
      </c>
      <c r="G131" s="122">
        <v>-2118164</v>
      </c>
      <c r="H131" s="119">
        <v>-5680551</v>
      </c>
      <c r="I131" s="122">
        <v>-1146140</v>
      </c>
      <c r="J131" s="119">
        <v>-3141615</v>
      </c>
      <c r="K131" s="119">
        <v>23457832</v>
      </c>
      <c r="L131" s="119">
        <v>61828788</v>
      </c>
      <c r="M131" s="119">
        <v>-25607382</v>
      </c>
      <c r="N131" s="119">
        <v>-72102389</v>
      </c>
      <c r="O131" s="119">
        <v>0</v>
      </c>
      <c r="P131" s="119">
        <v>0</v>
      </c>
      <c r="Q131" s="119">
        <v>25607382</v>
      </c>
      <c r="R131" s="119">
        <v>72102389</v>
      </c>
      <c r="S131" s="119">
        <v>0</v>
      </c>
      <c r="T131" s="119">
        <v>0</v>
      </c>
      <c r="U131" s="119">
        <v>0</v>
      </c>
      <c r="V131" s="119">
        <v>0</v>
      </c>
      <c r="W131" s="119">
        <v>-10834915</v>
      </c>
      <c r="X131" s="119">
        <v>-30258631</v>
      </c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5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>
        <v>0</v>
      </c>
      <c r="T132" s="119">
        <v>0</v>
      </c>
      <c r="U132" s="119">
        <v>0</v>
      </c>
      <c r="V132" s="119">
        <v>0</v>
      </c>
      <c r="W132" s="119">
        <v>0</v>
      </c>
      <c r="X132" s="119">
        <v>0</v>
      </c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5">
      <c r="A133" t="s">
        <v>140</v>
      </c>
      <c r="B133" t="s">
        <v>141</v>
      </c>
      <c r="C133">
        <v>10</v>
      </c>
      <c r="D133" t="s">
        <v>32</v>
      </c>
      <c r="E133" s="14">
        <v>871623</v>
      </c>
      <c r="F133" s="14">
        <v>2235712.9950000001</v>
      </c>
      <c r="G133" s="122">
        <v>-379553</v>
      </c>
      <c r="H133" s="119">
        <v>-973553.44499999995</v>
      </c>
      <c r="I133" s="122">
        <v>-565</v>
      </c>
      <c r="J133" s="119">
        <v>-1449.2249999999999</v>
      </c>
      <c r="K133" s="119">
        <v>91</v>
      </c>
      <c r="L133" s="119">
        <v>233.41499999999999</v>
      </c>
      <c r="M133" s="119">
        <v>0</v>
      </c>
      <c r="N133" s="119">
        <v>0</v>
      </c>
      <c r="O133" s="119">
        <v>352755</v>
      </c>
      <c r="P133" s="119">
        <v>0</v>
      </c>
      <c r="Q133" s="119">
        <v>0</v>
      </c>
      <c r="R133" s="119">
        <v>0</v>
      </c>
      <c r="S133" s="119">
        <v>0</v>
      </c>
      <c r="T133" s="119">
        <v>0</v>
      </c>
      <c r="U133" s="119">
        <v>0</v>
      </c>
      <c r="V133" s="119">
        <v>0</v>
      </c>
      <c r="W133" s="119">
        <v>0</v>
      </c>
      <c r="X133" s="119">
        <v>0</v>
      </c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5">
      <c r="A134" t="s">
        <v>140</v>
      </c>
      <c r="B134" t="s">
        <v>141</v>
      </c>
      <c r="C134">
        <v>11</v>
      </c>
      <c r="D134" t="s">
        <v>35</v>
      </c>
      <c r="E134" s="14">
        <v>435399</v>
      </c>
      <c r="F134" s="14">
        <v>1081467.02</v>
      </c>
      <c r="G134" s="122">
        <v>104</v>
      </c>
      <c r="H134" s="119">
        <v>299.38</v>
      </c>
      <c r="I134" s="122">
        <v>1</v>
      </c>
      <c r="J134" s="119">
        <v>-45.28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>
        <v>0</v>
      </c>
      <c r="V134" s="119">
        <v>0</v>
      </c>
      <c r="W134" s="119">
        <v>0</v>
      </c>
      <c r="X134" s="119">
        <v>0</v>
      </c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5">
      <c r="A135" t="s">
        <v>140</v>
      </c>
      <c r="B135" t="s">
        <v>141</v>
      </c>
      <c r="C135">
        <v>12</v>
      </c>
      <c r="D135" t="s">
        <v>36</v>
      </c>
      <c r="E135" s="14">
        <v>-565030</v>
      </c>
      <c r="F135" s="14">
        <v>-1375334.25</v>
      </c>
      <c r="G135" s="122">
        <v>-1814</v>
      </c>
      <c r="H135" s="119">
        <v>-5093.9799999999996</v>
      </c>
      <c r="I135" s="122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>
        <v>0</v>
      </c>
      <c r="T135" s="119">
        <v>0</v>
      </c>
      <c r="U135" s="119">
        <v>0</v>
      </c>
      <c r="V135" s="119">
        <v>0</v>
      </c>
      <c r="W135" s="119">
        <v>0</v>
      </c>
      <c r="X135" s="119">
        <v>0</v>
      </c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5">
      <c r="A136" t="s">
        <v>140</v>
      </c>
      <c r="B136" t="s">
        <v>141</v>
      </c>
      <c r="C136">
        <v>13</v>
      </c>
      <c r="D136" t="s">
        <v>39</v>
      </c>
      <c r="E136" s="14">
        <v>-361772</v>
      </c>
      <c r="F136" s="14">
        <v>-927945.18</v>
      </c>
      <c r="G136" s="122">
        <v>781957</v>
      </c>
      <c r="H136" s="119">
        <v>2005719.99</v>
      </c>
      <c r="I136" s="122">
        <v>-101549</v>
      </c>
      <c r="J136" s="119">
        <v>-260473.185</v>
      </c>
      <c r="K136" s="119">
        <v>1589</v>
      </c>
      <c r="L136" s="119">
        <v>4075.7849999999999</v>
      </c>
      <c r="M136" s="119">
        <v>0</v>
      </c>
      <c r="N136" s="119">
        <v>0</v>
      </c>
      <c r="O136" s="119">
        <v>0</v>
      </c>
      <c r="P136" s="119">
        <v>0</v>
      </c>
      <c r="Q136" s="119">
        <v>0</v>
      </c>
      <c r="R136" s="119">
        <v>0</v>
      </c>
      <c r="S136" s="119">
        <v>0</v>
      </c>
      <c r="T136" s="119">
        <v>0</v>
      </c>
      <c r="U136" s="119">
        <v>0</v>
      </c>
      <c r="V136" s="119">
        <v>0</v>
      </c>
      <c r="W136" s="119">
        <v>0</v>
      </c>
      <c r="X136" s="119">
        <v>0</v>
      </c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5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2">
        <v>-29659</v>
      </c>
      <c r="H137" s="119">
        <v>-76005.39</v>
      </c>
      <c r="I137" s="122">
        <v>-545</v>
      </c>
      <c r="J137" s="119">
        <v>-1391.39</v>
      </c>
      <c r="K137" s="119">
        <v>-1044</v>
      </c>
      <c r="L137" s="119">
        <v>-2508.69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>
        <v>0</v>
      </c>
      <c r="T137" s="119">
        <v>0</v>
      </c>
      <c r="U137" s="119">
        <v>0</v>
      </c>
      <c r="V137" s="119">
        <v>0</v>
      </c>
      <c r="W137" s="119">
        <v>0</v>
      </c>
      <c r="X137" s="119">
        <v>0</v>
      </c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5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2">
        <v>3094</v>
      </c>
      <c r="H138" s="119">
        <v>7433.94</v>
      </c>
      <c r="I138" s="122">
        <v>6</v>
      </c>
      <c r="J138" s="119">
        <v>15.32</v>
      </c>
      <c r="K138" s="119">
        <v>3742</v>
      </c>
      <c r="L138" s="119">
        <v>8936.31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>
        <v>0</v>
      </c>
      <c r="T138" s="119">
        <v>0</v>
      </c>
      <c r="U138" s="119">
        <v>0</v>
      </c>
      <c r="V138" s="119">
        <v>0</v>
      </c>
      <c r="W138" s="119">
        <v>0</v>
      </c>
      <c r="X138" s="119">
        <v>0</v>
      </c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5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0</v>
      </c>
      <c r="P139" s="119">
        <v>0</v>
      </c>
      <c r="Q139" s="119">
        <v>20000</v>
      </c>
      <c r="R139" s="119">
        <v>0</v>
      </c>
      <c r="S139" s="119">
        <v>0</v>
      </c>
      <c r="T139" s="119">
        <v>0</v>
      </c>
      <c r="U139" s="119">
        <v>0</v>
      </c>
      <c r="V139" s="119">
        <v>0</v>
      </c>
      <c r="W139" s="119">
        <v>0</v>
      </c>
      <c r="X139" s="119">
        <v>0</v>
      </c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5">
      <c r="A140" t="s">
        <v>140</v>
      </c>
      <c r="B140" t="s">
        <v>141</v>
      </c>
      <c r="C140">
        <v>17</v>
      </c>
      <c r="D140" t="s">
        <v>126</v>
      </c>
      <c r="E140" s="14">
        <v>0</v>
      </c>
      <c r="F140" s="14">
        <v>0</v>
      </c>
      <c r="G140" s="122">
        <v>11752</v>
      </c>
      <c r="H140" s="119">
        <v>30701.91</v>
      </c>
      <c r="I140" s="122">
        <v>120920</v>
      </c>
      <c r="J140" s="119">
        <v>310159.81</v>
      </c>
      <c r="K140" s="119">
        <v>0</v>
      </c>
      <c r="L140" s="119">
        <v>0</v>
      </c>
      <c r="M140" s="119">
        <v>65423</v>
      </c>
      <c r="N140" s="119">
        <v>209948.95</v>
      </c>
      <c r="O140" s="119">
        <v>-1545</v>
      </c>
      <c r="P140" s="119">
        <v>-4083.99</v>
      </c>
      <c r="Q140" s="119">
        <v>-2548</v>
      </c>
      <c r="R140" s="119">
        <v>-8176.53</v>
      </c>
      <c r="S140" s="119">
        <v>-203</v>
      </c>
      <c r="T140" s="119">
        <v>-652.30999999999995</v>
      </c>
      <c r="U140" s="119">
        <v>431725</v>
      </c>
      <c r="V140" s="119">
        <v>1384570.6</v>
      </c>
      <c r="W140" s="119">
        <v>0</v>
      </c>
      <c r="X140" s="119">
        <v>0</v>
      </c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5">
      <c r="A141" t="s">
        <v>140</v>
      </c>
      <c r="B141" t="s">
        <v>141</v>
      </c>
      <c r="C141">
        <v>18</v>
      </c>
      <c r="D141" t="s">
        <v>127</v>
      </c>
      <c r="E141" s="14">
        <v>-300657</v>
      </c>
      <c r="F141" s="14">
        <v>-625335.89</v>
      </c>
      <c r="G141" s="122">
        <v>-258</v>
      </c>
      <c r="H141" s="119">
        <v>-642.97</v>
      </c>
      <c r="I141" s="122">
        <v>-310877</v>
      </c>
      <c r="J141" s="119">
        <v>-808375.2</v>
      </c>
      <c r="K141" s="119">
        <v>0</v>
      </c>
      <c r="L141" s="119">
        <v>0</v>
      </c>
      <c r="M141" s="119">
        <v>0</v>
      </c>
      <c r="N141" s="119">
        <v>0</v>
      </c>
      <c r="O141" s="119">
        <v>0</v>
      </c>
      <c r="P141" s="119">
        <v>0</v>
      </c>
      <c r="Q141" s="119">
        <v>0</v>
      </c>
      <c r="R141" s="119">
        <v>0</v>
      </c>
      <c r="S141" s="119">
        <v>0</v>
      </c>
      <c r="T141" s="119">
        <v>0</v>
      </c>
      <c r="U141" s="119">
        <v>0</v>
      </c>
      <c r="V141" s="119">
        <v>0</v>
      </c>
      <c r="W141" s="119">
        <v>0</v>
      </c>
      <c r="X141" s="119">
        <v>0</v>
      </c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5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>
        <v>0</v>
      </c>
      <c r="T142" s="119">
        <v>0</v>
      </c>
      <c r="U142" s="119">
        <v>0</v>
      </c>
      <c r="V142" s="119">
        <v>0</v>
      </c>
      <c r="W142" s="119">
        <v>0</v>
      </c>
      <c r="X142" s="119">
        <v>0</v>
      </c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5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>
        <v>0</v>
      </c>
      <c r="T143" s="119">
        <v>0</v>
      </c>
      <c r="U143" s="119">
        <v>0</v>
      </c>
      <c r="V143" s="119">
        <v>0</v>
      </c>
      <c r="W143" s="119">
        <v>0</v>
      </c>
      <c r="X143" s="119">
        <v>0</v>
      </c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5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>
        <v>0</v>
      </c>
      <c r="V144" s="119">
        <v>0</v>
      </c>
      <c r="W144" s="119">
        <v>0</v>
      </c>
      <c r="X144" s="119">
        <v>0</v>
      </c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5">
      <c r="A145" t="s">
        <v>140</v>
      </c>
      <c r="B145" t="s">
        <v>141</v>
      </c>
      <c r="C145">
        <v>22</v>
      </c>
      <c r="D145" t="s">
        <v>130</v>
      </c>
      <c r="E145" s="14">
        <v>-21112</v>
      </c>
      <c r="F145" s="14">
        <v>-54152.28</v>
      </c>
      <c r="G145" s="122">
        <v>-383119</v>
      </c>
      <c r="H145" s="119">
        <v>-982700.23499999999</v>
      </c>
      <c r="I145" s="122">
        <v>-646731</v>
      </c>
      <c r="J145" s="119">
        <v>-1658865.0149999999</v>
      </c>
      <c r="K145" s="119">
        <v>-661476</v>
      </c>
      <c r="L145" s="119">
        <v>-1696685.94</v>
      </c>
      <c r="M145" s="119">
        <v>5697456</v>
      </c>
      <c r="N145" s="119">
        <v>16511227.488</v>
      </c>
      <c r="O145" s="119">
        <v>-351210</v>
      </c>
      <c r="P145" s="119">
        <v>-1017806.58</v>
      </c>
      <c r="Q145" s="119">
        <v>-5780331</v>
      </c>
      <c r="R145" s="119">
        <v>-16751399.238</v>
      </c>
      <c r="S145" s="119">
        <v>203</v>
      </c>
      <c r="T145" s="119">
        <v>588.29399999999998</v>
      </c>
      <c r="U145" s="119">
        <v>-431725</v>
      </c>
      <c r="V145" s="119">
        <v>-1251139.05</v>
      </c>
      <c r="W145" s="119">
        <v>-943677</v>
      </c>
      <c r="X145" s="119">
        <v>-2734775.946</v>
      </c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5">
      <c r="A146" t="s">
        <v>140</v>
      </c>
      <c r="B146" t="s">
        <v>141</v>
      </c>
      <c r="C146">
        <v>23</v>
      </c>
      <c r="D146" t="s">
        <v>131</v>
      </c>
      <c r="E146" s="14">
        <v>-871623</v>
      </c>
      <c r="F146" s="14">
        <v>-2235712.9950000001</v>
      </c>
      <c r="G146" s="122">
        <v>379553</v>
      </c>
      <c r="H146" s="119">
        <v>973553.44499999995</v>
      </c>
      <c r="I146" s="122">
        <v>565</v>
      </c>
      <c r="J146" s="119">
        <v>1449.2249999999999</v>
      </c>
      <c r="K146" s="119">
        <v>-91</v>
      </c>
      <c r="L146" s="119">
        <v>-233.41499999999999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>
        <v>0</v>
      </c>
      <c r="V146" s="119">
        <v>0</v>
      </c>
      <c r="W146" s="119">
        <v>0</v>
      </c>
      <c r="X146" s="119">
        <v>0</v>
      </c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5">
      <c r="A147" t="s">
        <v>140</v>
      </c>
      <c r="B147" t="s">
        <v>141</v>
      </c>
      <c r="C147">
        <v>24</v>
      </c>
      <c r="D147" t="s">
        <v>55</v>
      </c>
      <c r="E147" s="14">
        <v>-33674670</v>
      </c>
      <c r="F147" s="14">
        <v>-249692.12</v>
      </c>
      <c r="G147" s="122">
        <v>-843727</v>
      </c>
      <c r="H147" s="119">
        <v>38745.93</v>
      </c>
      <c r="I147" s="122">
        <v>2919574</v>
      </c>
      <c r="J147" s="119">
        <v>12840.64</v>
      </c>
      <c r="K147" s="119">
        <v>3259</v>
      </c>
      <c r="L147" s="119">
        <v>-1823.61</v>
      </c>
      <c r="M147" s="119">
        <v>-442166</v>
      </c>
      <c r="N147" s="119">
        <v>-3123.25</v>
      </c>
      <c r="O147" s="119">
        <v>0</v>
      </c>
      <c r="P147" s="119">
        <v>18.649999999999999</v>
      </c>
      <c r="Q147" s="119">
        <v>-1386</v>
      </c>
      <c r="R147" s="119">
        <v>57.48</v>
      </c>
      <c r="S147" s="119">
        <v>0</v>
      </c>
      <c r="T147" s="119">
        <v>0</v>
      </c>
      <c r="U147" s="119">
        <v>448669</v>
      </c>
      <c r="V147" s="119">
        <v>9741.59</v>
      </c>
      <c r="W147" s="119">
        <v>0</v>
      </c>
      <c r="X147" s="119">
        <v>0</v>
      </c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5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-2087224.14</v>
      </c>
      <c r="G148" s="122">
        <v>0</v>
      </c>
      <c r="H148" s="119">
        <v>-42916.83</v>
      </c>
      <c r="I148" s="122">
        <v>0</v>
      </c>
      <c r="J148" s="119">
        <v>49598</v>
      </c>
      <c r="K148" s="119">
        <v>0</v>
      </c>
      <c r="L148" s="119">
        <v>-9300</v>
      </c>
      <c r="M148" s="119">
        <v>0</v>
      </c>
      <c r="N148" s="119">
        <v>-287774.63</v>
      </c>
      <c r="O148" s="119">
        <v>0</v>
      </c>
      <c r="P148" s="119">
        <v>0</v>
      </c>
      <c r="Q148" s="119">
        <v>0</v>
      </c>
      <c r="R148" s="119">
        <v>0</v>
      </c>
      <c r="S148" s="119">
        <v>0</v>
      </c>
      <c r="T148" s="119">
        <v>0</v>
      </c>
      <c r="U148" s="119">
        <v>0</v>
      </c>
      <c r="V148" s="119">
        <v>0</v>
      </c>
      <c r="W148" s="119">
        <v>0</v>
      </c>
      <c r="X148" s="119">
        <v>0</v>
      </c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5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>
        <v>0</v>
      </c>
      <c r="V149" s="119">
        <v>0</v>
      </c>
      <c r="W149" s="119">
        <v>0</v>
      </c>
      <c r="X149" s="119">
        <v>0</v>
      </c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5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>
        <v>0</v>
      </c>
      <c r="T150" s="119">
        <v>0</v>
      </c>
      <c r="U150" s="119">
        <v>0</v>
      </c>
      <c r="V150" s="119">
        <v>0</v>
      </c>
      <c r="W150" s="119">
        <v>0</v>
      </c>
      <c r="X150" s="119">
        <v>0</v>
      </c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5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>
        <v>0</v>
      </c>
      <c r="T151" s="119">
        <v>0</v>
      </c>
      <c r="U151" s="119">
        <v>0</v>
      </c>
      <c r="V151" s="119">
        <v>0</v>
      </c>
      <c r="W151" s="119">
        <v>0</v>
      </c>
      <c r="X151" s="119">
        <v>0</v>
      </c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5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T152" s="119">
        <v>0</v>
      </c>
      <c r="U152" s="119">
        <v>0</v>
      </c>
      <c r="V152" s="119">
        <v>0</v>
      </c>
      <c r="W152" s="119">
        <v>0</v>
      </c>
      <c r="X152" s="119">
        <v>0</v>
      </c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5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>
        <v>0</v>
      </c>
      <c r="V153" s="119">
        <v>0</v>
      </c>
      <c r="W153" s="119">
        <v>0</v>
      </c>
      <c r="X153" s="119">
        <v>0</v>
      </c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5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>
        <v>0</v>
      </c>
      <c r="T154" s="119">
        <v>0</v>
      </c>
      <c r="U154" s="119">
        <v>0</v>
      </c>
      <c r="V154" s="119">
        <v>0</v>
      </c>
      <c r="W154" s="119">
        <v>0</v>
      </c>
      <c r="X154" s="119">
        <v>0</v>
      </c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5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>
        <v>0</v>
      </c>
      <c r="V155" s="119">
        <v>0</v>
      </c>
      <c r="W155" s="119">
        <v>0</v>
      </c>
      <c r="X155" s="119">
        <v>0</v>
      </c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5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>
        <v>0</v>
      </c>
      <c r="V156" s="119">
        <v>0</v>
      </c>
      <c r="W156" s="119">
        <v>0</v>
      </c>
      <c r="X156" s="119">
        <v>0</v>
      </c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5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>
        <v>0</v>
      </c>
      <c r="V157" s="119">
        <v>0</v>
      </c>
      <c r="W157" s="119">
        <v>0</v>
      </c>
      <c r="X157" s="119">
        <v>0</v>
      </c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5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-32254.9</v>
      </c>
      <c r="G158" s="122">
        <v>0</v>
      </c>
      <c r="H158" s="119">
        <v>-26895</v>
      </c>
      <c r="I158" s="122">
        <v>0</v>
      </c>
      <c r="J158" s="119">
        <v>27734.19</v>
      </c>
      <c r="K158" s="119">
        <v>0</v>
      </c>
      <c r="L158" s="119">
        <v>542.27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>
        <v>0</v>
      </c>
      <c r="T158" s="119">
        <v>0</v>
      </c>
      <c r="U158" s="119">
        <v>0</v>
      </c>
      <c r="V158" s="119">
        <v>0</v>
      </c>
      <c r="W158" s="119">
        <v>0</v>
      </c>
      <c r="X158" s="119">
        <v>0</v>
      </c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5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>
        <v>0</v>
      </c>
      <c r="T159" s="119">
        <v>0</v>
      </c>
      <c r="U159" s="119">
        <v>0</v>
      </c>
      <c r="V159" s="119">
        <v>0</v>
      </c>
      <c r="W159" s="119">
        <v>0</v>
      </c>
      <c r="X159" s="119">
        <v>0</v>
      </c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5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>
        <v>0</v>
      </c>
      <c r="V160" s="119">
        <v>0</v>
      </c>
      <c r="W160" s="119">
        <v>0</v>
      </c>
      <c r="X160" s="119">
        <v>0</v>
      </c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5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>
        <v>0</v>
      </c>
      <c r="V161" s="119">
        <v>0</v>
      </c>
      <c r="W161" s="119">
        <v>0</v>
      </c>
      <c r="X161" s="119">
        <v>0</v>
      </c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5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>
        <v>0</v>
      </c>
      <c r="V162" s="119">
        <v>0</v>
      </c>
      <c r="W162" s="119">
        <v>0</v>
      </c>
      <c r="X162" s="119">
        <v>0</v>
      </c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5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>
        <v>0</v>
      </c>
      <c r="V163" s="119">
        <v>0</v>
      </c>
      <c r="W163" s="119">
        <v>0</v>
      </c>
      <c r="X163" s="119">
        <v>0</v>
      </c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5">
      <c r="A164" t="s">
        <v>140</v>
      </c>
      <c r="B164" t="s">
        <v>142</v>
      </c>
      <c r="C164">
        <v>1</v>
      </c>
      <c r="D164" t="s">
        <v>25</v>
      </c>
      <c r="E164" s="14">
        <v>85050390</v>
      </c>
      <c r="F164" s="14">
        <v>258977545.60000002</v>
      </c>
      <c r="G164" s="122">
        <v>2348198</v>
      </c>
      <c r="H164" s="119">
        <v>-6289706.5699999994</v>
      </c>
      <c r="I164" s="122">
        <v>1310090</v>
      </c>
      <c r="J164" s="119">
        <v>3726865.66</v>
      </c>
      <c r="K164" s="119">
        <v>-196259</v>
      </c>
      <c r="L164" s="119">
        <v>-918305.28000000003</v>
      </c>
      <c r="M164" s="119">
        <v>0</v>
      </c>
      <c r="N164" s="119">
        <v>-7957.78</v>
      </c>
      <c r="O164" s="119">
        <v>0</v>
      </c>
      <c r="P164" s="119">
        <v>-4297.6099999999997</v>
      </c>
      <c r="Q164" s="119">
        <v>0</v>
      </c>
      <c r="R164" s="119">
        <v>0</v>
      </c>
      <c r="S164" s="119">
        <v>0</v>
      </c>
      <c r="T164" s="119">
        <v>0</v>
      </c>
      <c r="U164" s="119">
        <v>0</v>
      </c>
      <c r="V164" s="119">
        <v>0</v>
      </c>
      <c r="W164" s="119">
        <v>0</v>
      </c>
      <c r="X164" s="119">
        <v>0</v>
      </c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5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>
        <v>0</v>
      </c>
      <c r="T165" s="119">
        <v>0</v>
      </c>
      <c r="U165" s="119">
        <v>0</v>
      </c>
      <c r="V165" s="119">
        <v>0</v>
      </c>
      <c r="W165" s="119">
        <v>0</v>
      </c>
      <c r="X165" s="119">
        <v>0</v>
      </c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5">
      <c r="A166" t="s">
        <v>140</v>
      </c>
      <c r="B166" t="s">
        <v>142</v>
      </c>
      <c r="C166">
        <v>3</v>
      </c>
      <c r="D166" t="s">
        <v>27</v>
      </c>
      <c r="E166" s="14">
        <v>32441679</v>
      </c>
      <c r="F166" s="14">
        <v>85301401</v>
      </c>
      <c r="G166" s="122">
        <v>6016737</v>
      </c>
      <c r="H166" s="119">
        <v>16975670</v>
      </c>
      <c r="I166" s="122">
        <v>6016737</v>
      </c>
      <c r="J166" s="119">
        <v>16975670</v>
      </c>
      <c r="K166" s="119">
        <v>-38458416</v>
      </c>
      <c r="L166" s="119">
        <v>-102277071</v>
      </c>
      <c r="M166" s="119">
        <v>24964999</v>
      </c>
      <c r="N166" s="119">
        <v>65285544</v>
      </c>
      <c r="O166" s="119">
        <v>0</v>
      </c>
      <c r="P166" s="119">
        <v>0</v>
      </c>
      <c r="Q166" s="119">
        <v>-24906523</v>
      </c>
      <c r="R166" s="119">
        <v>-65138117</v>
      </c>
      <c r="S166" s="119">
        <v>0</v>
      </c>
      <c r="T166" s="119">
        <v>0</v>
      </c>
      <c r="U166" s="119">
        <v>0</v>
      </c>
      <c r="V166" s="119">
        <v>0</v>
      </c>
      <c r="W166" s="119">
        <v>18508390</v>
      </c>
      <c r="X166" s="119">
        <v>47986762</v>
      </c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5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>
        <v>0</v>
      </c>
      <c r="V167" s="119">
        <v>0</v>
      </c>
      <c r="W167" s="119">
        <v>0</v>
      </c>
      <c r="X167" s="119">
        <v>0</v>
      </c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5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6628959.8700000001</v>
      </c>
      <c r="G168" s="122">
        <v>0</v>
      </c>
      <c r="H168" s="119">
        <v>-4931038.53</v>
      </c>
      <c r="I168" s="122">
        <v>0</v>
      </c>
      <c r="J168" s="119">
        <v>6000</v>
      </c>
      <c r="K168" s="119">
        <v>0</v>
      </c>
      <c r="L168" s="119">
        <v>0</v>
      </c>
      <c r="M168" s="119">
        <v>0</v>
      </c>
      <c r="N168" s="119">
        <v>0</v>
      </c>
      <c r="O168" s="119">
        <v>0</v>
      </c>
      <c r="P168" s="119">
        <v>0</v>
      </c>
      <c r="Q168" s="119">
        <v>0</v>
      </c>
      <c r="R168" s="119">
        <v>12144</v>
      </c>
      <c r="S168" s="119">
        <v>0</v>
      </c>
      <c r="T168" s="119">
        <v>0</v>
      </c>
      <c r="U168" s="119">
        <v>0</v>
      </c>
      <c r="V168" s="119">
        <v>0</v>
      </c>
      <c r="W168" s="119">
        <v>0</v>
      </c>
      <c r="X168" s="119">
        <v>0</v>
      </c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5">
      <c r="A169" t="s">
        <v>140</v>
      </c>
      <c r="B169" t="s">
        <v>142</v>
      </c>
      <c r="C169">
        <v>6</v>
      </c>
      <c r="D169" t="s">
        <v>25</v>
      </c>
      <c r="E169" s="14">
        <v>-92713474</v>
      </c>
      <c r="F169" s="14">
        <v>-277791774.35000002</v>
      </c>
      <c r="G169" s="122">
        <v>-2583578</v>
      </c>
      <c r="H169" s="119">
        <v>5965881.1799999997</v>
      </c>
      <c r="I169" s="122">
        <v>-2972352</v>
      </c>
      <c r="J169" s="119">
        <v>-8464155.629999999</v>
      </c>
      <c r="K169" s="119">
        <v>877247</v>
      </c>
      <c r="L169" s="119">
        <v>2571035.17</v>
      </c>
      <c r="M169" s="119">
        <v>-57636</v>
      </c>
      <c r="N169" s="119">
        <v>-160348.85</v>
      </c>
      <c r="O169" s="119">
        <v>0</v>
      </c>
      <c r="P169" s="119">
        <v>-0.28999999999999998</v>
      </c>
      <c r="Q169" s="119">
        <v>0</v>
      </c>
      <c r="R169" s="119">
        <v>0</v>
      </c>
      <c r="S169" s="119">
        <v>0</v>
      </c>
      <c r="T169" s="119">
        <v>0</v>
      </c>
      <c r="U169" s="119">
        <v>0</v>
      </c>
      <c r="V169" s="119">
        <v>0.01</v>
      </c>
      <c r="W169" s="119">
        <v>0</v>
      </c>
      <c r="X169" s="119">
        <v>0</v>
      </c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5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>
        <v>0</v>
      </c>
      <c r="T170" s="119">
        <v>0</v>
      </c>
      <c r="U170" s="119">
        <v>0</v>
      </c>
      <c r="V170" s="119">
        <v>0</v>
      </c>
      <c r="W170" s="119">
        <v>0</v>
      </c>
      <c r="X170" s="119">
        <v>0</v>
      </c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5">
      <c r="A171" t="s">
        <v>140</v>
      </c>
      <c r="B171" t="s">
        <v>142</v>
      </c>
      <c r="C171">
        <v>8</v>
      </c>
      <c r="D171" t="s">
        <v>27</v>
      </c>
      <c r="E171" s="14">
        <v>-31868882</v>
      </c>
      <c r="F171" s="14">
        <v>-83966339</v>
      </c>
      <c r="G171" s="122">
        <v>-6016737</v>
      </c>
      <c r="H171" s="119">
        <v>-16975670</v>
      </c>
      <c r="I171" s="122">
        <v>-4468010</v>
      </c>
      <c r="J171" s="119">
        <v>-12590031</v>
      </c>
      <c r="K171" s="119">
        <v>37885812</v>
      </c>
      <c r="L171" s="119">
        <v>100942542</v>
      </c>
      <c r="M171" s="119">
        <v>-24603972</v>
      </c>
      <c r="N171" s="119">
        <v>-64970403</v>
      </c>
      <c r="O171" s="119">
        <v>-4</v>
      </c>
      <c r="P171" s="119">
        <v>-12</v>
      </c>
      <c r="Q171" s="119">
        <v>24613972</v>
      </c>
      <c r="R171" s="119">
        <v>64998323</v>
      </c>
      <c r="S171" s="119">
        <v>0</v>
      </c>
      <c r="T171" s="119">
        <v>0</v>
      </c>
      <c r="U171" s="119">
        <v>0</v>
      </c>
      <c r="V171" s="119">
        <v>0</v>
      </c>
      <c r="W171" s="119">
        <v>-20232339</v>
      </c>
      <c r="X171" s="119">
        <v>-53096082</v>
      </c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5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>
        <v>0</v>
      </c>
      <c r="T172" s="119">
        <v>0</v>
      </c>
      <c r="U172" s="119">
        <v>0</v>
      </c>
      <c r="V172" s="119">
        <v>0</v>
      </c>
      <c r="W172" s="119">
        <v>0</v>
      </c>
      <c r="X172" s="119">
        <v>0</v>
      </c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5">
      <c r="A173" t="s">
        <v>140</v>
      </c>
      <c r="B173" t="s">
        <v>142</v>
      </c>
      <c r="C173">
        <v>10</v>
      </c>
      <c r="D173" t="s">
        <v>32</v>
      </c>
      <c r="E173" s="14">
        <v>820603</v>
      </c>
      <c r="F173" s="14">
        <v>2378107.4939999999</v>
      </c>
      <c r="G173" s="122">
        <v>-312827</v>
      </c>
      <c r="H173" s="119">
        <v>-906572.64599999995</v>
      </c>
      <c r="I173" s="122">
        <v>3560</v>
      </c>
      <c r="J173" s="119">
        <v>10316.879999999999</v>
      </c>
      <c r="K173" s="119">
        <v>11548</v>
      </c>
      <c r="L173" s="119">
        <v>33466.103999999999</v>
      </c>
      <c r="M173" s="119">
        <v>0</v>
      </c>
      <c r="N173" s="119">
        <v>0</v>
      </c>
      <c r="O173" s="119">
        <v>0</v>
      </c>
      <c r="P173" s="119">
        <v>0</v>
      </c>
      <c r="Q173" s="119">
        <v>0</v>
      </c>
      <c r="R173" s="119">
        <v>0</v>
      </c>
      <c r="S173" s="119">
        <v>0</v>
      </c>
      <c r="T173" s="119">
        <v>0</v>
      </c>
      <c r="U173" s="119">
        <v>0</v>
      </c>
      <c r="V173" s="119">
        <v>0</v>
      </c>
      <c r="W173" s="119">
        <v>0</v>
      </c>
      <c r="X173" s="119">
        <v>0</v>
      </c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5">
      <c r="A174" t="s">
        <v>140</v>
      </c>
      <c r="B174" t="s">
        <v>142</v>
      </c>
      <c r="C174">
        <v>11</v>
      </c>
      <c r="D174" t="s">
        <v>35</v>
      </c>
      <c r="E174" s="14">
        <v>8779679</v>
      </c>
      <c r="F174" s="14">
        <v>22463200.43</v>
      </c>
      <c r="G174" s="122">
        <v>51212</v>
      </c>
      <c r="H174" s="119">
        <v>142941.37</v>
      </c>
      <c r="I174" s="122">
        <v>-50001</v>
      </c>
      <c r="J174" s="119">
        <v>-130877.03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>
        <v>0</v>
      </c>
      <c r="T174" s="119">
        <v>0</v>
      </c>
      <c r="U174" s="119">
        <v>0</v>
      </c>
      <c r="V174" s="119">
        <v>0</v>
      </c>
      <c r="W174" s="119">
        <v>0</v>
      </c>
      <c r="X174" s="119">
        <v>0</v>
      </c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5">
      <c r="A175" t="s">
        <v>140</v>
      </c>
      <c r="B175" t="s">
        <v>142</v>
      </c>
      <c r="C175">
        <v>12</v>
      </c>
      <c r="D175" t="s">
        <v>36</v>
      </c>
      <c r="E175" s="14">
        <v>-2135681</v>
      </c>
      <c r="F175" s="14">
        <v>-5477955.3399999999</v>
      </c>
      <c r="G175" s="122">
        <v>30568</v>
      </c>
      <c r="H175" s="119">
        <v>75100.800000000003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>
        <v>0</v>
      </c>
      <c r="T175" s="119">
        <v>0</v>
      </c>
      <c r="U175" s="119">
        <v>0</v>
      </c>
      <c r="V175" s="119">
        <v>0</v>
      </c>
      <c r="W175" s="119">
        <v>0</v>
      </c>
      <c r="X175" s="119">
        <v>0</v>
      </c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5">
      <c r="A176" t="s">
        <v>140</v>
      </c>
      <c r="B176" t="s">
        <v>142</v>
      </c>
      <c r="C176">
        <v>13</v>
      </c>
      <c r="D176" t="s">
        <v>39</v>
      </c>
      <c r="E176" s="14">
        <v>60680</v>
      </c>
      <c r="F176" s="14">
        <v>175850.64</v>
      </c>
      <c r="G176" s="122">
        <v>-155897</v>
      </c>
      <c r="H176" s="119">
        <v>-451789.04</v>
      </c>
      <c r="I176" s="122">
        <v>2096293</v>
      </c>
      <c r="J176" s="119">
        <v>6075057.1169999996</v>
      </c>
      <c r="K176" s="119">
        <v>-1042715</v>
      </c>
      <c r="L176" s="119">
        <v>-3021788.07</v>
      </c>
      <c r="M176" s="119">
        <v>-500795</v>
      </c>
      <c r="N176" s="119">
        <v>-1284539.175</v>
      </c>
      <c r="O176" s="119">
        <v>0</v>
      </c>
      <c r="P176" s="119">
        <v>0</v>
      </c>
      <c r="Q176" s="119">
        <v>1076</v>
      </c>
      <c r="R176" s="119">
        <v>2759.94</v>
      </c>
      <c r="S176" s="119">
        <v>0</v>
      </c>
      <c r="T176" s="119">
        <v>0</v>
      </c>
      <c r="U176" s="119">
        <v>0</v>
      </c>
      <c r="V176" s="119">
        <v>0</v>
      </c>
      <c r="W176" s="119">
        <v>84</v>
      </c>
      <c r="X176" s="119">
        <v>215.46</v>
      </c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5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2">
        <v>-129873</v>
      </c>
      <c r="H177" s="119">
        <v>-333500.31</v>
      </c>
      <c r="I177" s="122">
        <v>-3206</v>
      </c>
      <c r="J177" s="119">
        <v>-8207.36</v>
      </c>
      <c r="K177" s="119">
        <v>-16832</v>
      </c>
      <c r="L177" s="119">
        <v>-45404.69</v>
      </c>
      <c r="M177" s="119">
        <v>-2</v>
      </c>
      <c r="N177" s="119">
        <v>-5.1100000000000003</v>
      </c>
      <c r="O177" s="119">
        <v>0</v>
      </c>
      <c r="P177" s="119">
        <v>0</v>
      </c>
      <c r="Q177" s="119">
        <v>-1086</v>
      </c>
      <c r="R177" s="119">
        <v>-2612.92</v>
      </c>
      <c r="S177" s="119">
        <v>0</v>
      </c>
      <c r="T177" s="119">
        <v>0</v>
      </c>
      <c r="U177" s="119">
        <v>0</v>
      </c>
      <c r="V177" s="119">
        <v>0</v>
      </c>
      <c r="W177" s="119">
        <v>0</v>
      </c>
      <c r="X177" s="119">
        <v>0</v>
      </c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5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2">
        <v>51505</v>
      </c>
      <c r="H178" s="119">
        <v>129852.9</v>
      </c>
      <c r="I178" s="122">
        <v>2046</v>
      </c>
      <c r="J178" s="119">
        <v>5392.44</v>
      </c>
      <c r="K178" s="119">
        <v>16782</v>
      </c>
      <c r="L178" s="119">
        <v>44720.480000000003</v>
      </c>
      <c r="M178" s="119">
        <v>0</v>
      </c>
      <c r="N178" s="119">
        <v>0</v>
      </c>
      <c r="O178" s="119">
        <v>0</v>
      </c>
      <c r="P178" s="119">
        <v>0</v>
      </c>
      <c r="Q178" s="119">
        <v>0</v>
      </c>
      <c r="R178" s="119">
        <v>0</v>
      </c>
      <c r="S178" s="119">
        <v>0</v>
      </c>
      <c r="T178" s="119">
        <v>0</v>
      </c>
      <c r="U178" s="119">
        <v>0</v>
      </c>
      <c r="V178" s="119">
        <v>0</v>
      </c>
      <c r="W178" s="119">
        <v>0</v>
      </c>
      <c r="X178" s="119">
        <v>0</v>
      </c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5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>
        <v>0</v>
      </c>
      <c r="T179" s="119">
        <v>0</v>
      </c>
      <c r="U179" s="119">
        <v>0</v>
      </c>
      <c r="V179" s="119">
        <v>0</v>
      </c>
      <c r="W179" s="119">
        <v>0</v>
      </c>
      <c r="X179" s="119">
        <v>0</v>
      </c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5">
      <c r="A180" t="s">
        <v>140</v>
      </c>
      <c r="B180" t="s">
        <v>142</v>
      </c>
      <c r="C180">
        <v>17</v>
      </c>
      <c r="D180" t="s">
        <v>126</v>
      </c>
      <c r="E180" s="14">
        <v>0</v>
      </c>
      <c r="F180" s="14">
        <v>0</v>
      </c>
      <c r="G180" s="122">
        <v>0</v>
      </c>
      <c r="H180" s="119">
        <v>0</v>
      </c>
      <c r="I180" s="122">
        <v>100600</v>
      </c>
      <c r="J180" s="119">
        <v>291538.8</v>
      </c>
      <c r="K180" s="119">
        <v>0</v>
      </c>
      <c r="L180" s="119">
        <v>0</v>
      </c>
      <c r="M180" s="119">
        <v>500000</v>
      </c>
      <c r="N180" s="119">
        <v>1282500</v>
      </c>
      <c r="O180" s="119">
        <v>0</v>
      </c>
      <c r="P180" s="119">
        <v>0</v>
      </c>
      <c r="Q180" s="119">
        <v>0</v>
      </c>
      <c r="R180" s="119">
        <v>0</v>
      </c>
      <c r="S180" s="119">
        <v>0</v>
      </c>
      <c r="T180" s="119">
        <v>0</v>
      </c>
      <c r="U180" s="119">
        <v>0</v>
      </c>
      <c r="V180" s="119">
        <v>0</v>
      </c>
      <c r="W180" s="119">
        <v>0</v>
      </c>
      <c r="X180" s="119">
        <v>0</v>
      </c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5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0</v>
      </c>
      <c r="O181" s="119">
        <v>0</v>
      </c>
      <c r="P181" s="119">
        <v>0</v>
      </c>
      <c r="Q181" s="119">
        <v>0</v>
      </c>
      <c r="R181" s="119">
        <v>0</v>
      </c>
      <c r="S181" s="119">
        <v>0</v>
      </c>
      <c r="T181" s="119">
        <v>0</v>
      </c>
      <c r="U181" s="119">
        <v>0</v>
      </c>
      <c r="V181" s="119">
        <v>0</v>
      </c>
      <c r="W181" s="119">
        <v>0</v>
      </c>
      <c r="X181" s="119">
        <v>0</v>
      </c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5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>
        <v>0</v>
      </c>
      <c r="V182" s="119">
        <v>0</v>
      </c>
      <c r="W182" s="119">
        <v>0</v>
      </c>
      <c r="X182" s="119">
        <v>0</v>
      </c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5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>
        <v>0</v>
      </c>
      <c r="V183" s="119">
        <v>0</v>
      </c>
      <c r="W183" s="119">
        <v>0</v>
      </c>
      <c r="X183" s="119">
        <v>0</v>
      </c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5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>
        <v>0</v>
      </c>
      <c r="T184" s="119">
        <v>0</v>
      </c>
      <c r="U184" s="119">
        <v>0</v>
      </c>
      <c r="V184" s="119">
        <v>0</v>
      </c>
      <c r="W184" s="119">
        <v>0</v>
      </c>
      <c r="X184" s="119">
        <v>0</v>
      </c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5">
      <c r="A185" t="s">
        <v>140</v>
      </c>
      <c r="B185" t="s">
        <v>142</v>
      </c>
      <c r="C185">
        <v>22</v>
      </c>
      <c r="D185" t="s">
        <v>130</v>
      </c>
      <c r="E185" s="14">
        <v>-434994</v>
      </c>
      <c r="F185" s="14">
        <v>-1260612.612</v>
      </c>
      <c r="G185" s="122">
        <v>700692</v>
      </c>
      <c r="H185" s="119">
        <v>2030605.416</v>
      </c>
      <c r="I185" s="122">
        <v>-2035757</v>
      </c>
      <c r="J185" s="119">
        <v>-5899623.7860000003</v>
      </c>
      <c r="K185" s="119">
        <v>922833</v>
      </c>
      <c r="L185" s="119">
        <v>2674370.034</v>
      </c>
      <c r="M185" s="119">
        <v>-302594</v>
      </c>
      <c r="N185" s="119">
        <v>-776153.61</v>
      </c>
      <c r="O185" s="119">
        <v>4</v>
      </c>
      <c r="P185" s="119">
        <v>10.26</v>
      </c>
      <c r="Q185" s="119">
        <v>292561</v>
      </c>
      <c r="R185" s="119">
        <v>750418.96499999997</v>
      </c>
      <c r="S185" s="119">
        <v>0</v>
      </c>
      <c r="T185" s="119">
        <v>0</v>
      </c>
      <c r="U185" s="119">
        <v>0</v>
      </c>
      <c r="V185" s="119">
        <v>0</v>
      </c>
      <c r="W185" s="119">
        <v>1723865</v>
      </c>
      <c r="X185" s="119">
        <v>4421713.7249999996</v>
      </c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5">
      <c r="A186" t="s">
        <v>140</v>
      </c>
      <c r="B186" t="s">
        <v>142</v>
      </c>
      <c r="C186">
        <v>23</v>
      </c>
      <c r="D186" t="s">
        <v>131</v>
      </c>
      <c r="E186" s="14">
        <v>-820603</v>
      </c>
      <c r="F186" s="14">
        <v>-2378107.4939999999</v>
      </c>
      <c r="G186" s="122">
        <v>312827</v>
      </c>
      <c r="H186" s="119">
        <v>906572.64599999995</v>
      </c>
      <c r="I186" s="122">
        <v>-3560</v>
      </c>
      <c r="J186" s="119">
        <v>-10316.879999999999</v>
      </c>
      <c r="K186" s="119">
        <v>-11548</v>
      </c>
      <c r="L186" s="119">
        <v>-33466.103999999999</v>
      </c>
      <c r="M186" s="119">
        <v>0</v>
      </c>
      <c r="N186" s="119">
        <v>0</v>
      </c>
      <c r="O186" s="119">
        <v>0</v>
      </c>
      <c r="P186" s="119">
        <v>0</v>
      </c>
      <c r="Q186" s="119">
        <v>0</v>
      </c>
      <c r="R186" s="119">
        <v>0</v>
      </c>
      <c r="S186" s="119">
        <v>0</v>
      </c>
      <c r="T186" s="119">
        <v>0</v>
      </c>
      <c r="U186" s="119">
        <v>0</v>
      </c>
      <c r="V186" s="119">
        <v>0</v>
      </c>
      <c r="W186" s="119">
        <v>0</v>
      </c>
      <c r="X186" s="119">
        <v>0</v>
      </c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5">
      <c r="A187" t="s">
        <v>140</v>
      </c>
      <c r="B187" t="s">
        <v>142</v>
      </c>
      <c r="C187">
        <v>24</v>
      </c>
      <c r="D187" t="s">
        <v>55</v>
      </c>
      <c r="E187" s="14">
        <v>-72002340</v>
      </c>
      <c r="F187" s="14">
        <v>-1138993.8899999999</v>
      </c>
      <c r="G187" s="122">
        <v>-13268914</v>
      </c>
      <c r="H187" s="119">
        <v>498182.9</v>
      </c>
      <c r="I187" s="122">
        <v>14918799</v>
      </c>
      <c r="J187" s="119">
        <v>22618.560000000001</v>
      </c>
      <c r="K187" s="119">
        <v>9079615</v>
      </c>
      <c r="L187" s="119">
        <v>93804.06</v>
      </c>
      <c r="M187" s="119">
        <v>-499998</v>
      </c>
      <c r="N187" s="119">
        <v>-24604.11</v>
      </c>
      <c r="O187" s="119">
        <v>-1328</v>
      </c>
      <c r="P187" s="119">
        <v>-24.26</v>
      </c>
      <c r="Q187" s="119">
        <v>-14</v>
      </c>
      <c r="R187" s="119">
        <v>90.440000000000055</v>
      </c>
      <c r="S187" s="119">
        <v>-210113</v>
      </c>
      <c r="T187" s="119">
        <v>9902.1</v>
      </c>
      <c r="U187" s="119">
        <v>-761700</v>
      </c>
      <c r="V187" s="119">
        <v>-9902.1</v>
      </c>
      <c r="W187" s="119">
        <v>0</v>
      </c>
      <c r="X187" s="119">
        <v>0</v>
      </c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5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-148842.85</v>
      </c>
      <c r="G188" s="122">
        <v>0</v>
      </c>
      <c r="H188" s="119">
        <v>-1453903.48</v>
      </c>
      <c r="I188" s="122">
        <v>0</v>
      </c>
      <c r="J188" s="119">
        <v>697141.86</v>
      </c>
      <c r="K188" s="119">
        <v>0</v>
      </c>
      <c r="L188" s="119">
        <v>223027.57</v>
      </c>
      <c r="M188" s="119">
        <v>0</v>
      </c>
      <c r="N188" s="119">
        <v>0</v>
      </c>
      <c r="O188" s="119">
        <v>0</v>
      </c>
      <c r="P188" s="119">
        <v>-14555</v>
      </c>
      <c r="Q188" s="119">
        <v>0</v>
      </c>
      <c r="R188" s="119">
        <v>0</v>
      </c>
      <c r="S188" s="119">
        <v>0</v>
      </c>
      <c r="T188" s="119">
        <v>0</v>
      </c>
      <c r="U188" s="119">
        <v>0</v>
      </c>
      <c r="V188" s="119">
        <v>0</v>
      </c>
      <c r="W188" s="119">
        <v>0</v>
      </c>
      <c r="X188" s="119">
        <v>0</v>
      </c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5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-112345.60000000001</v>
      </c>
      <c r="G189" s="122">
        <v>0</v>
      </c>
      <c r="H189" s="119">
        <v>30216.400000000001</v>
      </c>
      <c r="I189" s="122">
        <v>0</v>
      </c>
      <c r="J189" s="119">
        <v>0.05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0</v>
      </c>
      <c r="T189" s="119">
        <v>0</v>
      </c>
      <c r="U189" s="119">
        <v>0</v>
      </c>
      <c r="V189" s="119">
        <v>0</v>
      </c>
      <c r="W189" s="119">
        <v>0</v>
      </c>
      <c r="X189" s="119">
        <v>0</v>
      </c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5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0</v>
      </c>
      <c r="T190" s="119">
        <v>0</v>
      </c>
      <c r="U190" s="119">
        <v>0</v>
      </c>
      <c r="V190" s="119">
        <v>0</v>
      </c>
      <c r="W190" s="119">
        <v>0</v>
      </c>
      <c r="X190" s="119">
        <v>0</v>
      </c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5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>
        <v>0</v>
      </c>
      <c r="T191" s="119">
        <v>0</v>
      </c>
      <c r="U191" s="119">
        <v>0</v>
      </c>
      <c r="V191" s="119">
        <v>0</v>
      </c>
      <c r="W191" s="119">
        <v>0</v>
      </c>
      <c r="X191" s="119">
        <v>0</v>
      </c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5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>
        <v>0</v>
      </c>
      <c r="V192" s="119">
        <v>0</v>
      </c>
      <c r="W192" s="119">
        <v>0</v>
      </c>
      <c r="X192" s="119">
        <v>0</v>
      </c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5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>
        <v>0</v>
      </c>
      <c r="T193" s="119">
        <v>0</v>
      </c>
      <c r="U193" s="119">
        <v>0</v>
      </c>
      <c r="V193" s="119">
        <v>0</v>
      </c>
      <c r="W193" s="119">
        <v>0</v>
      </c>
      <c r="X193" s="119">
        <v>0</v>
      </c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5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>
        <v>0</v>
      </c>
      <c r="T194" s="119">
        <v>0</v>
      </c>
      <c r="U194" s="119">
        <v>0</v>
      </c>
      <c r="V194" s="119">
        <v>0</v>
      </c>
      <c r="W194" s="119">
        <v>0</v>
      </c>
      <c r="X194" s="119">
        <v>0</v>
      </c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5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>
        <v>0</v>
      </c>
      <c r="V195" s="119">
        <v>0</v>
      </c>
      <c r="W195" s="119">
        <v>0</v>
      </c>
      <c r="X195" s="119">
        <v>0</v>
      </c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5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>
        <v>0</v>
      </c>
      <c r="V196" s="119">
        <v>0</v>
      </c>
      <c r="W196" s="119">
        <v>0</v>
      </c>
      <c r="X196" s="119">
        <v>0</v>
      </c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5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>
        <v>0</v>
      </c>
      <c r="V197" s="119">
        <v>0</v>
      </c>
      <c r="W197" s="119">
        <v>0</v>
      </c>
      <c r="X197" s="119">
        <v>0</v>
      </c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5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-15273.04</v>
      </c>
      <c r="G198" s="122">
        <v>0</v>
      </c>
      <c r="H198" s="119">
        <v>-15064.6</v>
      </c>
      <c r="I198" s="122">
        <v>0</v>
      </c>
      <c r="J198" s="119">
        <v>18318.310000000001</v>
      </c>
      <c r="K198" s="119">
        <v>0</v>
      </c>
      <c r="L198" s="119">
        <v>2085.9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>
        <v>0</v>
      </c>
      <c r="V198" s="119">
        <v>0</v>
      </c>
      <c r="W198" s="119">
        <v>0</v>
      </c>
      <c r="X198" s="119">
        <v>0</v>
      </c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5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>
        <v>0</v>
      </c>
      <c r="V199" s="119">
        <v>0</v>
      </c>
      <c r="W199" s="119">
        <v>0</v>
      </c>
      <c r="X199" s="119">
        <v>0</v>
      </c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5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>
        <v>0</v>
      </c>
      <c r="V200" s="119">
        <v>0</v>
      </c>
      <c r="W200" s="119">
        <v>0</v>
      </c>
      <c r="X200" s="119">
        <v>0</v>
      </c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5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>
        <v>0</v>
      </c>
      <c r="V201" s="119">
        <v>0</v>
      </c>
      <c r="W201" s="119">
        <v>0</v>
      </c>
      <c r="X201" s="119">
        <v>0</v>
      </c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5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>
        <v>0</v>
      </c>
      <c r="T202" s="119">
        <v>0</v>
      </c>
      <c r="U202" s="119">
        <v>0</v>
      </c>
      <c r="V202" s="119">
        <v>0</v>
      </c>
      <c r="W202" s="119">
        <v>0</v>
      </c>
      <c r="X202" s="119">
        <v>0</v>
      </c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5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486951.64</v>
      </c>
      <c r="G203" s="122">
        <v>0</v>
      </c>
      <c r="H203" s="119">
        <v>24342.400000000001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>
        <v>0</v>
      </c>
      <c r="V203" s="119">
        <v>0</v>
      </c>
      <c r="W203" s="119">
        <v>0</v>
      </c>
      <c r="X203" s="119">
        <v>0</v>
      </c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5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>
        <v>0</v>
      </c>
      <c r="V204" s="119">
        <v>0</v>
      </c>
      <c r="W204" s="119">
        <v>0</v>
      </c>
      <c r="X204" s="119">
        <v>0</v>
      </c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5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0</v>
      </c>
      <c r="U205" s="119">
        <v>0</v>
      </c>
      <c r="V205" s="119">
        <v>0</v>
      </c>
      <c r="W205" s="119">
        <v>0</v>
      </c>
      <c r="X205" s="119">
        <v>0</v>
      </c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5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>
        <v>0</v>
      </c>
      <c r="V206" s="119">
        <v>0</v>
      </c>
      <c r="W206" s="119">
        <v>0</v>
      </c>
      <c r="X206" s="119">
        <v>0</v>
      </c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5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>
        <v>0</v>
      </c>
      <c r="T207" s="119">
        <v>0</v>
      </c>
      <c r="U207" s="119">
        <v>0</v>
      </c>
      <c r="V207" s="119">
        <v>0</v>
      </c>
      <c r="W207" s="119">
        <v>0</v>
      </c>
      <c r="X207" s="119">
        <v>0</v>
      </c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5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>
        <v>0</v>
      </c>
      <c r="T208" s="119">
        <v>0</v>
      </c>
      <c r="U208" s="119">
        <v>0</v>
      </c>
      <c r="V208" s="119">
        <v>0</v>
      </c>
      <c r="W208" s="119">
        <v>0</v>
      </c>
      <c r="X208" s="119">
        <v>0</v>
      </c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5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>
        <v>0</v>
      </c>
      <c r="V209" s="119">
        <v>0</v>
      </c>
      <c r="W209" s="119">
        <v>0</v>
      </c>
      <c r="X209" s="119">
        <v>0</v>
      </c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5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>
        <v>0</v>
      </c>
      <c r="V210" s="119">
        <v>0</v>
      </c>
      <c r="W210" s="119">
        <v>0</v>
      </c>
      <c r="X210" s="119">
        <v>0</v>
      </c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5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>
        <v>0</v>
      </c>
      <c r="V211" s="119">
        <v>0</v>
      </c>
      <c r="W211" s="119">
        <v>0</v>
      </c>
      <c r="X211" s="119">
        <v>0</v>
      </c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5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>
        <v>0</v>
      </c>
      <c r="T212" s="119">
        <v>0</v>
      </c>
      <c r="U212" s="119">
        <v>0</v>
      </c>
      <c r="V212" s="119">
        <v>0</v>
      </c>
      <c r="W212" s="119">
        <v>0</v>
      </c>
      <c r="X212" s="119">
        <v>0</v>
      </c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5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>
        <v>0</v>
      </c>
      <c r="V213" s="119">
        <v>0</v>
      </c>
      <c r="W213" s="119">
        <v>0</v>
      </c>
      <c r="X213" s="119">
        <v>0</v>
      </c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5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>
        <v>0</v>
      </c>
      <c r="T214" s="119">
        <v>0</v>
      </c>
      <c r="U214" s="119">
        <v>0</v>
      </c>
      <c r="V214" s="119">
        <v>0</v>
      </c>
      <c r="W214" s="119">
        <v>0</v>
      </c>
      <c r="X214" s="119">
        <v>0</v>
      </c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5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>
        <v>0</v>
      </c>
      <c r="V215" s="119">
        <v>0</v>
      </c>
      <c r="W215" s="119">
        <v>0</v>
      </c>
      <c r="X215" s="119">
        <v>0</v>
      </c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5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>
        <v>0</v>
      </c>
      <c r="V216" s="119">
        <v>0</v>
      </c>
      <c r="W216" s="119">
        <v>0</v>
      </c>
      <c r="X216" s="119">
        <v>0</v>
      </c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5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>
        <v>0</v>
      </c>
      <c r="T217" s="119">
        <v>0</v>
      </c>
      <c r="U217" s="119">
        <v>0</v>
      </c>
      <c r="V217" s="119">
        <v>0</v>
      </c>
      <c r="W217" s="119">
        <v>0</v>
      </c>
      <c r="X217" s="119">
        <v>0</v>
      </c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5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>
        <v>0</v>
      </c>
      <c r="V218" s="119">
        <v>0</v>
      </c>
      <c r="W218" s="119">
        <v>0</v>
      </c>
      <c r="X218" s="119">
        <v>0</v>
      </c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5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>
        <v>0</v>
      </c>
      <c r="V219" s="119">
        <v>0</v>
      </c>
      <c r="W219" s="119">
        <v>0</v>
      </c>
      <c r="X219" s="119">
        <v>0</v>
      </c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5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>
        <v>0</v>
      </c>
      <c r="T220" s="119">
        <v>0</v>
      </c>
      <c r="U220" s="119">
        <v>0</v>
      </c>
      <c r="V220" s="119">
        <v>0</v>
      </c>
      <c r="W220" s="119">
        <v>0</v>
      </c>
      <c r="X220" s="119">
        <v>0</v>
      </c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5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>
        <v>0</v>
      </c>
      <c r="T221" s="119">
        <v>0</v>
      </c>
      <c r="U221" s="119">
        <v>0</v>
      </c>
      <c r="V221" s="119">
        <v>0</v>
      </c>
      <c r="W221" s="119">
        <v>0</v>
      </c>
      <c r="X221" s="119">
        <v>0</v>
      </c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5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>
        <v>0</v>
      </c>
      <c r="V222" s="119">
        <v>0</v>
      </c>
      <c r="W222" s="119">
        <v>0</v>
      </c>
      <c r="X222" s="119">
        <v>0</v>
      </c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5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>
        <v>0</v>
      </c>
      <c r="V223" s="119">
        <v>0</v>
      </c>
      <c r="W223" s="119">
        <v>0</v>
      </c>
      <c r="X223" s="119">
        <v>0</v>
      </c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5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0</v>
      </c>
      <c r="U224" s="119">
        <v>0</v>
      </c>
      <c r="V224" s="119">
        <v>0</v>
      </c>
      <c r="W224" s="119">
        <v>0</v>
      </c>
      <c r="X224" s="119">
        <v>0</v>
      </c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5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>
        <v>0</v>
      </c>
      <c r="T225" s="119">
        <v>0</v>
      </c>
      <c r="U225" s="119">
        <v>0</v>
      </c>
      <c r="V225" s="119">
        <v>0</v>
      </c>
      <c r="W225" s="119">
        <v>0</v>
      </c>
      <c r="X225" s="119">
        <v>0</v>
      </c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5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>
        <v>0</v>
      </c>
      <c r="T226" s="119">
        <v>0</v>
      </c>
      <c r="U226" s="119">
        <v>0</v>
      </c>
      <c r="V226" s="119">
        <v>0</v>
      </c>
      <c r="W226" s="119">
        <v>0</v>
      </c>
      <c r="X226" s="119">
        <v>0</v>
      </c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5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>
        <v>0</v>
      </c>
      <c r="V227" s="119">
        <v>0</v>
      </c>
      <c r="W227" s="119">
        <v>0</v>
      </c>
      <c r="X227" s="119">
        <v>0</v>
      </c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5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>
        <v>0</v>
      </c>
      <c r="V228" s="119">
        <v>0</v>
      </c>
      <c r="W228" s="119">
        <v>0</v>
      </c>
      <c r="X228" s="119">
        <v>0</v>
      </c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5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>
        <v>0</v>
      </c>
      <c r="T229" s="119">
        <v>0</v>
      </c>
      <c r="U229" s="119">
        <v>0</v>
      </c>
      <c r="V229" s="119">
        <v>0</v>
      </c>
      <c r="W229" s="119">
        <v>0</v>
      </c>
      <c r="X229" s="119">
        <v>0</v>
      </c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5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>
        <v>0</v>
      </c>
      <c r="V230" s="119">
        <v>0</v>
      </c>
      <c r="W230" s="119">
        <v>0</v>
      </c>
      <c r="X230" s="119">
        <v>0</v>
      </c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5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>
        <v>0</v>
      </c>
      <c r="V231" s="119">
        <v>0</v>
      </c>
      <c r="W231" s="119">
        <v>0</v>
      </c>
      <c r="X231" s="119">
        <v>0</v>
      </c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5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>
        <v>0</v>
      </c>
      <c r="T232" s="119">
        <v>0</v>
      </c>
      <c r="U232" s="119">
        <v>0</v>
      </c>
      <c r="V232" s="119">
        <v>0</v>
      </c>
      <c r="W232" s="119">
        <v>0</v>
      </c>
      <c r="X232" s="119">
        <v>0</v>
      </c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5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>
        <v>0</v>
      </c>
      <c r="T233" s="119">
        <v>0</v>
      </c>
      <c r="U233" s="119">
        <v>0</v>
      </c>
      <c r="V233" s="119">
        <v>0</v>
      </c>
      <c r="W233" s="119">
        <v>0</v>
      </c>
      <c r="X233" s="119">
        <v>0</v>
      </c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5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>
        <v>0</v>
      </c>
      <c r="T234" s="119">
        <v>0</v>
      </c>
      <c r="U234" s="119">
        <v>0</v>
      </c>
      <c r="V234" s="119">
        <v>0</v>
      </c>
      <c r="W234" s="119">
        <v>0</v>
      </c>
      <c r="X234" s="119">
        <v>0</v>
      </c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5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>
        <v>0</v>
      </c>
      <c r="T235" s="119">
        <v>0</v>
      </c>
      <c r="U235" s="119">
        <v>0</v>
      </c>
      <c r="V235" s="119">
        <v>0</v>
      </c>
      <c r="W235" s="119">
        <v>0</v>
      </c>
      <c r="X235" s="119">
        <v>0</v>
      </c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5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>
        <v>0</v>
      </c>
      <c r="V236" s="119">
        <v>0</v>
      </c>
      <c r="W236" s="119">
        <v>0</v>
      </c>
      <c r="X236" s="119">
        <v>0</v>
      </c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5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>
        <v>0</v>
      </c>
      <c r="V237" s="119">
        <v>0</v>
      </c>
      <c r="W237" s="119">
        <v>0</v>
      </c>
      <c r="X237" s="119">
        <v>0</v>
      </c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5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>
        <v>0</v>
      </c>
      <c r="V238" s="119">
        <v>0</v>
      </c>
      <c r="W238" s="119">
        <v>0</v>
      </c>
      <c r="X238" s="119">
        <v>0</v>
      </c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5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>
        <v>0</v>
      </c>
      <c r="V239" s="119">
        <v>0</v>
      </c>
      <c r="W239" s="119">
        <v>0</v>
      </c>
      <c r="X239" s="119">
        <v>0</v>
      </c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5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>
        <v>0</v>
      </c>
      <c r="V240" s="119">
        <v>0</v>
      </c>
      <c r="W240" s="119">
        <v>0</v>
      </c>
      <c r="X240" s="119">
        <v>0</v>
      </c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5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>
        <v>0</v>
      </c>
      <c r="V241" s="119">
        <v>0</v>
      </c>
      <c r="W241" s="119">
        <v>0</v>
      </c>
      <c r="X241" s="119">
        <v>0</v>
      </c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5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>
        <v>0</v>
      </c>
      <c r="T242" s="119">
        <v>0</v>
      </c>
      <c r="U242" s="119">
        <v>0</v>
      </c>
      <c r="V242" s="119">
        <v>0</v>
      </c>
      <c r="W242" s="119">
        <v>0</v>
      </c>
      <c r="X242" s="119">
        <v>0</v>
      </c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5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>
        <v>0</v>
      </c>
      <c r="T243" s="119">
        <v>0</v>
      </c>
      <c r="U243" s="119">
        <v>0</v>
      </c>
      <c r="V243" s="119">
        <v>0</v>
      </c>
      <c r="W243" s="119">
        <v>0</v>
      </c>
      <c r="X243" s="119">
        <v>0</v>
      </c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5">
      <c r="A244" t="s">
        <v>140</v>
      </c>
      <c r="B244" t="s">
        <v>143</v>
      </c>
      <c r="C244">
        <v>1</v>
      </c>
      <c r="D244" t="s">
        <v>25</v>
      </c>
      <c r="E244" s="14">
        <v>10633073</v>
      </c>
      <c r="F244" s="14">
        <v>32198715.640000001</v>
      </c>
      <c r="G244" s="122">
        <v>199300</v>
      </c>
      <c r="H244" s="119">
        <v>2366552.2599999998</v>
      </c>
      <c r="I244" s="122">
        <v>-3379</v>
      </c>
      <c r="J244" s="119">
        <v>-2711457.82</v>
      </c>
      <c r="K244" s="119">
        <v>1379</v>
      </c>
      <c r="L244" s="119">
        <v>-449.8</v>
      </c>
      <c r="M244" s="119">
        <v>-1526195</v>
      </c>
      <c r="N244" s="119">
        <v>-4401717.43</v>
      </c>
      <c r="O244" s="119">
        <v>-284</v>
      </c>
      <c r="P244" s="119">
        <v>-4278.47</v>
      </c>
      <c r="Q244" s="119">
        <v>4092778</v>
      </c>
      <c r="R244" s="119">
        <v>11984553.449999999</v>
      </c>
      <c r="S244" s="119">
        <v>2664</v>
      </c>
      <c r="T244" s="119">
        <v>7202.43</v>
      </c>
      <c r="U244" s="119">
        <v>-409599</v>
      </c>
      <c r="V244" s="119">
        <v>-1188471.8700000001</v>
      </c>
      <c r="W244" s="119">
        <v>-1016299</v>
      </c>
      <c r="X244" s="119">
        <v>-2736700.2</v>
      </c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5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>
        <v>0</v>
      </c>
      <c r="T245" s="119">
        <v>0</v>
      </c>
      <c r="U245" s="119">
        <v>0</v>
      </c>
      <c r="V245" s="119">
        <v>0</v>
      </c>
      <c r="W245" s="119">
        <v>0</v>
      </c>
      <c r="X245" s="119">
        <v>0</v>
      </c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5">
      <c r="A246" t="s">
        <v>140</v>
      </c>
      <c r="B246" t="s">
        <v>143</v>
      </c>
      <c r="C246">
        <v>3</v>
      </c>
      <c r="D246" t="s">
        <v>27</v>
      </c>
      <c r="E246" s="14">
        <v>11336756</v>
      </c>
      <c r="F246" s="14">
        <v>28599508</v>
      </c>
      <c r="G246" s="122">
        <v>2000</v>
      </c>
      <c r="H246" s="119">
        <v>4870</v>
      </c>
      <c r="I246" s="122">
        <v>2000</v>
      </c>
      <c r="J246" s="119">
        <v>4870</v>
      </c>
      <c r="K246" s="119">
        <v>-11338756</v>
      </c>
      <c r="L246" s="119">
        <v>-28604378</v>
      </c>
      <c r="M246" s="119">
        <v>44475153</v>
      </c>
      <c r="N246" s="119">
        <v>119252741</v>
      </c>
      <c r="O246" s="119">
        <v>4</v>
      </c>
      <c r="P246" s="119">
        <v>11</v>
      </c>
      <c r="Q246" s="119">
        <v>-44475153</v>
      </c>
      <c r="R246" s="119">
        <v>-119252741</v>
      </c>
      <c r="S246" s="119">
        <v>0</v>
      </c>
      <c r="T246" s="119">
        <v>0</v>
      </c>
      <c r="U246" s="119">
        <v>0</v>
      </c>
      <c r="V246" s="119">
        <v>0</v>
      </c>
      <c r="W246" s="119">
        <v>26453753</v>
      </c>
      <c r="X246" s="119">
        <v>68399345</v>
      </c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5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>
        <v>0</v>
      </c>
      <c r="V247" s="119">
        <v>0</v>
      </c>
      <c r="W247" s="119">
        <v>0</v>
      </c>
      <c r="X247" s="119">
        <v>0</v>
      </c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5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0</v>
      </c>
      <c r="O248" s="119">
        <v>0</v>
      </c>
      <c r="P248" s="119">
        <v>6995.76</v>
      </c>
      <c r="Q248" s="119">
        <v>0</v>
      </c>
      <c r="R248" s="119">
        <v>1875.46</v>
      </c>
      <c r="S248" s="119">
        <v>0</v>
      </c>
      <c r="T248" s="119">
        <v>-767.54</v>
      </c>
      <c r="U248" s="119">
        <v>0</v>
      </c>
      <c r="V248" s="119">
        <v>0</v>
      </c>
      <c r="W248" s="119">
        <v>0</v>
      </c>
      <c r="X248" s="119">
        <v>0</v>
      </c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5">
      <c r="A249" t="s">
        <v>140</v>
      </c>
      <c r="B249" t="s">
        <v>143</v>
      </c>
      <c r="C249">
        <v>6</v>
      </c>
      <c r="D249" t="s">
        <v>25</v>
      </c>
      <c r="E249" s="14">
        <v>-2078107</v>
      </c>
      <c r="F249" s="14">
        <v>-5014705.58</v>
      </c>
      <c r="G249" s="122">
        <v>-55401</v>
      </c>
      <c r="H249" s="119">
        <v>-146231.70000000001</v>
      </c>
      <c r="I249" s="122">
        <v>0</v>
      </c>
      <c r="J249" s="119">
        <v>0</v>
      </c>
      <c r="K249" s="119">
        <v>-4785</v>
      </c>
      <c r="L249" s="119">
        <v>-13229.7</v>
      </c>
      <c r="M249" s="119">
        <v>1661835</v>
      </c>
      <c r="N249" s="119">
        <v>4840771.57</v>
      </c>
      <c r="O249" s="119">
        <v>1320</v>
      </c>
      <c r="P249" s="119">
        <v>-2306.13</v>
      </c>
      <c r="Q249" s="119">
        <v>-1746781</v>
      </c>
      <c r="R249" s="119">
        <v>-5088261.9000000004</v>
      </c>
      <c r="S249" s="119">
        <v>-3112</v>
      </c>
      <c r="T249" s="119">
        <v>257.31</v>
      </c>
      <c r="U249" s="119">
        <v>1960</v>
      </c>
      <c r="V249" s="119">
        <v>135558.64000000001</v>
      </c>
      <c r="W249" s="119">
        <v>57384</v>
      </c>
      <c r="X249" s="119">
        <v>30087.34</v>
      </c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5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>
        <v>0</v>
      </c>
      <c r="T250" s="119">
        <v>0</v>
      </c>
      <c r="U250" s="119">
        <v>0</v>
      </c>
      <c r="V250" s="119">
        <v>0</v>
      </c>
      <c r="W250" s="119">
        <v>0</v>
      </c>
      <c r="X250" s="119">
        <v>0</v>
      </c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5">
      <c r="A251" t="s">
        <v>140</v>
      </c>
      <c r="B251" t="s">
        <v>143</v>
      </c>
      <c r="C251">
        <v>8</v>
      </c>
      <c r="D251" t="s">
        <v>27</v>
      </c>
      <c r="E251" s="14">
        <v>-11342509</v>
      </c>
      <c r="F251" s="14">
        <v>-28614796</v>
      </c>
      <c r="G251" s="122">
        <v>-2000</v>
      </c>
      <c r="H251" s="119">
        <v>-4870</v>
      </c>
      <c r="I251" s="122">
        <v>-7050</v>
      </c>
      <c r="J251" s="119">
        <v>-18330</v>
      </c>
      <c r="K251" s="119">
        <v>11344509</v>
      </c>
      <c r="L251" s="119">
        <v>28619666</v>
      </c>
      <c r="M251" s="119">
        <v>-42353629</v>
      </c>
      <c r="N251" s="119">
        <v>-113532040</v>
      </c>
      <c r="O251" s="119">
        <v>0</v>
      </c>
      <c r="P251" s="119">
        <v>0</v>
      </c>
      <c r="Q251" s="119">
        <v>42353629</v>
      </c>
      <c r="R251" s="119">
        <v>113532040</v>
      </c>
      <c r="S251" s="119">
        <v>0</v>
      </c>
      <c r="T251" s="119">
        <v>0</v>
      </c>
      <c r="U251" s="119">
        <v>0</v>
      </c>
      <c r="V251" s="119">
        <v>0</v>
      </c>
      <c r="W251" s="119">
        <v>-27401065</v>
      </c>
      <c r="X251" s="119">
        <v>-71376841</v>
      </c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5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>
        <v>0</v>
      </c>
      <c r="V252" s="119">
        <v>0</v>
      </c>
      <c r="W252" s="119">
        <v>0</v>
      </c>
      <c r="X252" s="119">
        <v>0</v>
      </c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5">
      <c r="A253" t="s">
        <v>140</v>
      </c>
      <c r="B253" t="s">
        <v>143</v>
      </c>
      <c r="C253">
        <v>10</v>
      </c>
      <c r="D253" t="s">
        <v>32</v>
      </c>
      <c r="E253" s="14">
        <v>-360</v>
      </c>
      <c r="F253" s="14">
        <v>-1032.48</v>
      </c>
      <c r="G253" s="122">
        <v>2037</v>
      </c>
      <c r="H253" s="119">
        <v>5842.116</v>
      </c>
      <c r="I253" s="122">
        <v>0</v>
      </c>
      <c r="J253" s="119">
        <v>0</v>
      </c>
      <c r="K253" s="119">
        <v>0</v>
      </c>
      <c r="L253" s="119">
        <v>0</v>
      </c>
      <c r="M253" s="119">
        <v>-771</v>
      </c>
      <c r="N253" s="119">
        <v>-2234.3580000000002</v>
      </c>
      <c r="O253" s="119">
        <v>-352759</v>
      </c>
      <c r="P253" s="119">
        <v>-11.592000000000001</v>
      </c>
      <c r="Q253" s="119">
        <v>2574</v>
      </c>
      <c r="R253" s="119">
        <v>7459.4520000000002</v>
      </c>
      <c r="S253" s="119">
        <v>-11</v>
      </c>
      <c r="T253" s="119">
        <v>-31.878</v>
      </c>
      <c r="U253" s="119">
        <v>9649</v>
      </c>
      <c r="V253" s="119">
        <v>27962.802</v>
      </c>
      <c r="W253" s="119">
        <v>0</v>
      </c>
      <c r="X253" s="119">
        <v>0</v>
      </c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5">
      <c r="A254" t="s">
        <v>140</v>
      </c>
      <c r="B254" t="s">
        <v>143</v>
      </c>
      <c r="C254">
        <v>11</v>
      </c>
      <c r="D254" t="s">
        <v>35</v>
      </c>
      <c r="E254" s="14">
        <v>4635977</v>
      </c>
      <c r="F254" s="14">
        <v>11795596.720000001</v>
      </c>
      <c r="G254" s="122">
        <v>1091927</v>
      </c>
      <c r="H254" s="119">
        <v>2800877.62</v>
      </c>
      <c r="I254" s="122">
        <v>0</v>
      </c>
      <c r="J254" s="119">
        <v>0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>
        <v>0</v>
      </c>
      <c r="T254" s="119">
        <v>0</v>
      </c>
      <c r="U254" s="119">
        <v>0</v>
      </c>
      <c r="V254" s="119">
        <v>0</v>
      </c>
      <c r="W254" s="119">
        <v>0</v>
      </c>
      <c r="X254" s="119">
        <v>0</v>
      </c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5">
      <c r="A255" t="s">
        <v>140</v>
      </c>
      <c r="B255" t="s">
        <v>143</v>
      </c>
      <c r="C255">
        <v>12</v>
      </c>
      <c r="D255" t="s">
        <v>36</v>
      </c>
      <c r="E255" s="14">
        <v>-8671068</v>
      </c>
      <c r="F255" s="14">
        <v>-22468455.399999999</v>
      </c>
      <c r="G255" s="122">
        <v>-5765950</v>
      </c>
      <c r="H255" s="119">
        <v>-14798788.07</v>
      </c>
      <c r="I255" s="122">
        <v>598</v>
      </c>
      <c r="J255" s="119">
        <v>1103.44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>
        <v>0</v>
      </c>
      <c r="T255" s="119">
        <v>0</v>
      </c>
      <c r="U255" s="119">
        <v>0</v>
      </c>
      <c r="V255" s="119">
        <v>0</v>
      </c>
      <c r="W255" s="119">
        <v>64833</v>
      </c>
      <c r="X255" s="119">
        <v>160342.35999999999</v>
      </c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5">
      <c r="A256" t="s">
        <v>140</v>
      </c>
      <c r="B256" t="s">
        <v>143</v>
      </c>
      <c r="C256">
        <v>13</v>
      </c>
      <c r="D256" t="s">
        <v>39</v>
      </c>
      <c r="E256" s="14">
        <v>-4475570</v>
      </c>
      <c r="F256" s="14">
        <v>-12835934.76</v>
      </c>
      <c r="G256" s="122">
        <v>4540079</v>
      </c>
      <c r="H256" s="119">
        <v>13020946.27</v>
      </c>
      <c r="I256" s="122">
        <v>-324229</v>
      </c>
      <c r="J256" s="119">
        <v>-929888.777</v>
      </c>
      <c r="K256" s="119">
        <v>0</v>
      </c>
      <c r="L256" s="119">
        <v>0</v>
      </c>
      <c r="M256" s="119">
        <v>696893</v>
      </c>
      <c r="N256" s="119">
        <v>2019595.9140000001</v>
      </c>
      <c r="O256" s="119">
        <v>1157</v>
      </c>
      <c r="P256" s="119">
        <v>3352.9859999999999</v>
      </c>
      <c r="Q256" s="119">
        <v>-2345731</v>
      </c>
      <c r="R256" s="119">
        <v>-6797928.4380000001</v>
      </c>
      <c r="S256" s="119">
        <v>55</v>
      </c>
      <c r="T256" s="119">
        <v>159.38999999999999</v>
      </c>
      <c r="U256" s="119">
        <v>-548425</v>
      </c>
      <c r="V256" s="119">
        <v>-1589335.65</v>
      </c>
      <c r="W256" s="119">
        <v>1220917</v>
      </c>
      <c r="X256" s="119">
        <v>3538217.466</v>
      </c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5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-1034</v>
      </c>
      <c r="P257" s="119">
        <v>-2792.73</v>
      </c>
      <c r="Q257" s="119">
        <v>-351</v>
      </c>
      <c r="R257" s="119">
        <v>-885.35</v>
      </c>
      <c r="S257" s="119">
        <v>0</v>
      </c>
      <c r="T257" s="119">
        <v>0</v>
      </c>
      <c r="U257" s="119">
        <v>-50353</v>
      </c>
      <c r="V257" s="119">
        <v>-131928.5</v>
      </c>
      <c r="W257" s="119">
        <v>0</v>
      </c>
      <c r="X257" s="119">
        <v>0</v>
      </c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5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0</v>
      </c>
      <c r="L258" s="119">
        <v>0</v>
      </c>
      <c r="M258" s="119">
        <v>0</v>
      </c>
      <c r="N258" s="119">
        <v>0</v>
      </c>
      <c r="O258" s="119">
        <v>0</v>
      </c>
      <c r="P258" s="119">
        <v>0</v>
      </c>
      <c r="Q258" s="119">
        <v>0</v>
      </c>
      <c r="R258" s="119">
        <v>0</v>
      </c>
      <c r="S258" s="119">
        <v>347</v>
      </c>
      <c r="T258" s="119">
        <v>939.78</v>
      </c>
      <c r="U258" s="119">
        <v>0</v>
      </c>
      <c r="V258" s="119">
        <v>0</v>
      </c>
      <c r="W258" s="119">
        <v>0</v>
      </c>
      <c r="X258" s="119">
        <v>0</v>
      </c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5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0</v>
      </c>
      <c r="P259" s="119">
        <v>0</v>
      </c>
      <c r="Q259" s="119">
        <v>100600</v>
      </c>
      <c r="R259" s="119">
        <v>0</v>
      </c>
      <c r="S259" s="119">
        <v>0</v>
      </c>
      <c r="T259" s="119">
        <v>0</v>
      </c>
      <c r="U259" s="119">
        <v>0</v>
      </c>
      <c r="V259" s="119">
        <v>0</v>
      </c>
      <c r="W259" s="119">
        <v>0</v>
      </c>
      <c r="X259" s="119">
        <v>0</v>
      </c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5">
      <c r="A260" t="s">
        <v>140</v>
      </c>
      <c r="B260" t="s">
        <v>143</v>
      </c>
      <c r="C260">
        <v>17</v>
      </c>
      <c r="D260" t="s">
        <v>126</v>
      </c>
      <c r="E260" s="14">
        <v>0</v>
      </c>
      <c r="F260" s="14">
        <v>0</v>
      </c>
      <c r="G260" s="122">
        <v>317010</v>
      </c>
      <c r="H260" s="119">
        <v>936574.34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0</v>
      </c>
      <c r="P260" s="119">
        <v>0</v>
      </c>
      <c r="Q260" s="119">
        <v>-120600</v>
      </c>
      <c r="R260" s="119">
        <v>-349499</v>
      </c>
      <c r="S260" s="119">
        <v>0</v>
      </c>
      <c r="T260" s="119">
        <v>0</v>
      </c>
      <c r="U260" s="119">
        <v>0</v>
      </c>
      <c r="V260" s="119">
        <v>0</v>
      </c>
      <c r="W260" s="119">
        <v>0</v>
      </c>
      <c r="X260" s="119">
        <v>0</v>
      </c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5">
      <c r="A261" t="s">
        <v>140</v>
      </c>
      <c r="B261" t="s">
        <v>143</v>
      </c>
      <c r="C261">
        <v>18</v>
      </c>
      <c r="D261" t="s">
        <v>127</v>
      </c>
      <c r="E261" s="14">
        <v>-35300</v>
      </c>
      <c r="F261" s="14">
        <v>-75073.55</v>
      </c>
      <c r="G261" s="122">
        <v>-300</v>
      </c>
      <c r="H261" s="119">
        <v>-638.02</v>
      </c>
      <c r="I261" s="122">
        <v>600</v>
      </c>
      <c r="J261" s="119">
        <v>1276.04</v>
      </c>
      <c r="K261" s="119">
        <v>0</v>
      </c>
      <c r="L261" s="119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>
        <v>0</v>
      </c>
      <c r="V261" s="119">
        <v>0</v>
      </c>
      <c r="W261" s="119">
        <v>0</v>
      </c>
      <c r="X261" s="119">
        <v>0</v>
      </c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5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>
        <v>0</v>
      </c>
      <c r="T262" s="119">
        <v>0</v>
      </c>
      <c r="U262" s="119">
        <v>0</v>
      </c>
      <c r="V262" s="119">
        <v>0</v>
      </c>
      <c r="W262" s="119">
        <v>0</v>
      </c>
      <c r="X262" s="119">
        <v>0</v>
      </c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5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>
        <v>0</v>
      </c>
      <c r="V263" s="119">
        <v>0</v>
      </c>
      <c r="W263" s="119">
        <v>0</v>
      </c>
      <c r="X263" s="119">
        <v>0</v>
      </c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5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>
        <v>0</v>
      </c>
      <c r="V264" s="119">
        <v>0</v>
      </c>
      <c r="W264" s="119">
        <v>0</v>
      </c>
      <c r="X264" s="119">
        <v>0</v>
      </c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5">
      <c r="A265" t="s">
        <v>140</v>
      </c>
      <c r="B265" t="s">
        <v>143</v>
      </c>
      <c r="C265">
        <v>22</v>
      </c>
      <c r="D265" t="s">
        <v>130</v>
      </c>
      <c r="E265" s="14">
        <v>-2892</v>
      </c>
      <c r="F265" s="14">
        <v>-8294.2559999999994</v>
      </c>
      <c r="G265" s="122">
        <v>-328702</v>
      </c>
      <c r="H265" s="119">
        <v>-942717.33599999989</v>
      </c>
      <c r="I265" s="122">
        <v>331460</v>
      </c>
      <c r="J265" s="119">
        <v>950627.28</v>
      </c>
      <c r="K265" s="119">
        <v>-2347</v>
      </c>
      <c r="L265" s="119">
        <v>-6731.1959999999999</v>
      </c>
      <c r="M265" s="119">
        <v>-2953286</v>
      </c>
      <c r="N265" s="119">
        <v>-8558622.8279999997</v>
      </c>
      <c r="O265" s="119">
        <v>351596</v>
      </c>
      <c r="P265" s="119">
        <v>1018925.208</v>
      </c>
      <c r="Q265" s="119">
        <v>2139035</v>
      </c>
      <c r="R265" s="119">
        <v>6198923.4299999997</v>
      </c>
      <c r="S265" s="119">
        <v>57</v>
      </c>
      <c r="T265" s="119">
        <v>165.18600000000001</v>
      </c>
      <c r="U265" s="119">
        <v>996768</v>
      </c>
      <c r="V265" s="119">
        <v>2888633.6639999999</v>
      </c>
      <c r="W265" s="119">
        <v>620477</v>
      </c>
      <c r="X265" s="119">
        <v>1798142.3459999999</v>
      </c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5">
      <c r="A266" t="s">
        <v>140</v>
      </c>
      <c r="B266" t="s">
        <v>143</v>
      </c>
      <c r="C266">
        <v>23</v>
      </c>
      <c r="D266" t="s">
        <v>131</v>
      </c>
      <c r="E266" s="14">
        <v>360</v>
      </c>
      <c r="F266" s="14">
        <v>1032.48</v>
      </c>
      <c r="G266" s="122">
        <v>-2037</v>
      </c>
      <c r="H266" s="119">
        <v>-5842.116</v>
      </c>
      <c r="I266" s="122">
        <v>0</v>
      </c>
      <c r="J266" s="119">
        <v>0</v>
      </c>
      <c r="K266" s="119">
        <v>0</v>
      </c>
      <c r="L266" s="119">
        <v>0</v>
      </c>
      <c r="M266" s="119">
        <v>771</v>
      </c>
      <c r="N266" s="119">
        <v>2234.3580000000002</v>
      </c>
      <c r="O266" s="119">
        <v>4</v>
      </c>
      <c r="P266" s="119">
        <v>11.592000000000001</v>
      </c>
      <c r="Q266" s="119">
        <v>-2574</v>
      </c>
      <c r="R266" s="119">
        <v>-7459.4520000000002</v>
      </c>
      <c r="S266" s="119">
        <v>11</v>
      </c>
      <c r="T266" s="119">
        <v>31.878</v>
      </c>
      <c r="U266" s="119">
        <v>-9649</v>
      </c>
      <c r="V266" s="119">
        <v>-27962.802</v>
      </c>
      <c r="W266" s="119">
        <v>0</v>
      </c>
      <c r="X266" s="119">
        <v>0</v>
      </c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5">
      <c r="A267" t="s">
        <v>140</v>
      </c>
      <c r="B267" t="s">
        <v>143</v>
      </c>
      <c r="C267">
        <v>24</v>
      </c>
      <c r="D267" t="s">
        <v>55</v>
      </c>
      <c r="E267" s="14">
        <v>-9777875</v>
      </c>
      <c r="F267" s="14">
        <v>-525119.56999999995</v>
      </c>
      <c r="G267" s="122">
        <v>-5653160</v>
      </c>
      <c r="H267" s="119">
        <v>3389.19</v>
      </c>
      <c r="I267" s="122">
        <v>-18540</v>
      </c>
      <c r="J267" s="119">
        <v>-7055.03</v>
      </c>
      <c r="K267" s="119">
        <v>341331</v>
      </c>
      <c r="L267" s="119">
        <v>13317.62</v>
      </c>
      <c r="M267" s="119">
        <v>301086</v>
      </c>
      <c r="N267" s="119">
        <v>39852.6</v>
      </c>
      <c r="O267" s="119">
        <v>3547</v>
      </c>
      <c r="P267" s="119">
        <v>10432.65</v>
      </c>
      <c r="Q267" s="119">
        <v>-1604655</v>
      </c>
      <c r="R267" s="119">
        <v>-30529.7</v>
      </c>
      <c r="S267" s="119">
        <v>-161</v>
      </c>
      <c r="T267" s="119">
        <v>8460.61</v>
      </c>
      <c r="U267" s="119">
        <v>-2356909</v>
      </c>
      <c r="V267" s="119">
        <v>73228.72</v>
      </c>
      <c r="W267" s="119">
        <v>1</v>
      </c>
      <c r="X267" s="119">
        <v>99652.08</v>
      </c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5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-40884</v>
      </c>
      <c r="G268" s="122">
        <v>0</v>
      </c>
      <c r="H268" s="119">
        <v>0</v>
      </c>
      <c r="I268" s="122">
        <v>0</v>
      </c>
      <c r="J268" s="119">
        <v>0</v>
      </c>
      <c r="K268" s="119">
        <v>0</v>
      </c>
      <c r="L268" s="119">
        <v>-93300</v>
      </c>
      <c r="M268" s="119">
        <v>0</v>
      </c>
      <c r="N268" s="119">
        <v>-392459.34</v>
      </c>
      <c r="O268" s="119">
        <v>0</v>
      </c>
      <c r="P268" s="119">
        <v>30129.67</v>
      </c>
      <c r="Q268" s="119">
        <v>0</v>
      </c>
      <c r="R268" s="119">
        <v>75</v>
      </c>
      <c r="S268" s="119">
        <v>0</v>
      </c>
      <c r="T268" s="119">
        <v>-75</v>
      </c>
      <c r="U268" s="119">
        <v>0</v>
      </c>
      <c r="V268" s="119">
        <v>-22003.07</v>
      </c>
      <c r="W268" s="119">
        <v>0</v>
      </c>
      <c r="X268" s="119">
        <v>-21908.67</v>
      </c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5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0</v>
      </c>
      <c r="M269" s="119">
        <v>0</v>
      </c>
      <c r="N269" s="119">
        <v>3679.49</v>
      </c>
      <c r="O269" s="119">
        <v>0</v>
      </c>
      <c r="P269" s="119">
        <v>0</v>
      </c>
      <c r="Q269" s="119">
        <v>0</v>
      </c>
      <c r="R269" s="119">
        <v>114750</v>
      </c>
      <c r="S269" s="119">
        <v>0</v>
      </c>
      <c r="T269" s="119">
        <v>0</v>
      </c>
      <c r="U269" s="119">
        <v>0</v>
      </c>
      <c r="V269" s="119">
        <v>0</v>
      </c>
      <c r="W269" s="119">
        <v>0</v>
      </c>
      <c r="X269" s="119">
        <v>0</v>
      </c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5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>
        <v>0</v>
      </c>
      <c r="T270" s="119">
        <v>0</v>
      </c>
      <c r="U270" s="119">
        <v>0</v>
      </c>
      <c r="V270" s="119">
        <v>0</v>
      </c>
      <c r="W270" s="119">
        <v>0</v>
      </c>
      <c r="X270" s="119">
        <v>0</v>
      </c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5">
      <c r="A271" t="s">
        <v>140</v>
      </c>
      <c r="B271" t="s">
        <v>143</v>
      </c>
      <c r="C271">
        <v>28</v>
      </c>
      <c r="D271" t="s">
        <v>134</v>
      </c>
      <c r="E271" s="14">
        <v>0</v>
      </c>
      <c r="F271" s="14">
        <v>-60000</v>
      </c>
      <c r="G271" s="122">
        <v>-317010</v>
      </c>
      <c r="H271" s="119">
        <v>-479.29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>
        <v>0</v>
      </c>
      <c r="V271" s="119">
        <v>0</v>
      </c>
      <c r="W271" s="119">
        <v>0</v>
      </c>
      <c r="X271" s="119">
        <v>0</v>
      </c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5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>
        <v>0</v>
      </c>
      <c r="T272" s="119">
        <v>0</v>
      </c>
      <c r="U272" s="119">
        <v>0</v>
      </c>
      <c r="V272" s="119">
        <v>0</v>
      </c>
      <c r="W272" s="119">
        <v>0</v>
      </c>
      <c r="X272" s="119">
        <v>0</v>
      </c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5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>
        <v>0</v>
      </c>
      <c r="V273" s="119">
        <v>0</v>
      </c>
      <c r="W273" s="119">
        <v>0</v>
      </c>
      <c r="X273" s="119">
        <v>0</v>
      </c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5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>
        <v>0</v>
      </c>
      <c r="V274" s="119">
        <v>0</v>
      </c>
      <c r="W274" s="119">
        <v>0</v>
      </c>
      <c r="X274" s="119">
        <v>0</v>
      </c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5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>
        <v>0</v>
      </c>
      <c r="V275" s="119">
        <v>0</v>
      </c>
      <c r="W275" s="119">
        <v>0</v>
      </c>
      <c r="X275" s="119">
        <v>0</v>
      </c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5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>
        <v>0</v>
      </c>
      <c r="T276" s="119">
        <v>0</v>
      </c>
      <c r="U276" s="119">
        <v>0</v>
      </c>
      <c r="V276" s="119">
        <v>0</v>
      </c>
      <c r="W276" s="119">
        <v>0</v>
      </c>
      <c r="X276" s="119">
        <v>0</v>
      </c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5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>
        <v>0</v>
      </c>
      <c r="V277" s="119">
        <v>0</v>
      </c>
      <c r="W277" s="119">
        <v>0</v>
      </c>
      <c r="X277" s="119">
        <v>0</v>
      </c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5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-2466.02</v>
      </c>
      <c r="G278" s="122">
        <v>0</v>
      </c>
      <c r="H278" s="119">
        <v>-1967.5</v>
      </c>
      <c r="I278" s="122">
        <v>0</v>
      </c>
      <c r="J278" s="119">
        <v>1967.5</v>
      </c>
      <c r="K278" s="119">
        <v>0</v>
      </c>
      <c r="L278" s="119">
        <v>0</v>
      </c>
      <c r="M278" s="119">
        <v>0</v>
      </c>
      <c r="N278" s="119">
        <v>262.52999999999997</v>
      </c>
      <c r="O278" s="119">
        <v>0</v>
      </c>
      <c r="P278" s="119">
        <v>7.99</v>
      </c>
      <c r="Q278" s="119">
        <v>0</v>
      </c>
      <c r="R278" s="119">
        <v>927.34</v>
      </c>
      <c r="S278" s="119">
        <v>0</v>
      </c>
      <c r="T278" s="119">
        <v>0</v>
      </c>
      <c r="U278" s="119">
        <v>0</v>
      </c>
      <c r="V278" s="119">
        <v>360.67</v>
      </c>
      <c r="W278" s="119">
        <v>0</v>
      </c>
      <c r="X278" s="119">
        <v>0</v>
      </c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5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>
        <v>0</v>
      </c>
      <c r="V279" s="119">
        <v>0</v>
      </c>
      <c r="W279" s="119">
        <v>0</v>
      </c>
      <c r="X279" s="119">
        <v>0</v>
      </c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5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>
        <v>0</v>
      </c>
      <c r="T280" s="119">
        <v>0</v>
      </c>
      <c r="U280" s="119">
        <v>0</v>
      </c>
      <c r="V280" s="119">
        <v>0</v>
      </c>
      <c r="W280" s="119">
        <v>0</v>
      </c>
      <c r="X280" s="119">
        <v>0</v>
      </c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5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>
        <v>0</v>
      </c>
      <c r="T281" s="119">
        <v>0</v>
      </c>
      <c r="U281" s="119">
        <v>0</v>
      </c>
      <c r="V281" s="119">
        <v>0</v>
      </c>
      <c r="W281" s="119">
        <v>0</v>
      </c>
      <c r="X281" s="119">
        <v>0</v>
      </c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5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>
        <v>0</v>
      </c>
      <c r="V282" s="119">
        <v>0</v>
      </c>
      <c r="W282" s="119">
        <v>0</v>
      </c>
      <c r="X282" s="119">
        <v>0</v>
      </c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5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>
        <v>0</v>
      </c>
      <c r="T283" s="119">
        <v>0</v>
      </c>
      <c r="U283" s="119">
        <v>0</v>
      </c>
      <c r="V283" s="119">
        <v>0</v>
      </c>
      <c r="W283" s="119">
        <v>0</v>
      </c>
      <c r="X283" s="119">
        <v>0</v>
      </c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5">
      <c r="A284" t="s">
        <v>140</v>
      </c>
      <c r="B284" t="s">
        <v>144</v>
      </c>
      <c r="C284">
        <v>1</v>
      </c>
      <c r="D284" t="s">
        <v>25</v>
      </c>
      <c r="E284" s="14">
        <v>28381120</v>
      </c>
      <c r="F284" s="14">
        <v>74671405.099999994</v>
      </c>
      <c r="G284" s="122">
        <v>-16497</v>
      </c>
      <c r="H284" s="119">
        <v>-766653.36</v>
      </c>
      <c r="I284" s="122">
        <v>20790</v>
      </c>
      <c r="J284" s="119">
        <v>57283.96</v>
      </c>
      <c r="K284" s="119">
        <v>-9343</v>
      </c>
      <c r="L284" s="119">
        <v>-19534.580000000002</v>
      </c>
      <c r="M284" s="119">
        <v>0</v>
      </c>
      <c r="N284" s="119">
        <v>23654.13</v>
      </c>
      <c r="O284" s="119">
        <v>0</v>
      </c>
      <c r="P284" s="119">
        <v>0</v>
      </c>
      <c r="Q284" s="119">
        <v>0</v>
      </c>
      <c r="R284" s="119">
        <v>0</v>
      </c>
      <c r="S284" s="119">
        <v>0</v>
      </c>
      <c r="T284" s="119">
        <v>-22010.87</v>
      </c>
      <c r="U284" s="119">
        <v>0</v>
      </c>
      <c r="V284" s="119">
        <v>0</v>
      </c>
      <c r="W284" s="119">
        <v>0</v>
      </c>
      <c r="X284" s="119">
        <v>0</v>
      </c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5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>
        <v>0</v>
      </c>
      <c r="T285" s="119">
        <v>0</v>
      </c>
      <c r="U285" s="119">
        <v>0</v>
      </c>
      <c r="V285" s="119">
        <v>0</v>
      </c>
      <c r="W285" s="119">
        <v>0</v>
      </c>
      <c r="X285" s="119">
        <v>0</v>
      </c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5">
      <c r="A286" t="s">
        <v>140</v>
      </c>
      <c r="B286" t="s">
        <v>144</v>
      </c>
      <c r="C286">
        <v>3</v>
      </c>
      <c r="D286" t="s">
        <v>27</v>
      </c>
      <c r="E286" s="14">
        <v>15666477</v>
      </c>
      <c r="F286" s="14">
        <v>38344588</v>
      </c>
      <c r="G286" s="122">
        <v>524808</v>
      </c>
      <c r="H286" s="119">
        <v>1435859</v>
      </c>
      <c r="I286" s="122">
        <v>522308</v>
      </c>
      <c r="J286" s="119">
        <v>1428871</v>
      </c>
      <c r="K286" s="119">
        <v>-16191285</v>
      </c>
      <c r="L286" s="119">
        <v>-39780447</v>
      </c>
      <c r="M286" s="119">
        <v>5000742</v>
      </c>
      <c r="N286" s="119">
        <v>14390808</v>
      </c>
      <c r="O286" s="119">
        <v>0</v>
      </c>
      <c r="P286" s="119">
        <v>0</v>
      </c>
      <c r="Q286" s="119">
        <v>-5000742</v>
      </c>
      <c r="R286" s="119">
        <v>-14390808</v>
      </c>
      <c r="S286" s="119">
        <v>0</v>
      </c>
      <c r="T286" s="119">
        <v>0</v>
      </c>
      <c r="U286" s="119">
        <v>0</v>
      </c>
      <c r="V286" s="119">
        <v>0</v>
      </c>
      <c r="W286" s="119">
        <v>1728626</v>
      </c>
      <c r="X286" s="119">
        <v>5120855</v>
      </c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5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>
        <v>0</v>
      </c>
      <c r="T287" s="119">
        <v>0</v>
      </c>
      <c r="U287" s="119">
        <v>0</v>
      </c>
      <c r="V287" s="119">
        <v>0</v>
      </c>
      <c r="W287" s="119">
        <v>0</v>
      </c>
      <c r="X287" s="119">
        <v>0</v>
      </c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5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2">
        <v>0</v>
      </c>
      <c r="H288" s="119">
        <v>773399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-23437.5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>
        <v>0</v>
      </c>
      <c r="V288" s="119">
        <v>0</v>
      </c>
      <c r="W288" s="119">
        <v>0</v>
      </c>
      <c r="X288" s="119">
        <v>0</v>
      </c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5">
      <c r="A289" t="s">
        <v>140</v>
      </c>
      <c r="B289" t="s">
        <v>144</v>
      </c>
      <c r="C289">
        <v>6</v>
      </c>
      <c r="D289" t="s">
        <v>25</v>
      </c>
      <c r="E289" s="14">
        <v>-30524913</v>
      </c>
      <c r="F289" s="14">
        <v>-76898375.650000006</v>
      </c>
      <c r="G289" s="122">
        <v>-40612</v>
      </c>
      <c r="H289" s="119">
        <v>-240509.21</v>
      </c>
      <c r="I289" s="122">
        <v>-15201</v>
      </c>
      <c r="J289" s="119">
        <v>-53815.040000000001</v>
      </c>
      <c r="K289" s="119">
        <v>0</v>
      </c>
      <c r="L289" s="119">
        <v>-253900.05</v>
      </c>
      <c r="M289" s="119">
        <v>57654</v>
      </c>
      <c r="N289" s="119">
        <v>146172.32999999999</v>
      </c>
      <c r="O289" s="119">
        <v>500025</v>
      </c>
      <c r="P289" s="119">
        <v>73.36</v>
      </c>
      <c r="Q289" s="119">
        <v>0</v>
      </c>
      <c r="R289" s="119">
        <v>0</v>
      </c>
      <c r="S289" s="119">
        <v>-1</v>
      </c>
      <c r="T289" s="119">
        <v>-2464.12</v>
      </c>
      <c r="U289" s="119">
        <v>4</v>
      </c>
      <c r="V289" s="119">
        <v>10.56</v>
      </c>
      <c r="W289" s="119">
        <v>0</v>
      </c>
      <c r="X289" s="119">
        <v>0</v>
      </c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5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>
        <v>0</v>
      </c>
      <c r="V290" s="119">
        <v>0</v>
      </c>
      <c r="W290" s="119">
        <v>0</v>
      </c>
      <c r="X290" s="119">
        <v>0</v>
      </c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5">
      <c r="A291" t="s">
        <v>140</v>
      </c>
      <c r="B291" t="s">
        <v>144</v>
      </c>
      <c r="C291">
        <v>8</v>
      </c>
      <c r="D291" t="s">
        <v>27</v>
      </c>
      <c r="E291" s="14">
        <v>-15154169</v>
      </c>
      <c r="F291" s="14">
        <v>-36942817</v>
      </c>
      <c r="G291" s="122">
        <v>-524808</v>
      </c>
      <c r="H291" s="119">
        <v>-1435859</v>
      </c>
      <c r="I291" s="122">
        <v>0</v>
      </c>
      <c r="J291" s="119">
        <v>0</v>
      </c>
      <c r="K291" s="119">
        <v>15678977</v>
      </c>
      <c r="L291" s="119">
        <v>38378676</v>
      </c>
      <c r="M291" s="119">
        <v>-2743387</v>
      </c>
      <c r="N291" s="119">
        <v>-7708380</v>
      </c>
      <c r="O291" s="119">
        <v>0</v>
      </c>
      <c r="P291" s="119">
        <v>0</v>
      </c>
      <c r="Q291" s="119">
        <v>2685751</v>
      </c>
      <c r="R291" s="119">
        <v>7563137</v>
      </c>
      <c r="S291" s="119">
        <v>0</v>
      </c>
      <c r="T291" s="119">
        <v>0</v>
      </c>
      <c r="U291" s="119">
        <v>0</v>
      </c>
      <c r="V291" s="119">
        <v>0</v>
      </c>
      <c r="W291" s="119">
        <v>-1179</v>
      </c>
      <c r="X291" s="119">
        <v>-2972</v>
      </c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5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>
        <v>0</v>
      </c>
      <c r="T292" s="119">
        <v>0</v>
      </c>
      <c r="U292" s="119">
        <v>0</v>
      </c>
      <c r="V292" s="119">
        <v>0</v>
      </c>
      <c r="W292" s="119">
        <v>0</v>
      </c>
      <c r="X292" s="119">
        <v>0</v>
      </c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5">
      <c r="A293" t="s">
        <v>140</v>
      </c>
      <c r="B293" t="s">
        <v>144</v>
      </c>
      <c r="C293">
        <v>10</v>
      </c>
      <c r="D293" t="s">
        <v>32</v>
      </c>
      <c r="E293" s="14">
        <v>351125</v>
      </c>
      <c r="F293" s="14">
        <v>925565.5</v>
      </c>
      <c r="G293" s="122">
        <v>-30213</v>
      </c>
      <c r="H293" s="119">
        <v>-79641.467999999993</v>
      </c>
      <c r="I293" s="122">
        <v>-10370</v>
      </c>
      <c r="J293" s="119">
        <v>-27335.32</v>
      </c>
      <c r="K293" s="119">
        <v>376</v>
      </c>
      <c r="L293" s="119">
        <v>991.13599999999997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>
        <v>0</v>
      </c>
      <c r="V293" s="119">
        <v>0</v>
      </c>
      <c r="W293" s="119">
        <v>0</v>
      </c>
      <c r="X293" s="119">
        <v>0</v>
      </c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5">
      <c r="A294" t="s">
        <v>140</v>
      </c>
      <c r="B294" t="s">
        <v>144</v>
      </c>
      <c r="C294">
        <v>11</v>
      </c>
      <c r="D294" t="s">
        <v>35</v>
      </c>
      <c r="E294" s="14">
        <v>1140500</v>
      </c>
      <c r="F294" s="14">
        <v>3104046.15</v>
      </c>
      <c r="G294" s="122">
        <v>0</v>
      </c>
      <c r="H294" s="119">
        <v>0</v>
      </c>
      <c r="I294" s="122">
        <v>-5000</v>
      </c>
      <c r="J294" s="119">
        <v>-14025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>
        <v>0</v>
      </c>
      <c r="V294" s="119">
        <v>0</v>
      </c>
      <c r="W294" s="119">
        <v>0</v>
      </c>
      <c r="X294" s="119">
        <v>0</v>
      </c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5">
      <c r="A295" t="s">
        <v>140</v>
      </c>
      <c r="B295" t="s">
        <v>144</v>
      </c>
      <c r="C295">
        <v>12</v>
      </c>
      <c r="D295" t="s">
        <v>36</v>
      </c>
      <c r="E295" s="14">
        <v>-15000</v>
      </c>
      <c r="F295" s="14">
        <v>-36625</v>
      </c>
      <c r="G295" s="122">
        <v>5000</v>
      </c>
      <c r="H295" s="119">
        <v>12275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>
        <v>0</v>
      </c>
      <c r="V295" s="119">
        <v>0</v>
      </c>
      <c r="W295" s="119">
        <v>0</v>
      </c>
      <c r="X295" s="119">
        <v>0</v>
      </c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5">
      <c r="A296" t="s">
        <v>140</v>
      </c>
      <c r="B296" t="s">
        <v>144</v>
      </c>
      <c r="C296">
        <v>13</v>
      </c>
      <c r="D296" t="s">
        <v>39</v>
      </c>
      <c r="E296" s="14">
        <v>31852</v>
      </c>
      <c r="F296" s="14">
        <v>92307.1</v>
      </c>
      <c r="G296" s="122">
        <v>-121646</v>
      </c>
      <c r="H296" s="119">
        <v>-329003.76</v>
      </c>
      <c r="I296" s="122">
        <v>-33772</v>
      </c>
      <c r="J296" s="119">
        <v>-89022.991999999998</v>
      </c>
      <c r="K296" s="119">
        <v>9256</v>
      </c>
      <c r="L296" s="119">
        <v>24398.815999999999</v>
      </c>
      <c r="M296" s="119">
        <v>-31</v>
      </c>
      <c r="N296" s="119">
        <v>-80.290000000000006</v>
      </c>
      <c r="O296" s="119">
        <v>0</v>
      </c>
      <c r="P296" s="119">
        <v>0</v>
      </c>
      <c r="Q296" s="119">
        <v>0</v>
      </c>
      <c r="R296" s="119">
        <v>0</v>
      </c>
      <c r="S296" s="119">
        <v>0</v>
      </c>
      <c r="T296" s="119">
        <v>0</v>
      </c>
      <c r="U296" s="119">
        <v>0</v>
      </c>
      <c r="V296" s="119">
        <v>0</v>
      </c>
      <c r="W296" s="119">
        <v>-57744</v>
      </c>
      <c r="X296" s="119">
        <v>-149556.96</v>
      </c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5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2">
        <v>0</v>
      </c>
      <c r="H297" s="119">
        <v>0</v>
      </c>
      <c r="I297" s="122">
        <v>-21</v>
      </c>
      <c r="J297" s="119">
        <v>-51.49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>
        <v>0</v>
      </c>
      <c r="T297" s="119">
        <v>0</v>
      </c>
      <c r="U297" s="119">
        <v>0</v>
      </c>
      <c r="V297" s="119">
        <v>0</v>
      </c>
      <c r="W297" s="119">
        <v>0</v>
      </c>
      <c r="X297" s="119">
        <v>0</v>
      </c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5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2">
        <v>10415</v>
      </c>
      <c r="H298" s="119">
        <v>27495.599999999999</v>
      </c>
      <c r="I298" s="122">
        <v>0</v>
      </c>
      <c r="J298" s="119">
        <v>0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>
        <v>0</v>
      </c>
      <c r="T298" s="119">
        <v>0</v>
      </c>
      <c r="U298" s="119">
        <v>0</v>
      </c>
      <c r="V298" s="119">
        <v>0</v>
      </c>
      <c r="W298" s="119">
        <v>0</v>
      </c>
      <c r="X298" s="119">
        <v>0</v>
      </c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5">
      <c r="A299" t="s">
        <v>140</v>
      </c>
      <c r="B299" t="s">
        <v>144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-500000</v>
      </c>
      <c r="P299" s="119">
        <v>-1335000</v>
      </c>
      <c r="Q299" s="119">
        <v>0</v>
      </c>
      <c r="R299" s="119">
        <v>0</v>
      </c>
      <c r="S299" s="119">
        <v>0</v>
      </c>
      <c r="T299" s="119">
        <v>0</v>
      </c>
      <c r="U299" s="119">
        <v>0</v>
      </c>
      <c r="V299" s="119">
        <v>0</v>
      </c>
      <c r="W299" s="119">
        <v>0</v>
      </c>
      <c r="X299" s="119">
        <v>0</v>
      </c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5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2">
        <v>23655</v>
      </c>
      <c r="H300" s="119">
        <v>58644.45</v>
      </c>
      <c r="I300" s="122">
        <v>270005</v>
      </c>
      <c r="J300" s="119">
        <v>711733.18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>
        <v>0</v>
      </c>
      <c r="T300" s="119">
        <v>0</v>
      </c>
      <c r="U300" s="119">
        <v>0</v>
      </c>
      <c r="V300" s="119">
        <v>0</v>
      </c>
      <c r="W300" s="119">
        <v>0</v>
      </c>
      <c r="X300" s="119">
        <v>0</v>
      </c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5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2">
        <v>0</v>
      </c>
      <c r="H301" s="119">
        <v>0</v>
      </c>
      <c r="I301" s="122">
        <v>-12464</v>
      </c>
      <c r="J301" s="119">
        <v>-27919.360000000001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>
        <v>0</v>
      </c>
      <c r="V301" s="119">
        <v>0</v>
      </c>
      <c r="W301" s="119">
        <v>0</v>
      </c>
      <c r="X301" s="119">
        <v>0</v>
      </c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5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>
        <v>0</v>
      </c>
      <c r="V302" s="119">
        <v>0</v>
      </c>
      <c r="W302" s="119">
        <v>0</v>
      </c>
      <c r="X302" s="119">
        <v>0</v>
      </c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5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>
        <v>0</v>
      </c>
      <c r="V303" s="119">
        <v>0</v>
      </c>
      <c r="W303" s="119">
        <v>0</v>
      </c>
      <c r="X303" s="119">
        <v>0</v>
      </c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5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>
        <v>0</v>
      </c>
      <c r="T304" s="119">
        <v>0</v>
      </c>
      <c r="U304" s="119">
        <v>0</v>
      </c>
      <c r="V304" s="119">
        <v>0</v>
      </c>
      <c r="W304" s="119">
        <v>0</v>
      </c>
      <c r="X304" s="119">
        <v>0</v>
      </c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5">
      <c r="A305" t="s">
        <v>140</v>
      </c>
      <c r="B305" t="s">
        <v>144</v>
      </c>
      <c r="C305">
        <v>22</v>
      </c>
      <c r="D305" t="s">
        <v>130</v>
      </c>
      <c r="E305" s="14">
        <v>123008</v>
      </c>
      <c r="F305" s="14">
        <v>324249.08799999999</v>
      </c>
      <c r="G305" s="122">
        <v>169898</v>
      </c>
      <c r="H305" s="119">
        <v>447851.12800000003</v>
      </c>
      <c r="I305" s="122">
        <v>-736275</v>
      </c>
      <c r="J305" s="119">
        <v>-1940820.9</v>
      </c>
      <c r="K305" s="119">
        <v>512019</v>
      </c>
      <c r="L305" s="119">
        <v>1349682.084</v>
      </c>
      <c r="M305" s="119">
        <v>-2314978</v>
      </c>
      <c r="N305" s="119">
        <v>-5995793.0199999996</v>
      </c>
      <c r="O305" s="119">
        <v>-25</v>
      </c>
      <c r="P305" s="119">
        <v>-64.75</v>
      </c>
      <c r="Q305" s="119">
        <v>2314991</v>
      </c>
      <c r="R305" s="119">
        <v>5995826.6900000004</v>
      </c>
      <c r="S305" s="119">
        <v>1</v>
      </c>
      <c r="T305" s="119">
        <v>2.59</v>
      </c>
      <c r="U305" s="119">
        <v>-4</v>
      </c>
      <c r="V305" s="119">
        <v>-10.36</v>
      </c>
      <c r="W305" s="119">
        <v>-1669703</v>
      </c>
      <c r="X305" s="119">
        <v>-4324530.7699999996</v>
      </c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5">
      <c r="A306" t="s">
        <v>140</v>
      </c>
      <c r="B306" t="s">
        <v>144</v>
      </c>
      <c r="C306">
        <v>23</v>
      </c>
      <c r="D306" t="s">
        <v>131</v>
      </c>
      <c r="E306" s="14">
        <v>-351125</v>
      </c>
      <c r="F306" s="14">
        <v>-925565.5</v>
      </c>
      <c r="G306" s="122">
        <v>30213</v>
      </c>
      <c r="H306" s="119">
        <v>79641.467999999993</v>
      </c>
      <c r="I306" s="122">
        <v>10370</v>
      </c>
      <c r="J306" s="119">
        <v>27335.32</v>
      </c>
      <c r="K306" s="119">
        <v>-376</v>
      </c>
      <c r="L306" s="119">
        <v>-991.13599999999997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>
        <v>0</v>
      </c>
      <c r="T306" s="119">
        <v>0</v>
      </c>
      <c r="U306" s="119">
        <v>0</v>
      </c>
      <c r="V306" s="119">
        <v>0</v>
      </c>
      <c r="W306" s="119">
        <v>0</v>
      </c>
      <c r="X306" s="119">
        <v>0</v>
      </c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5">
      <c r="A307" t="s">
        <v>140</v>
      </c>
      <c r="B307" t="s">
        <v>144</v>
      </c>
      <c r="C307">
        <v>24</v>
      </c>
      <c r="D307" t="s">
        <v>55</v>
      </c>
      <c r="E307" s="14">
        <v>-20589943</v>
      </c>
      <c r="F307" s="14">
        <v>-265908.87</v>
      </c>
      <c r="G307" s="122">
        <v>-2209702</v>
      </c>
      <c r="H307" s="119">
        <v>-632226.43000000005</v>
      </c>
      <c r="I307" s="122">
        <v>7841737</v>
      </c>
      <c r="J307" s="119">
        <v>911263.41</v>
      </c>
      <c r="K307" s="119">
        <v>200821</v>
      </c>
      <c r="L307" s="119">
        <v>-153312.95000000001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>
        <v>0</v>
      </c>
      <c r="T307" s="119">
        <v>0</v>
      </c>
      <c r="U307" s="119">
        <v>0</v>
      </c>
      <c r="V307" s="119">
        <v>0</v>
      </c>
      <c r="W307" s="119">
        <v>0</v>
      </c>
      <c r="X307" s="119">
        <v>0</v>
      </c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5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-1375660.69</v>
      </c>
      <c r="G308" s="122">
        <v>0</v>
      </c>
      <c r="H308" s="119">
        <v>-482012.12</v>
      </c>
      <c r="I308" s="122">
        <v>0</v>
      </c>
      <c r="J308" s="119">
        <v>-544492.14</v>
      </c>
      <c r="K308" s="119">
        <v>0</v>
      </c>
      <c r="L308" s="119">
        <v>-13017.6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>
        <v>0</v>
      </c>
      <c r="T308" s="119">
        <v>0</v>
      </c>
      <c r="U308" s="119">
        <v>0</v>
      </c>
      <c r="V308" s="119">
        <v>0</v>
      </c>
      <c r="W308" s="119">
        <v>0</v>
      </c>
      <c r="X308" s="119">
        <v>0</v>
      </c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5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>
        <v>0</v>
      </c>
      <c r="T309" s="119">
        <v>0</v>
      </c>
      <c r="U309" s="119">
        <v>0</v>
      </c>
      <c r="V309" s="119">
        <v>0</v>
      </c>
      <c r="W309" s="119">
        <v>0</v>
      </c>
      <c r="X309" s="119">
        <v>0</v>
      </c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5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>
        <v>0</v>
      </c>
      <c r="T310" s="119">
        <v>0</v>
      </c>
      <c r="U310" s="119">
        <v>0</v>
      </c>
      <c r="V310" s="119">
        <v>0</v>
      </c>
      <c r="W310" s="119">
        <v>0</v>
      </c>
      <c r="X310" s="119">
        <v>0</v>
      </c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5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>
        <v>0</v>
      </c>
      <c r="T311" s="119">
        <v>0</v>
      </c>
      <c r="U311" s="119">
        <v>0</v>
      </c>
      <c r="V311" s="119">
        <v>0</v>
      </c>
      <c r="W311" s="119">
        <v>0</v>
      </c>
      <c r="X311" s="119">
        <v>0</v>
      </c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5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>
        <v>0</v>
      </c>
      <c r="T312" s="119">
        <v>0</v>
      </c>
      <c r="U312" s="119">
        <v>0</v>
      </c>
      <c r="V312" s="119">
        <v>0</v>
      </c>
      <c r="W312" s="119">
        <v>0</v>
      </c>
      <c r="X312" s="119">
        <v>0</v>
      </c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5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>
        <v>0</v>
      </c>
      <c r="T313" s="119">
        <v>0</v>
      </c>
      <c r="U313" s="119">
        <v>0</v>
      </c>
      <c r="V313" s="119">
        <v>0</v>
      </c>
      <c r="W313" s="119">
        <v>0</v>
      </c>
      <c r="X313" s="119">
        <v>0</v>
      </c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5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>
        <v>0</v>
      </c>
      <c r="V314" s="119">
        <v>0</v>
      </c>
      <c r="W314" s="119">
        <v>0</v>
      </c>
      <c r="X314" s="119">
        <v>0</v>
      </c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5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>
        <v>0</v>
      </c>
      <c r="V315" s="119">
        <v>0</v>
      </c>
      <c r="W315" s="119">
        <v>0</v>
      </c>
      <c r="X315" s="119">
        <v>0</v>
      </c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5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>
        <v>0</v>
      </c>
      <c r="T316" s="119">
        <v>0</v>
      </c>
      <c r="U316" s="119">
        <v>0</v>
      </c>
      <c r="V316" s="119">
        <v>0</v>
      </c>
      <c r="W316" s="119">
        <v>0</v>
      </c>
      <c r="X316" s="119">
        <v>0</v>
      </c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5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>
        <v>0</v>
      </c>
      <c r="T317" s="119">
        <v>0</v>
      </c>
      <c r="U317" s="119">
        <v>0</v>
      </c>
      <c r="V317" s="119">
        <v>0</v>
      </c>
      <c r="W317" s="119">
        <v>0</v>
      </c>
      <c r="X317" s="119">
        <v>0</v>
      </c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5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-11658.39</v>
      </c>
      <c r="G318" s="122">
        <v>0</v>
      </c>
      <c r="H318" s="119">
        <v>-18302.86</v>
      </c>
      <c r="I318" s="122">
        <v>0</v>
      </c>
      <c r="J318" s="119">
        <v>18099.41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>
        <v>0</v>
      </c>
      <c r="T318" s="119">
        <v>0</v>
      </c>
      <c r="U318" s="119">
        <v>0</v>
      </c>
      <c r="V318" s="119">
        <v>0</v>
      </c>
      <c r="W318" s="119">
        <v>0</v>
      </c>
      <c r="X318" s="119">
        <v>0</v>
      </c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5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>
        <v>0</v>
      </c>
      <c r="V319" s="119">
        <v>0</v>
      </c>
      <c r="W319" s="119">
        <v>0</v>
      </c>
      <c r="X319" s="119">
        <v>0</v>
      </c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5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>
        <v>0</v>
      </c>
      <c r="T320" s="119">
        <v>0</v>
      </c>
      <c r="U320" s="119">
        <v>0</v>
      </c>
      <c r="V320" s="119">
        <v>0</v>
      </c>
      <c r="W320" s="119">
        <v>0</v>
      </c>
      <c r="X320" s="119">
        <v>0</v>
      </c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5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>
        <v>0</v>
      </c>
      <c r="V321" s="119">
        <v>0</v>
      </c>
      <c r="W321" s="119">
        <v>0</v>
      </c>
      <c r="X321" s="119">
        <v>0</v>
      </c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5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>
        <v>0</v>
      </c>
      <c r="T322" s="119">
        <v>0</v>
      </c>
      <c r="U322" s="119">
        <v>0</v>
      </c>
      <c r="V322" s="119">
        <v>0</v>
      </c>
      <c r="W322" s="119">
        <v>0</v>
      </c>
      <c r="X322" s="119">
        <v>0</v>
      </c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5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59687.86</v>
      </c>
      <c r="G323" s="122">
        <v>0</v>
      </c>
      <c r="H323" s="119">
        <v>-1303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>
        <v>0</v>
      </c>
      <c r="V323" s="119">
        <v>0</v>
      </c>
      <c r="W323" s="119">
        <v>0</v>
      </c>
      <c r="X323" s="119">
        <v>0</v>
      </c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5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19">
        <v>0</v>
      </c>
      <c r="S324" s="119">
        <v>0</v>
      </c>
      <c r="T324" s="119">
        <v>0</v>
      </c>
      <c r="U324" s="119">
        <v>0</v>
      </c>
      <c r="V324" s="119">
        <v>0</v>
      </c>
      <c r="W324" s="119">
        <v>0</v>
      </c>
      <c r="X324" s="119">
        <v>0</v>
      </c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5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>
        <v>0</v>
      </c>
      <c r="T325" s="119">
        <v>0</v>
      </c>
      <c r="U325" s="119">
        <v>0</v>
      </c>
      <c r="V325" s="119">
        <v>0</v>
      </c>
      <c r="W325" s="119">
        <v>0</v>
      </c>
      <c r="X325" s="119">
        <v>0</v>
      </c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5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0</v>
      </c>
      <c r="L326" s="119">
        <v>0</v>
      </c>
      <c r="M326" s="119">
        <v>0</v>
      </c>
      <c r="N326" s="119">
        <v>0</v>
      </c>
      <c r="O326" s="119">
        <v>0</v>
      </c>
      <c r="P326" s="119">
        <v>0</v>
      </c>
      <c r="Q326" s="119">
        <v>0</v>
      </c>
      <c r="R326" s="119">
        <v>0</v>
      </c>
      <c r="S326" s="119">
        <v>0</v>
      </c>
      <c r="T326" s="119">
        <v>0</v>
      </c>
      <c r="U326" s="119">
        <v>0</v>
      </c>
      <c r="V326" s="119">
        <v>0</v>
      </c>
      <c r="W326" s="119">
        <v>0</v>
      </c>
      <c r="X326" s="119">
        <v>0</v>
      </c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5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>
        <v>0</v>
      </c>
      <c r="T327" s="119">
        <v>0</v>
      </c>
      <c r="U327" s="119">
        <v>0</v>
      </c>
      <c r="V327" s="119">
        <v>0</v>
      </c>
      <c r="W327" s="119">
        <v>0</v>
      </c>
      <c r="X327" s="119">
        <v>0</v>
      </c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5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0</v>
      </c>
      <c r="O328" s="119">
        <v>0</v>
      </c>
      <c r="P328" s="119">
        <v>0</v>
      </c>
      <c r="Q328" s="119">
        <v>0</v>
      </c>
      <c r="R328" s="119">
        <v>0</v>
      </c>
      <c r="S328" s="119">
        <v>0</v>
      </c>
      <c r="T328" s="119">
        <v>0</v>
      </c>
      <c r="U328" s="119">
        <v>0</v>
      </c>
      <c r="V328" s="119">
        <v>0</v>
      </c>
      <c r="W328" s="119">
        <v>0</v>
      </c>
      <c r="X328" s="119">
        <v>0</v>
      </c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5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0</v>
      </c>
      <c r="U329" s="119">
        <v>0</v>
      </c>
      <c r="V329" s="119">
        <v>0</v>
      </c>
      <c r="W329" s="119">
        <v>0</v>
      </c>
      <c r="X329" s="119">
        <v>0</v>
      </c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5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>
        <v>0</v>
      </c>
      <c r="V330" s="119">
        <v>0</v>
      </c>
      <c r="W330" s="119">
        <v>0</v>
      </c>
      <c r="X330" s="119">
        <v>0</v>
      </c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5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0</v>
      </c>
      <c r="L331" s="119">
        <v>0</v>
      </c>
      <c r="M331" s="119">
        <v>0</v>
      </c>
      <c r="N331" s="119">
        <v>0</v>
      </c>
      <c r="O331" s="119">
        <v>0</v>
      </c>
      <c r="P331" s="119">
        <v>0</v>
      </c>
      <c r="Q331" s="119">
        <v>0</v>
      </c>
      <c r="R331" s="119">
        <v>0</v>
      </c>
      <c r="S331" s="119">
        <v>0</v>
      </c>
      <c r="T331" s="119">
        <v>0</v>
      </c>
      <c r="U331" s="119">
        <v>0</v>
      </c>
      <c r="V331" s="119">
        <v>0</v>
      </c>
      <c r="W331" s="119">
        <v>0</v>
      </c>
      <c r="X331" s="119">
        <v>0</v>
      </c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5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>
        <v>0</v>
      </c>
      <c r="T332" s="119">
        <v>0</v>
      </c>
      <c r="U332" s="119">
        <v>0</v>
      </c>
      <c r="V332" s="119">
        <v>0</v>
      </c>
      <c r="W332" s="119">
        <v>0</v>
      </c>
      <c r="X332" s="119">
        <v>0</v>
      </c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5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0</v>
      </c>
      <c r="P333" s="119">
        <v>0</v>
      </c>
      <c r="Q333" s="119">
        <v>0</v>
      </c>
      <c r="R333" s="119">
        <v>0</v>
      </c>
      <c r="S333" s="119">
        <v>0</v>
      </c>
      <c r="T333" s="119">
        <v>0</v>
      </c>
      <c r="U333" s="119">
        <v>0</v>
      </c>
      <c r="V333" s="119">
        <v>0</v>
      </c>
      <c r="W333" s="119">
        <v>0</v>
      </c>
      <c r="X333" s="119">
        <v>0</v>
      </c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5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>
        <v>0</v>
      </c>
      <c r="T334" s="119">
        <v>0</v>
      </c>
      <c r="U334" s="119">
        <v>0</v>
      </c>
      <c r="V334" s="119">
        <v>0</v>
      </c>
      <c r="W334" s="119">
        <v>0</v>
      </c>
      <c r="X334" s="119">
        <v>0</v>
      </c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5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>
        <v>0</v>
      </c>
      <c r="T335" s="119">
        <v>0</v>
      </c>
      <c r="U335" s="119">
        <v>0</v>
      </c>
      <c r="V335" s="119">
        <v>0</v>
      </c>
      <c r="W335" s="119">
        <v>0</v>
      </c>
      <c r="X335" s="119">
        <v>0</v>
      </c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5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>
        <v>0</v>
      </c>
      <c r="V336" s="119">
        <v>0</v>
      </c>
      <c r="W336" s="119">
        <v>0</v>
      </c>
      <c r="X336" s="119">
        <v>0</v>
      </c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5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>
        <v>0</v>
      </c>
      <c r="V337" s="119">
        <v>0</v>
      </c>
      <c r="W337" s="119">
        <v>0</v>
      </c>
      <c r="X337" s="119">
        <v>0</v>
      </c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5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>
        <v>0</v>
      </c>
      <c r="V338" s="119">
        <v>0</v>
      </c>
      <c r="W338" s="119">
        <v>0</v>
      </c>
      <c r="X338" s="119">
        <v>0</v>
      </c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5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>
        <v>0</v>
      </c>
      <c r="V339" s="119">
        <v>0</v>
      </c>
      <c r="W339" s="119">
        <v>0</v>
      </c>
      <c r="X339" s="119">
        <v>0</v>
      </c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5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>
        <v>0</v>
      </c>
      <c r="V340" s="119">
        <v>0</v>
      </c>
      <c r="W340" s="119">
        <v>0</v>
      </c>
      <c r="X340" s="119">
        <v>0</v>
      </c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5">
      <c r="A341" s="121" t="s">
        <v>145</v>
      </c>
      <c r="B341" s="121" t="s">
        <v>146</v>
      </c>
      <c r="C341" s="121">
        <v>18</v>
      </c>
      <c r="D341" s="121" t="s">
        <v>127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>
        <v>0</v>
      </c>
      <c r="V341" s="122">
        <v>0</v>
      </c>
      <c r="W341" s="122">
        <v>0</v>
      </c>
      <c r="X341" s="122">
        <v>0</v>
      </c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5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0</v>
      </c>
      <c r="U342" s="119">
        <v>0</v>
      </c>
      <c r="V342" s="119">
        <v>0</v>
      </c>
      <c r="W342" s="119">
        <v>0</v>
      </c>
      <c r="X342" s="119">
        <v>0</v>
      </c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5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>
        <v>0</v>
      </c>
      <c r="T343" s="119">
        <v>0</v>
      </c>
      <c r="U343" s="119">
        <v>0</v>
      </c>
      <c r="V343" s="119">
        <v>0</v>
      </c>
      <c r="W343" s="119">
        <v>0</v>
      </c>
      <c r="X343" s="119">
        <v>0</v>
      </c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5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>
        <v>0</v>
      </c>
      <c r="T344" s="119">
        <v>0</v>
      </c>
      <c r="U344" s="119">
        <v>0</v>
      </c>
      <c r="V344" s="119">
        <v>0</v>
      </c>
      <c r="W344" s="119">
        <v>0</v>
      </c>
      <c r="X344" s="119">
        <v>0</v>
      </c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5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0</v>
      </c>
      <c r="L345" s="119">
        <v>0</v>
      </c>
      <c r="M345" s="119">
        <v>0</v>
      </c>
      <c r="N345" s="119">
        <v>0</v>
      </c>
      <c r="O345" s="119">
        <v>0</v>
      </c>
      <c r="P345" s="119">
        <v>0</v>
      </c>
      <c r="Q345" s="119">
        <v>0</v>
      </c>
      <c r="R345" s="119">
        <v>0</v>
      </c>
      <c r="S345" s="119">
        <v>0</v>
      </c>
      <c r="T345" s="119">
        <v>0</v>
      </c>
      <c r="U345" s="119">
        <v>0</v>
      </c>
      <c r="V345" s="119">
        <v>0</v>
      </c>
      <c r="W345" s="119">
        <v>0</v>
      </c>
      <c r="X345" s="119">
        <v>0</v>
      </c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5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19">
        <v>0</v>
      </c>
      <c r="S346" s="119">
        <v>0</v>
      </c>
      <c r="T346" s="119">
        <v>0</v>
      </c>
      <c r="U346" s="119">
        <v>0</v>
      </c>
      <c r="V346" s="119">
        <v>0</v>
      </c>
      <c r="W346" s="119">
        <v>0</v>
      </c>
      <c r="X346" s="119">
        <v>0</v>
      </c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5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0</v>
      </c>
      <c r="L347" s="119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19">
        <v>0</v>
      </c>
      <c r="S347" s="119">
        <v>0</v>
      </c>
      <c r="T347" s="119">
        <v>0</v>
      </c>
      <c r="U347" s="119">
        <v>0</v>
      </c>
      <c r="V347" s="119">
        <v>0</v>
      </c>
      <c r="W347" s="119">
        <v>0</v>
      </c>
      <c r="X347" s="119">
        <v>0</v>
      </c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5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T348" s="119">
        <v>0</v>
      </c>
      <c r="U348" s="119">
        <v>0</v>
      </c>
      <c r="V348" s="119">
        <v>0</v>
      </c>
      <c r="W348" s="119">
        <v>0</v>
      </c>
      <c r="X348" s="119">
        <v>0</v>
      </c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5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T349" s="119">
        <v>0</v>
      </c>
      <c r="U349" s="119">
        <v>0</v>
      </c>
      <c r="V349" s="119">
        <v>0</v>
      </c>
      <c r="W349" s="119">
        <v>0</v>
      </c>
      <c r="X349" s="119">
        <v>0</v>
      </c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5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>
        <v>0</v>
      </c>
      <c r="V350" s="119">
        <v>0</v>
      </c>
      <c r="W350" s="119">
        <v>0</v>
      </c>
      <c r="X350" s="119">
        <v>0</v>
      </c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5">
      <c r="A351" t="s">
        <v>145</v>
      </c>
      <c r="B351" t="s">
        <v>146</v>
      </c>
      <c r="C351">
        <v>28</v>
      </c>
      <c r="D351" t="s">
        <v>134</v>
      </c>
      <c r="E351" s="123">
        <v>0</v>
      </c>
      <c r="F351" s="123">
        <v>0</v>
      </c>
      <c r="G351" s="163">
        <v>0</v>
      </c>
      <c r="H351" s="124">
        <v>0</v>
      </c>
      <c r="I351" s="163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T351" s="119">
        <v>0</v>
      </c>
      <c r="U351" s="119">
        <v>0</v>
      </c>
      <c r="V351" s="119">
        <v>0</v>
      </c>
      <c r="W351" s="119">
        <v>0</v>
      </c>
      <c r="X351" s="119">
        <v>0</v>
      </c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5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T352" s="119">
        <v>0</v>
      </c>
      <c r="U352" s="119">
        <v>0</v>
      </c>
      <c r="V352" s="119">
        <v>0</v>
      </c>
      <c r="W352" s="119">
        <v>0</v>
      </c>
      <c r="X352" s="119">
        <v>0</v>
      </c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5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T353" s="119">
        <v>0</v>
      </c>
      <c r="U353" s="119">
        <v>0</v>
      </c>
      <c r="V353" s="119">
        <v>0</v>
      </c>
      <c r="W353" s="119">
        <v>0</v>
      </c>
      <c r="X353" s="119">
        <v>0</v>
      </c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5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T354" s="119">
        <v>0</v>
      </c>
      <c r="U354" s="119">
        <v>0</v>
      </c>
      <c r="V354" s="119">
        <v>0</v>
      </c>
      <c r="W354" s="119">
        <v>0</v>
      </c>
      <c r="X354" s="119">
        <v>0</v>
      </c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5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>
        <v>0</v>
      </c>
      <c r="V355" s="119">
        <v>0</v>
      </c>
      <c r="W355" s="119">
        <v>0</v>
      </c>
      <c r="X355" s="119">
        <v>0</v>
      </c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5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>
        <v>0</v>
      </c>
      <c r="V356" s="119">
        <v>0</v>
      </c>
      <c r="W356" s="119">
        <v>0</v>
      </c>
      <c r="X356" s="119">
        <v>0</v>
      </c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5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>
        <v>0</v>
      </c>
      <c r="V357" s="119">
        <v>0</v>
      </c>
      <c r="W357" s="119">
        <v>0</v>
      </c>
      <c r="X357" s="119">
        <v>0</v>
      </c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5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T358" s="119">
        <v>0</v>
      </c>
      <c r="U358" s="119">
        <v>0</v>
      </c>
      <c r="V358" s="119">
        <v>0</v>
      </c>
      <c r="W358" s="119">
        <v>0</v>
      </c>
      <c r="X358" s="119">
        <v>0</v>
      </c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5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>
        <v>0</v>
      </c>
      <c r="V359" s="119">
        <v>0</v>
      </c>
      <c r="W359" s="119">
        <v>0</v>
      </c>
      <c r="X359" s="119">
        <v>0</v>
      </c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5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T360" s="119">
        <v>0</v>
      </c>
      <c r="U360" s="119">
        <v>0</v>
      </c>
      <c r="V360" s="119">
        <v>0</v>
      </c>
      <c r="W360" s="119">
        <v>0</v>
      </c>
      <c r="X360" s="119">
        <v>0</v>
      </c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5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>
        <v>0</v>
      </c>
      <c r="V361" s="119">
        <v>0</v>
      </c>
      <c r="W361" s="119">
        <v>0</v>
      </c>
      <c r="X361" s="119">
        <v>0</v>
      </c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5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T362" s="119">
        <v>0</v>
      </c>
      <c r="U362" s="119">
        <v>0</v>
      </c>
      <c r="V362" s="119">
        <v>0</v>
      </c>
      <c r="W362" s="119">
        <v>0</v>
      </c>
      <c r="X362" s="119">
        <v>0</v>
      </c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5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>
        <v>0</v>
      </c>
      <c r="V363" s="119">
        <v>0</v>
      </c>
      <c r="W363" s="119">
        <v>0</v>
      </c>
      <c r="X363" s="119">
        <v>0</v>
      </c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5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0</v>
      </c>
      <c r="U364" s="119">
        <v>0</v>
      </c>
      <c r="V364" s="119">
        <v>0</v>
      </c>
      <c r="W364" s="119">
        <v>0</v>
      </c>
      <c r="X364" s="119">
        <v>0</v>
      </c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5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0</v>
      </c>
      <c r="U365" s="119">
        <v>0</v>
      </c>
      <c r="V365" s="119">
        <v>0</v>
      </c>
      <c r="W365" s="119">
        <v>0</v>
      </c>
      <c r="X365" s="119">
        <v>0</v>
      </c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5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>
        <v>0</v>
      </c>
      <c r="V366" s="119">
        <v>0</v>
      </c>
      <c r="W366" s="119">
        <v>0</v>
      </c>
      <c r="X366" s="119">
        <v>0</v>
      </c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5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>
        <v>0</v>
      </c>
      <c r="V367" s="119">
        <v>0</v>
      </c>
      <c r="W367" s="119">
        <v>0</v>
      </c>
      <c r="X367" s="119">
        <v>0</v>
      </c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5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T368" s="119">
        <v>0</v>
      </c>
      <c r="U368" s="119">
        <v>0</v>
      </c>
      <c r="V368" s="119">
        <v>0</v>
      </c>
      <c r="W368" s="119">
        <v>0</v>
      </c>
      <c r="X368" s="119">
        <v>0</v>
      </c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5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T369" s="119">
        <v>0</v>
      </c>
      <c r="U369" s="119">
        <v>0</v>
      </c>
      <c r="V369" s="119">
        <v>0</v>
      </c>
      <c r="W369" s="119">
        <v>0</v>
      </c>
      <c r="X369" s="119">
        <v>0</v>
      </c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5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>
        <v>0</v>
      </c>
      <c r="V370" s="119">
        <v>0</v>
      </c>
      <c r="W370" s="119">
        <v>0</v>
      </c>
      <c r="X370" s="119">
        <v>0</v>
      </c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5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>
        <v>0</v>
      </c>
      <c r="V371" s="119">
        <v>0</v>
      </c>
      <c r="W371" s="119">
        <v>0</v>
      </c>
      <c r="X371" s="119">
        <v>0</v>
      </c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5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>
        <v>0</v>
      </c>
      <c r="V372" s="119">
        <v>0</v>
      </c>
      <c r="W372" s="119">
        <v>0</v>
      </c>
      <c r="X372" s="119">
        <v>0</v>
      </c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5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>
        <v>0</v>
      </c>
      <c r="T373" s="119">
        <v>0</v>
      </c>
      <c r="U373" s="119">
        <v>0</v>
      </c>
      <c r="V373" s="119">
        <v>0</v>
      </c>
      <c r="W373" s="119">
        <v>0</v>
      </c>
      <c r="X373" s="119">
        <v>0</v>
      </c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5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>
        <v>0</v>
      </c>
      <c r="T374" s="119">
        <v>0</v>
      </c>
      <c r="U374" s="119">
        <v>0</v>
      </c>
      <c r="V374" s="119">
        <v>0</v>
      </c>
      <c r="W374" s="119">
        <v>0</v>
      </c>
      <c r="X374" s="119">
        <v>0</v>
      </c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5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>
        <v>0</v>
      </c>
      <c r="T375" s="119">
        <v>0</v>
      </c>
      <c r="U375" s="119">
        <v>0</v>
      </c>
      <c r="V375" s="119">
        <v>0</v>
      </c>
      <c r="W375" s="119">
        <v>0</v>
      </c>
      <c r="X375" s="119">
        <v>0</v>
      </c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5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>
        <v>0</v>
      </c>
      <c r="V376" s="119">
        <v>0</v>
      </c>
      <c r="W376" s="119">
        <v>0</v>
      </c>
      <c r="X376" s="119">
        <v>0</v>
      </c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5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>
        <v>0</v>
      </c>
      <c r="V377" s="119">
        <v>0</v>
      </c>
      <c r="W377" s="119">
        <v>0</v>
      </c>
      <c r="X377" s="119">
        <v>0</v>
      </c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5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>
        <v>0</v>
      </c>
      <c r="V378" s="119">
        <v>0</v>
      </c>
      <c r="W378" s="119">
        <v>0</v>
      </c>
      <c r="X378" s="119">
        <v>0</v>
      </c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5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>
        <v>0</v>
      </c>
      <c r="V379" s="119">
        <v>0</v>
      </c>
      <c r="W379" s="119">
        <v>0</v>
      </c>
      <c r="X379" s="119">
        <v>0</v>
      </c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5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>
        <v>0</v>
      </c>
      <c r="V380" s="119">
        <v>0</v>
      </c>
      <c r="W380" s="119">
        <v>0</v>
      </c>
      <c r="X380" s="119">
        <v>0</v>
      </c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5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>
        <v>0</v>
      </c>
      <c r="T381" s="119">
        <v>0</v>
      </c>
      <c r="U381" s="119">
        <v>0</v>
      </c>
      <c r="V381" s="119">
        <v>0</v>
      </c>
      <c r="W381" s="119">
        <v>0</v>
      </c>
      <c r="X381" s="119">
        <v>0</v>
      </c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5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>
        <v>0</v>
      </c>
      <c r="T382" s="119">
        <v>0</v>
      </c>
      <c r="U382" s="119">
        <v>0</v>
      </c>
      <c r="V382" s="119">
        <v>0</v>
      </c>
      <c r="W382" s="119">
        <v>0</v>
      </c>
      <c r="X382" s="119">
        <v>0</v>
      </c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5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>
        <v>0</v>
      </c>
      <c r="T383" s="119">
        <v>0</v>
      </c>
      <c r="U383" s="119">
        <v>0</v>
      </c>
      <c r="V383" s="119">
        <v>0</v>
      </c>
      <c r="W383" s="119">
        <v>0</v>
      </c>
      <c r="X383" s="119">
        <v>0</v>
      </c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5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>
        <v>0</v>
      </c>
      <c r="T384" s="119">
        <v>0</v>
      </c>
      <c r="U384" s="119">
        <v>0</v>
      </c>
      <c r="V384" s="119">
        <v>0</v>
      </c>
      <c r="W384" s="119">
        <v>0</v>
      </c>
      <c r="X384" s="119">
        <v>0</v>
      </c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5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>
        <v>0</v>
      </c>
      <c r="T385" s="119">
        <v>0</v>
      </c>
      <c r="U385" s="119">
        <v>0</v>
      </c>
      <c r="V385" s="119">
        <v>0</v>
      </c>
      <c r="W385" s="119">
        <v>0</v>
      </c>
      <c r="X385" s="119">
        <v>0</v>
      </c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5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>
        <v>0</v>
      </c>
      <c r="V386" s="119">
        <v>0</v>
      </c>
      <c r="W386" s="119">
        <v>0</v>
      </c>
      <c r="X386" s="119">
        <v>0</v>
      </c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5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>
        <v>0</v>
      </c>
      <c r="V387" s="119">
        <v>0</v>
      </c>
      <c r="W387" s="119">
        <v>0</v>
      </c>
      <c r="X387" s="119">
        <v>0</v>
      </c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5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>
        <v>0</v>
      </c>
      <c r="T388" s="119">
        <v>0</v>
      </c>
      <c r="U388" s="119">
        <v>0</v>
      </c>
      <c r="V388" s="119">
        <v>0</v>
      </c>
      <c r="W388" s="119">
        <v>0</v>
      </c>
      <c r="X388" s="119">
        <v>0</v>
      </c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5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>
        <v>0</v>
      </c>
      <c r="T389" s="119">
        <v>0</v>
      </c>
      <c r="U389" s="119">
        <v>0</v>
      </c>
      <c r="V389" s="119">
        <v>0</v>
      </c>
      <c r="W389" s="119">
        <v>0</v>
      </c>
      <c r="X389" s="119">
        <v>0</v>
      </c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5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>
        <v>0</v>
      </c>
      <c r="V390" s="119">
        <v>0</v>
      </c>
      <c r="W390" s="119">
        <v>0</v>
      </c>
      <c r="X390" s="119">
        <v>0</v>
      </c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5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>
        <v>0</v>
      </c>
      <c r="T391" s="119">
        <v>0</v>
      </c>
      <c r="U391" s="119">
        <v>0</v>
      </c>
      <c r="V391" s="119">
        <v>0</v>
      </c>
      <c r="W391" s="119">
        <v>0</v>
      </c>
      <c r="X391" s="119">
        <v>0</v>
      </c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5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>
        <v>0</v>
      </c>
      <c r="T392" s="119">
        <v>0</v>
      </c>
      <c r="U392" s="119">
        <v>0</v>
      </c>
      <c r="V392" s="119">
        <v>0</v>
      </c>
      <c r="W392" s="119">
        <v>0</v>
      </c>
      <c r="X392" s="119">
        <v>0</v>
      </c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5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>
        <v>0</v>
      </c>
      <c r="T393" s="119">
        <v>0</v>
      </c>
      <c r="U393" s="119">
        <v>0</v>
      </c>
      <c r="V393" s="119">
        <v>0</v>
      </c>
      <c r="W393" s="119">
        <v>0</v>
      </c>
      <c r="X393" s="119">
        <v>0</v>
      </c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5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0</v>
      </c>
      <c r="U394" s="119">
        <v>0</v>
      </c>
      <c r="V394" s="119">
        <v>0</v>
      </c>
      <c r="W394" s="119">
        <v>0</v>
      </c>
      <c r="X394" s="119">
        <v>0</v>
      </c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5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0</v>
      </c>
      <c r="T395" s="119">
        <v>0</v>
      </c>
      <c r="U395" s="119">
        <v>0</v>
      </c>
      <c r="V395" s="119">
        <v>0</v>
      </c>
      <c r="W395" s="119">
        <v>0</v>
      </c>
      <c r="X395" s="119">
        <v>0</v>
      </c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5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>
        <v>0</v>
      </c>
      <c r="T396" s="119">
        <v>0</v>
      </c>
      <c r="U396" s="119">
        <v>0</v>
      </c>
      <c r="V396" s="119">
        <v>0</v>
      </c>
      <c r="W396" s="119">
        <v>0</v>
      </c>
      <c r="X396" s="119">
        <v>0</v>
      </c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5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>
        <v>0</v>
      </c>
      <c r="T397" s="119">
        <v>0</v>
      </c>
      <c r="U397" s="119">
        <v>0</v>
      </c>
      <c r="V397" s="119">
        <v>0</v>
      </c>
      <c r="W397" s="119">
        <v>0</v>
      </c>
      <c r="X397" s="119">
        <v>0</v>
      </c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5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>
        <v>0</v>
      </c>
      <c r="T398" s="119">
        <v>0</v>
      </c>
      <c r="U398" s="119">
        <v>0</v>
      </c>
      <c r="V398" s="119">
        <v>0</v>
      </c>
      <c r="W398" s="119">
        <v>0</v>
      </c>
      <c r="X398" s="119">
        <v>0</v>
      </c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5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>
        <v>0</v>
      </c>
      <c r="V399" s="119">
        <v>0</v>
      </c>
      <c r="W399" s="119">
        <v>0</v>
      </c>
      <c r="X399" s="119">
        <v>0</v>
      </c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5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>
        <v>0</v>
      </c>
      <c r="T400" s="119">
        <v>0</v>
      </c>
      <c r="U400" s="119">
        <v>0</v>
      </c>
      <c r="V400" s="119">
        <v>0</v>
      </c>
      <c r="W400" s="119">
        <v>0</v>
      </c>
      <c r="X400" s="119">
        <v>0</v>
      </c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5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>
        <v>0</v>
      </c>
      <c r="T401" s="119">
        <v>0</v>
      </c>
      <c r="U401" s="119">
        <v>0</v>
      </c>
      <c r="V401" s="119">
        <v>0</v>
      </c>
      <c r="W401" s="119">
        <v>0</v>
      </c>
      <c r="X401" s="119">
        <v>0</v>
      </c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5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>
        <v>0</v>
      </c>
      <c r="V402" s="119">
        <v>0</v>
      </c>
      <c r="W402" s="119">
        <v>0</v>
      </c>
      <c r="X402" s="119">
        <v>0</v>
      </c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5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>
        <v>0</v>
      </c>
      <c r="T403" s="119">
        <v>0</v>
      </c>
      <c r="U403" s="119">
        <v>0</v>
      </c>
      <c r="V403" s="119">
        <v>0</v>
      </c>
      <c r="W403" s="119">
        <v>0</v>
      </c>
      <c r="X403" s="119">
        <v>0</v>
      </c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5"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118" x14ac:dyDescent="0.25"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118" x14ac:dyDescent="0.25"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118" x14ac:dyDescent="0.25"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118" x14ac:dyDescent="0.25"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118" x14ac:dyDescent="0.25"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118" x14ac:dyDescent="0.25"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118" x14ac:dyDescent="0.25"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118" x14ac:dyDescent="0.25"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118" x14ac:dyDescent="0.25"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118" x14ac:dyDescent="0.25"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118" x14ac:dyDescent="0.25">
      <c r="I415" s="164"/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118" x14ac:dyDescent="0.25"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3:24" x14ac:dyDescent="0.25"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3:24" x14ac:dyDescent="0.25"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3:24" x14ac:dyDescent="0.25"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3:24" x14ac:dyDescent="0.25"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3:24" x14ac:dyDescent="0.25"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3:24" x14ac:dyDescent="0.25"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3:24" x14ac:dyDescent="0.25"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3:24" x14ac:dyDescent="0.25"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3:24" x14ac:dyDescent="0.25"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3:24" x14ac:dyDescent="0.25"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3:24" x14ac:dyDescent="0.25"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3:24" x14ac:dyDescent="0.25"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3:24" x14ac:dyDescent="0.25"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3:24" x14ac:dyDescent="0.25"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3:24" x14ac:dyDescent="0.25"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3:24" x14ac:dyDescent="0.25"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3:24" x14ac:dyDescent="0.25"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3:24" x14ac:dyDescent="0.25"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3:24" x14ac:dyDescent="0.25"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3:24" x14ac:dyDescent="0.25"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3:24" x14ac:dyDescent="0.25"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3:24" x14ac:dyDescent="0.25"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3:24" x14ac:dyDescent="0.25"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3:24" x14ac:dyDescent="0.25"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3:24" x14ac:dyDescent="0.25"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3:24" x14ac:dyDescent="0.25"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3:24" x14ac:dyDescent="0.25"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3:24" x14ac:dyDescent="0.25">
      <c r="M444">
        <v>0</v>
      </c>
      <c r="N444">
        <v>0</v>
      </c>
      <c r="O444">
        <v>0</v>
      </c>
      <c r="P444">
        <v>0</v>
      </c>
      <c r="Q444">
        <v>2</v>
      </c>
      <c r="R444">
        <v>7.36</v>
      </c>
      <c r="S444">
        <v>-1500</v>
      </c>
      <c r="T444">
        <v>-4663.5</v>
      </c>
      <c r="U444">
        <v>3366</v>
      </c>
      <c r="V444">
        <v>1345528.46</v>
      </c>
      <c r="W444">
        <v>-320312</v>
      </c>
      <c r="X444">
        <v>-944791.48</v>
      </c>
    </row>
    <row r="445" spans="13:24" x14ac:dyDescent="0.25"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3:24" x14ac:dyDescent="0.25">
      <c r="M446">
        <v>11340756</v>
      </c>
      <c r="N446">
        <v>28609248</v>
      </c>
      <c r="O446">
        <v>0</v>
      </c>
      <c r="P446">
        <v>0</v>
      </c>
      <c r="Q446">
        <v>-11340756</v>
      </c>
      <c r="R446">
        <v>-28609248</v>
      </c>
      <c r="S446">
        <v>0</v>
      </c>
      <c r="T446">
        <v>0</v>
      </c>
      <c r="U446">
        <v>0</v>
      </c>
      <c r="V446">
        <v>0</v>
      </c>
      <c r="W446">
        <v>11334756</v>
      </c>
      <c r="X446">
        <v>28594638</v>
      </c>
    </row>
    <row r="447" spans="13:24" x14ac:dyDescent="0.25"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3:24" x14ac:dyDescent="0.25"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3:24" x14ac:dyDescent="0.25">
      <c r="M449">
        <v>3406</v>
      </c>
      <c r="N449">
        <v>9768.41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3:24" x14ac:dyDescent="0.25"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3:24" x14ac:dyDescent="0.25">
      <c r="M451">
        <v>-11352399</v>
      </c>
      <c r="N451">
        <v>-28640180</v>
      </c>
      <c r="O451">
        <v>0</v>
      </c>
      <c r="P451">
        <v>0</v>
      </c>
      <c r="Q451">
        <v>11351559</v>
      </c>
      <c r="R451">
        <v>28637996</v>
      </c>
      <c r="S451">
        <v>0</v>
      </c>
      <c r="T451">
        <v>0</v>
      </c>
      <c r="U451">
        <v>0</v>
      </c>
      <c r="V451">
        <v>0</v>
      </c>
      <c r="W451">
        <v>-11334619</v>
      </c>
      <c r="X451">
        <v>-28594282</v>
      </c>
    </row>
    <row r="452" spans="13:24" x14ac:dyDescent="0.25"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3:24" x14ac:dyDescent="0.25">
      <c r="M453">
        <v>720</v>
      </c>
      <c r="N453">
        <v>2064.96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39</v>
      </c>
      <c r="X453">
        <v>111.852</v>
      </c>
    </row>
    <row r="454" spans="13:24" x14ac:dyDescent="0.25">
      <c r="M454">
        <v>0</v>
      </c>
      <c r="N454">
        <v>-2244.96</v>
      </c>
      <c r="O454">
        <v>-25</v>
      </c>
      <c r="P454">
        <v>2180.96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3:24" x14ac:dyDescent="0.25">
      <c r="M455">
        <v>-3406</v>
      </c>
      <c r="N455">
        <v>-6491.95</v>
      </c>
      <c r="O455">
        <v>2781</v>
      </c>
      <c r="P455">
        <v>5319.36</v>
      </c>
      <c r="Q455">
        <v>-2</v>
      </c>
      <c r="R455">
        <v>-5.09</v>
      </c>
      <c r="S455">
        <v>1500</v>
      </c>
      <c r="T455">
        <v>3847</v>
      </c>
      <c r="U455">
        <v>-3366</v>
      </c>
      <c r="V455">
        <v>-8633.68</v>
      </c>
      <c r="W455">
        <v>3302</v>
      </c>
      <c r="X455">
        <v>8470.48</v>
      </c>
    </row>
    <row r="456" spans="13:24" x14ac:dyDescent="0.25">
      <c r="M456">
        <v>0</v>
      </c>
      <c r="N456">
        <v>0</v>
      </c>
      <c r="O456">
        <v>-2756</v>
      </c>
      <c r="P456">
        <v>-7904.2079999999996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297219</v>
      </c>
      <c r="X456">
        <v>852424.09199999995</v>
      </c>
    </row>
    <row r="457" spans="13:24" x14ac:dyDescent="0.25"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3:24" x14ac:dyDescent="0.25"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3:24" x14ac:dyDescent="0.25"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3:24" x14ac:dyDescent="0.25"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3:24" x14ac:dyDescent="0.25">
      <c r="M461">
        <v>2000</v>
      </c>
      <c r="N461">
        <v>4253.46</v>
      </c>
      <c r="O461">
        <v>-2000</v>
      </c>
      <c r="P461">
        <v>-4260</v>
      </c>
      <c r="Q461">
        <v>-300</v>
      </c>
      <c r="R461">
        <v>-638.1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3:24" x14ac:dyDescent="0.25"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3:24" x14ac:dyDescent="0.25"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3:24" x14ac:dyDescent="0.25"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3:24" x14ac:dyDescent="0.25">
      <c r="M465">
        <v>8923</v>
      </c>
      <c r="N465">
        <v>25591.164000000001</v>
      </c>
      <c r="O465">
        <v>2000</v>
      </c>
      <c r="P465">
        <v>5736</v>
      </c>
      <c r="Q465">
        <v>-10503</v>
      </c>
      <c r="R465">
        <v>-30122.603999999999</v>
      </c>
      <c r="S465">
        <v>0</v>
      </c>
      <c r="T465">
        <v>0</v>
      </c>
      <c r="U465">
        <v>0</v>
      </c>
      <c r="V465">
        <v>0</v>
      </c>
      <c r="W465">
        <v>19615</v>
      </c>
      <c r="X465">
        <v>56255.82</v>
      </c>
    </row>
    <row r="466" spans="13:24" x14ac:dyDescent="0.25">
      <c r="M466">
        <v>-720</v>
      </c>
      <c r="N466">
        <v>-2064.96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-39</v>
      </c>
      <c r="X466">
        <v>-111.852</v>
      </c>
    </row>
    <row r="467" spans="13:24" x14ac:dyDescent="0.25">
      <c r="M467">
        <v>-9291</v>
      </c>
      <c r="N467">
        <v>-514.88</v>
      </c>
      <c r="O467">
        <v>5000</v>
      </c>
      <c r="P467">
        <v>45.95</v>
      </c>
      <c r="Q467">
        <v>-37403</v>
      </c>
      <c r="R467">
        <v>-14530.83</v>
      </c>
      <c r="S467">
        <v>1500</v>
      </c>
      <c r="T467">
        <v>269.98</v>
      </c>
      <c r="U467">
        <v>-3368</v>
      </c>
      <c r="V467">
        <v>0</v>
      </c>
      <c r="W467">
        <v>-405780</v>
      </c>
      <c r="X467">
        <v>0</v>
      </c>
    </row>
    <row r="468" spans="13:24" x14ac:dyDescent="0.25">
      <c r="M468">
        <v>0</v>
      </c>
      <c r="N468">
        <v>92916</v>
      </c>
      <c r="O468">
        <v>0</v>
      </c>
      <c r="P468">
        <v>0</v>
      </c>
      <c r="Q468">
        <v>0</v>
      </c>
      <c r="R468">
        <v>-693.3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3:24" x14ac:dyDescent="0.25"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3:24" x14ac:dyDescent="0.25"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3:24" x14ac:dyDescent="0.25"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-7153.64</v>
      </c>
    </row>
    <row r="472" spans="13:24" x14ac:dyDescent="0.25"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3:24" x14ac:dyDescent="0.25"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3:24" x14ac:dyDescent="0.25"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3:24" x14ac:dyDescent="0.25"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3:24" x14ac:dyDescent="0.25"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3:24" x14ac:dyDescent="0.25"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3:24" x14ac:dyDescent="0.25"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3:24" x14ac:dyDescent="0.25"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3:24" x14ac:dyDescent="0.25"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3:24" x14ac:dyDescent="0.25"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3:24" x14ac:dyDescent="0.25"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3:24" x14ac:dyDescent="0.25"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3:24" x14ac:dyDescent="0.25">
      <c r="M484">
        <v>-13950</v>
      </c>
      <c r="N484">
        <v>-42401.74</v>
      </c>
      <c r="O484">
        <v>4</v>
      </c>
      <c r="P484">
        <v>148.75</v>
      </c>
      <c r="Q484">
        <v>0</v>
      </c>
      <c r="R484">
        <v>0</v>
      </c>
      <c r="S484">
        <v>156156</v>
      </c>
      <c r="T484">
        <v>396413.45</v>
      </c>
      <c r="U484">
        <v>0</v>
      </c>
      <c r="V484">
        <v>0</v>
      </c>
      <c r="W484">
        <v>0</v>
      </c>
      <c r="X484">
        <v>0</v>
      </c>
    </row>
    <row r="485" spans="13:24" x14ac:dyDescent="0.25"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3:24" x14ac:dyDescent="0.25">
      <c r="M486">
        <v>16713593</v>
      </c>
      <c r="N486">
        <v>41209318</v>
      </c>
      <c r="O486">
        <v>0</v>
      </c>
      <c r="P486">
        <v>0</v>
      </c>
      <c r="Q486">
        <v>-16723593</v>
      </c>
      <c r="R486">
        <v>-41237238</v>
      </c>
      <c r="S486">
        <v>0</v>
      </c>
      <c r="T486">
        <v>0</v>
      </c>
      <c r="U486">
        <v>0</v>
      </c>
      <c r="V486">
        <v>0</v>
      </c>
      <c r="W486">
        <v>15154169</v>
      </c>
      <c r="X486">
        <v>36943637</v>
      </c>
    </row>
    <row r="487" spans="13:24" x14ac:dyDescent="0.25"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3:24" x14ac:dyDescent="0.25">
      <c r="M488">
        <v>0</v>
      </c>
      <c r="N488">
        <v>0</v>
      </c>
      <c r="O488">
        <v>0</v>
      </c>
      <c r="P488">
        <v>0</v>
      </c>
      <c r="Q488">
        <v>0</v>
      </c>
      <c r="R488">
        <v>431783.19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3:24" x14ac:dyDescent="0.25">
      <c r="M489">
        <v>14063</v>
      </c>
      <c r="N489">
        <v>37122.29</v>
      </c>
      <c r="O489">
        <v>0</v>
      </c>
      <c r="P489">
        <v>13121.25</v>
      </c>
      <c r="Q489">
        <v>0</v>
      </c>
      <c r="R489">
        <v>0</v>
      </c>
      <c r="S489">
        <v>-25135</v>
      </c>
      <c r="T489">
        <v>-68761.399999999994</v>
      </c>
      <c r="U489">
        <v>0</v>
      </c>
      <c r="V489">
        <v>0</v>
      </c>
      <c r="W489">
        <v>0</v>
      </c>
      <c r="X489">
        <v>0</v>
      </c>
    </row>
    <row r="490" spans="13:24" x14ac:dyDescent="0.25"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3:24" x14ac:dyDescent="0.25">
      <c r="M491">
        <v>-15678977</v>
      </c>
      <c r="N491">
        <v>-38378676</v>
      </c>
      <c r="O491">
        <v>0</v>
      </c>
      <c r="P491">
        <v>0</v>
      </c>
      <c r="Q491">
        <v>15678977</v>
      </c>
      <c r="R491">
        <v>38378676</v>
      </c>
      <c r="S491">
        <v>0</v>
      </c>
      <c r="T491">
        <v>0</v>
      </c>
      <c r="U491">
        <v>0</v>
      </c>
      <c r="V491">
        <v>0</v>
      </c>
      <c r="W491">
        <v>-15154169</v>
      </c>
      <c r="X491">
        <v>-36942817</v>
      </c>
    </row>
    <row r="492" spans="13:24" x14ac:dyDescent="0.25"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3:24" x14ac:dyDescent="0.25">
      <c r="M493">
        <v>-595</v>
      </c>
      <c r="N493">
        <v>-1568.42</v>
      </c>
      <c r="O493">
        <v>0</v>
      </c>
      <c r="P493">
        <v>0</v>
      </c>
      <c r="Q493">
        <v>-57</v>
      </c>
      <c r="R493">
        <v>-150.25200000000001</v>
      </c>
      <c r="S493">
        <v>56</v>
      </c>
      <c r="T493">
        <v>147.61600000000001</v>
      </c>
      <c r="U493">
        <v>0</v>
      </c>
      <c r="V493">
        <v>0</v>
      </c>
      <c r="W493">
        <v>0</v>
      </c>
      <c r="X493">
        <v>0</v>
      </c>
    </row>
    <row r="494" spans="13:24" x14ac:dyDescent="0.25">
      <c r="M494">
        <v>0</v>
      </c>
      <c r="N494">
        <v>0</v>
      </c>
      <c r="O494">
        <v>0</v>
      </c>
      <c r="P494">
        <v>0</v>
      </c>
      <c r="Q494">
        <v>5000</v>
      </c>
      <c r="R494">
        <v>14025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3:24" x14ac:dyDescent="0.25">
      <c r="M495">
        <v>0</v>
      </c>
      <c r="N495">
        <v>0</v>
      </c>
      <c r="O495">
        <v>0</v>
      </c>
      <c r="P495">
        <v>0</v>
      </c>
      <c r="Q495">
        <v>-5000</v>
      </c>
      <c r="R495">
        <v>-12275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3:24" x14ac:dyDescent="0.25">
      <c r="M496">
        <v>478</v>
      </c>
      <c r="N496">
        <v>1260.008</v>
      </c>
      <c r="O496">
        <v>1</v>
      </c>
      <c r="P496">
        <v>2.6360000000000001</v>
      </c>
      <c r="Q496">
        <v>78374</v>
      </c>
      <c r="R496">
        <v>206593.864</v>
      </c>
      <c r="S496">
        <v>-25358</v>
      </c>
      <c r="T496">
        <v>-66843.687999999995</v>
      </c>
      <c r="U496">
        <v>0</v>
      </c>
      <c r="V496">
        <v>0</v>
      </c>
      <c r="W496">
        <v>0</v>
      </c>
      <c r="X496">
        <v>0</v>
      </c>
    </row>
    <row r="497" spans="13:24" x14ac:dyDescent="0.25"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3:24" x14ac:dyDescent="0.25"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3:24" x14ac:dyDescent="0.25"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-74022</v>
      </c>
    </row>
    <row r="500" spans="13:24" x14ac:dyDescent="0.25">
      <c r="M500">
        <v>28723</v>
      </c>
      <c r="N500">
        <v>75713.83</v>
      </c>
      <c r="O500">
        <v>0</v>
      </c>
      <c r="P500">
        <v>0</v>
      </c>
      <c r="Q500">
        <v>257400</v>
      </c>
      <c r="R500">
        <v>678506.4</v>
      </c>
      <c r="S500">
        <v>-257400</v>
      </c>
      <c r="T500">
        <v>-678506.4</v>
      </c>
      <c r="U500">
        <v>0</v>
      </c>
      <c r="V500">
        <v>-817160</v>
      </c>
      <c r="W500">
        <v>0</v>
      </c>
      <c r="X500">
        <v>-75713.83</v>
      </c>
    </row>
    <row r="501" spans="13:24" x14ac:dyDescent="0.25"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3:24" x14ac:dyDescent="0.25"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3:24" x14ac:dyDescent="0.25"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3:24" x14ac:dyDescent="0.25"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3:24" x14ac:dyDescent="0.25">
      <c r="M505">
        <v>-1063335</v>
      </c>
      <c r="N505">
        <v>-2802951.06</v>
      </c>
      <c r="O505">
        <v>-5</v>
      </c>
      <c r="P505">
        <v>-13.18</v>
      </c>
      <c r="Q505">
        <v>708899</v>
      </c>
      <c r="R505">
        <v>1868657.764</v>
      </c>
      <c r="S505">
        <v>151681</v>
      </c>
      <c r="T505">
        <v>399831.11599999998</v>
      </c>
      <c r="U505">
        <v>0</v>
      </c>
      <c r="V505">
        <v>0</v>
      </c>
      <c r="W505">
        <v>0</v>
      </c>
      <c r="X505">
        <v>0</v>
      </c>
    </row>
    <row r="506" spans="13:24" x14ac:dyDescent="0.25">
      <c r="M506">
        <v>595</v>
      </c>
      <c r="N506">
        <v>1568.42</v>
      </c>
      <c r="O506">
        <v>0</v>
      </c>
      <c r="P506">
        <v>0</v>
      </c>
      <c r="Q506">
        <v>57</v>
      </c>
      <c r="R506">
        <v>150.25200000000001</v>
      </c>
      <c r="S506">
        <v>-56</v>
      </c>
      <c r="T506">
        <v>-147.61600000000001</v>
      </c>
      <c r="U506">
        <v>0</v>
      </c>
      <c r="V506">
        <v>0</v>
      </c>
      <c r="W506">
        <v>0</v>
      </c>
      <c r="X506">
        <v>0</v>
      </c>
    </row>
    <row r="507" spans="13:24" x14ac:dyDescent="0.25">
      <c r="M507">
        <v>257343</v>
      </c>
      <c r="N507">
        <v>-71291.81</v>
      </c>
      <c r="O507">
        <v>-2952984</v>
      </c>
      <c r="P507">
        <v>614.6</v>
      </c>
      <c r="Q507">
        <v>-8005</v>
      </c>
      <c r="R507">
        <v>-104938.38</v>
      </c>
      <c r="S507">
        <v>-686403</v>
      </c>
      <c r="T507">
        <v>104585.25</v>
      </c>
      <c r="U507">
        <v>0</v>
      </c>
      <c r="V507">
        <v>1930.5</v>
      </c>
      <c r="W507">
        <v>44437</v>
      </c>
      <c r="X507">
        <v>71.5</v>
      </c>
    </row>
    <row r="508" spans="13:24" x14ac:dyDescent="0.25">
      <c r="M508">
        <v>0</v>
      </c>
      <c r="N508">
        <v>21881.919999999998</v>
      </c>
      <c r="O508">
        <v>0</v>
      </c>
      <c r="P508">
        <v>-6205.21</v>
      </c>
      <c r="Q508">
        <v>0</v>
      </c>
      <c r="R508">
        <v>-300.7</v>
      </c>
      <c r="S508">
        <v>0</v>
      </c>
      <c r="T508">
        <v>405.43</v>
      </c>
      <c r="U508">
        <v>0</v>
      </c>
      <c r="V508">
        <v>-9464.35</v>
      </c>
      <c r="W508">
        <v>0</v>
      </c>
      <c r="X508">
        <v>-0.5</v>
      </c>
    </row>
    <row r="509" spans="13:24" x14ac:dyDescent="0.25"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3:24" x14ac:dyDescent="0.25"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3:24" x14ac:dyDescent="0.25"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3:24" x14ac:dyDescent="0.25"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3:24" x14ac:dyDescent="0.25"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3:24" x14ac:dyDescent="0.25"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3:24" x14ac:dyDescent="0.25"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3:24" x14ac:dyDescent="0.25"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3:24" x14ac:dyDescent="0.25"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3:24" x14ac:dyDescent="0.25"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3:24" x14ac:dyDescent="0.25"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3:24" x14ac:dyDescent="0.25"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3:24" x14ac:dyDescent="0.25"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3:24" x14ac:dyDescent="0.25"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3:24" x14ac:dyDescent="0.25"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3:24" x14ac:dyDescent="0.25"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3:24" x14ac:dyDescent="0.25"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3:24" x14ac:dyDescent="0.25"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3:24" x14ac:dyDescent="0.25"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3:24" x14ac:dyDescent="0.25"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3:24" x14ac:dyDescent="0.25"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3:24" x14ac:dyDescent="0.25"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3:24" x14ac:dyDescent="0.25"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3:24" x14ac:dyDescent="0.25"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3:24" x14ac:dyDescent="0.25"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3:24" x14ac:dyDescent="0.25"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3:24" x14ac:dyDescent="0.25"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3:24" x14ac:dyDescent="0.25"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3:24" x14ac:dyDescent="0.25"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3:24" x14ac:dyDescent="0.25"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3:24" x14ac:dyDescent="0.25"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3:24" x14ac:dyDescent="0.25"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3:24" x14ac:dyDescent="0.25"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3:24" x14ac:dyDescent="0.25"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3:24" x14ac:dyDescent="0.25"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3:24" x14ac:dyDescent="0.25"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3:24" x14ac:dyDescent="0.25"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3:24" x14ac:dyDescent="0.25"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3:24" x14ac:dyDescent="0.25"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3:24" x14ac:dyDescent="0.25"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3:24" x14ac:dyDescent="0.25"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3:24" x14ac:dyDescent="0.25"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3:24" x14ac:dyDescent="0.25"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3:24" x14ac:dyDescent="0.25"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3:24" x14ac:dyDescent="0.25"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3:24" x14ac:dyDescent="0.25"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3:24" x14ac:dyDescent="0.25"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3:24" x14ac:dyDescent="0.25"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3:24" x14ac:dyDescent="0.25"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3:24" x14ac:dyDescent="0.25"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3:24" x14ac:dyDescent="0.25"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3:24" x14ac:dyDescent="0.25"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3:24" x14ac:dyDescent="0.25"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3:24" x14ac:dyDescent="0.25"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3:24" x14ac:dyDescent="0.25"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3:24" x14ac:dyDescent="0.25"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3:24" x14ac:dyDescent="0.25"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3:24" x14ac:dyDescent="0.25"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3:24" x14ac:dyDescent="0.25"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3:24" x14ac:dyDescent="0.25"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3:24" x14ac:dyDescent="0.25"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3:24" x14ac:dyDescent="0.25"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3:24" x14ac:dyDescent="0.25"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3:24" x14ac:dyDescent="0.25"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3:24" x14ac:dyDescent="0.25"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3:24" x14ac:dyDescent="0.25"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3:24" x14ac:dyDescent="0.25"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3:24" x14ac:dyDescent="0.25"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3:24" x14ac:dyDescent="0.25"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3:24" x14ac:dyDescent="0.25"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3:24" x14ac:dyDescent="0.25"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3:24" x14ac:dyDescent="0.25"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3:24" x14ac:dyDescent="0.25"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3:24" x14ac:dyDescent="0.25"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3:24" x14ac:dyDescent="0.25"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3:24" x14ac:dyDescent="0.25"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3:24" x14ac:dyDescent="0.25"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3:24" x14ac:dyDescent="0.25"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3:24" x14ac:dyDescent="0.25"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3:24" x14ac:dyDescent="0.25"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3:24" x14ac:dyDescent="0.25"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3:24" x14ac:dyDescent="0.25"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3:24" x14ac:dyDescent="0.25"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3:24" x14ac:dyDescent="0.25"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3:24" x14ac:dyDescent="0.25"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3:24" x14ac:dyDescent="0.25"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3:24" x14ac:dyDescent="0.25"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3:24" x14ac:dyDescent="0.25"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3:24" x14ac:dyDescent="0.25"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3:24" x14ac:dyDescent="0.25"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3:24" x14ac:dyDescent="0.25"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3:24" x14ac:dyDescent="0.25"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3:24" x14ac:dyDescent="0.25"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3:24" x14ac:dyDescent="0.25"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3:24" x14ac:dyDescent="0.25"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37" spans="4:31" x14ac:dyDescent="0.25">
      <c r="F637" s="216">
        <v>36404</v>
      </c>
      <c r="G637" s="217"/>
      <c r="H637" s="218">
        <f>+F637+31</f>
        <v>36435</v>
      </c>
      <c r="I637" s="219"/>
      <c r="J637" s="212">
        <f>+H637+31</f>
        <v>36466</v>
      </c>
      <c r="K637" s="213"/>
      <c r="L637" s="212">
        <f>+J637+31</f>
        <v>36497</v>
      </c>
      <c r="M637" s="213"/>
      <c r="N637" s="212">
        <f>+L637+31</f>
        <v>36528</v>
      </c>
      <c r="O637" s="213"/>
      <c r="P637" s="212">
        <f>+N637+31</f>
        <v>36559</v>
      </c>
      <c r="Q637" s="213"/>
      <c r="R637" s="212">
        <f>+P637+31</f>
        <v>36590</v>
      </c>
      <c r="S637" s="213"/>
      <c r="T637" s="212">
        <f>+R637+31</f>
        <v>36621</v>
      </c>
      <c r="U637" s="213"/>
      <c r="V637" s="212">
        <f>+T637+31</f>
        <v>36652</v>
      </c>
      <c r="W637" s="213"/>
      <c r="X637" s="212">
        <f>+V637+31</f>
        <v>36683</v>
      </c>
      <c r="Y637" s="213"/>
      <c r="Z637" s="212">
        <f>+X637+31</f>
        <v>36714</v>
      </c>
      <c r="AA637" s="213"/>
      <c r="AB637" s="212">
        <f>+Z637+31</f>
        <v>36745</v>
      </c>
      <c r="AC637" s="213"/>
      <c r="AD637" s="214"/>
      <c r="AE637" s="214"/>
    </row>
    <row r="638" spans="4:31" x14ac:dyDescent="0.25">
      <c r="F638" s="131" t="s">
        <v>22</v>
      </c>
      <c r="G638" s="165" t="s">
        <v>149</v>
      </c>
      <c r="H638" s="131" t="s">
        <v>22</v>
      </c>
      <c r="I638" s="165" t="s">
        <v>149</v>
      </c>
      <c r="J638" s="131" t="s">
        <v>22</v>
      </c>
      <c r="K638" s="131" t="s">
        <v>149</v>
      </c>
      <c r="L638" s="131" t="s">
        <v>22</v>
      </c>
      <c r="M638" s="131" t="s">
        <v>149</v>
      </c>
      <c r="N638" s="131" t="s">
        <v>22</v>
      </c>
      <c r="O638" s="131" t="s">
        <v>149</v>
      </c>
      <c r="P638" s="131" t="s">
        <v>22</v>
      </c>
      <c r="Q638" s="131" t="s">
        <v>149</v>
      </c>
      <c r="R638" s="131" t="s">
        <v>22</v>
      </c>
      <c r="S638" s="131" t="s">
        <v>149</v>
      </c>
      <c r="T638" s="131" t="s">
        <v>22</v>
      </c>
      <c r="U638" s="131" t="s">
        <v>149</v>
      </c>
      <c r="V638" s="131" t="s">
        <v>22</v>
      </c>
      <c r="W638" s="131" t="s">
        <v>149</v>
      </c>
      <c r="X638" s="131" t="s">
        <v>22</v>
      </c>
      <c r="Y638" s="131" t="s">
        <v>149</v>
      </c>
      <c r="Z638" s="131" t="s">
        <v>22</v>
      </c>
      <c r="AA638" s="131" t="s">
        <v>149</v>
      </c>
      <c r="AB638" s="131" t="s">
        <v>22</v>
      </c>
      <c r="AC638" s="131" t="s">
        <v>149</v>
      </c>
      <c r="AD638" s="125"/>
      <c r="AE638" s="125"/>
    </row>
    <row r="639" spans="4:31" x14ac:dyDescent="0.25">
      <c r="D639" s="132" t="s">
        <v>113</v>
      </c>
      <c r="E639" s="133"/>
      <c r="F639" s="134">
        <f>BUG_GL!H82</f>
        <v>0</v>
      </c>
      <c r="G639" s="135">
        <f>BUG_GL!I82</f>
        <v>-2123499</v>
      </c>
      <c r="H639" s="157">
        <f>BUG_GL!J82</f>
        <v>0</v>
      </c>
      <c r="I639" s="135">
        <f>BUG_GL!K82</f>
        <v>-3145015</v>
      </c>
      <c r="J639" s="134">
        <f>BUG_GL!L82</f>
        <v>0</v>
      </c>
      <c r="K639" s="135">
        <f>BUG_GL!M82</f>
        <v>-4222343</v>
      </c>
      <c r="L639" s="134">
        <f>BUG_GL!N82</f>
        <v>0</v>
      </c>
      <c r="M639" s="135">
        <f>BUG_GL!O82</f>
        <v>12128398</v>
      </c>
      <c r="N639" s="134">
        <f>BUG_GL!P82</f>
        <v>0</v>
      </c>
      <c r="O639" s="135">
        <f>BUG_GL!Q82</f>
        <v>912262.10799999617</v>
      </c>
      <c r="P639" s="134">
        <f>BUG_GL!R82</f>
        <v>0</v>
      </c>
      <c r="Q639" s="135">
        <f>BUG_GL!S82</f>
        <v>-1021898.9199999999</v>
      </c>
      <c r="R639" s="134">
        <f>BUG_GL!T82</f>
        <v>0</v>
      </c>
      <c r="S639" s="135">
        <f>BUG_GL!U82</f>
        <v>-1269848.2879999992</v>
      </c>
      <c r="T639" s="134">
        <f>BUG_GL!V82</f>
        <v>0</v>
      </c>
      <c r="U639" s="135">
        <f>BUG_GL!W82</f>
        <v>-64.015999999999963</v>
      </c>
      <c r="V639" s="134">
        <f>BUG_GL!X82</f>
        <v>0</v>
      </c>
      <c r="W639" s="135">
        <f>BUG_GL!Y82</f>
        <v>143173.14000000004</v>
      </c>
      <c r="X639" s="134">
        <f>BUG_GL!Z82</f>
        <v>0</v>
      </c>
      <c r="Y639" s="134">
        <f>BUG_GL!AA82</f>
        <v>232981.054</v>
      </c>
      <c r="Z639" s="134">
        <f>BUG_GL!AB82</f>
        <v>0</v>
      </c>
      <c r="AA639" s="134">
        <f>BUG_GL!AC82</f>
        <v>0</v>
      </c>
      <c r="AB639" s="134">
        <f>BUG_GL!AD82</f>
        <v>0</v>
      </c>
      <c r="AC639" s="134">
        <f>BUG_GL!AE82</f>
        <v>0</v>
      </c>
      <c r="AD639" s="134">
        <f>BUG_GL!AF82</f>
        <v>0</v>
      </c>
      <c r="AE639" s="134">
        <f>BUG_GL!AG82</f>
        <v>0</v>
      </c>
    </row>
    <row r="640" spans="4:31" x14ac:dyDescent="0.25">
      <c r="D640" s="132" t="s">
        <v>141</v>
      </c>
      <c r="E640" s="133"/>
      <c r="F640" s="134">
        <f>CE_GL!H82</f>
        <v>0</v>
      </c>
      <c r="G640" s="188">
        <f>CE_GL!I82</f>
        <v>-1745944.3300000052</v>
      </c>
      <c r="H640" s="157">
        <f>CE_GL!J82</f>
        <v>0</v>
      </c>
      <c r="I640" s="135">
        <f>CE_GL!K82</f>
        <v>-1003310.6549999998</v>
      </c>
      <c r="J640" s="134">
        <f>CE_GL!L82</f>
        <v>0</v>
      </c>
      <c r="K640" s="135">
        <f>CE_GL!M82</f>
        <v>650460.94000000041</v>
      </c>
      <c r="L640" s="134">
        <f>CE_GL!N82</f>
        <v>0</v>
      </c>
      <c r="M640" s="135">
        <f>CE_GL!O82</f>
        <v>1517850.1550000033</v>
      </c>
      <c r="N640" s="134">
        <f>CE_GL!P82</f>
        <v>0</v>
      </c>
      <c r="O640" s="135">
        <f>CE_GL!Q82</f>
        <v>-655967.6350000028</v>
      </c>
      <c r="P640" s="134">
        <f>CE_GL!R82</f>
        <v>0</v>
      </c>
      <c r="Q640" s="135">
        <f>CE_GL!S82</f>
        <v>-18878.900000000001</v>
      </c>
      <c r="R640" s="134">
        <f>CE_GL!T82</f>
        <v>0</v>
      </c>
      <c r="S640" s="135">
        <f>CE_GL!U82</f>
        <v>623006.42499999993</v>
      </c>
      <c r="T640" s="134">
        <f>CE_GL!V82</f>
        <v>0</v>
      </c>
      <c r="U640" s="135">
        <f>CE_GL!W82</f>
        <v>9902.1</v>
      </c>
      <c r="V640" s="134">
        <f>CE_GL!X82</f>
        <v>0</v>
      </c>
      <c r="W640" s="135">
        <f>CE_GL!Y82</f>
        <v>90097.909999999989</v>
      </c>
      <c r="X640" s="134">
        <f>CE_GL!Z82</f>
        <v>0</v>
      </c>
      <c r="Y640" s="134">
        <f>CE_GL!AA82</f>
        <v>-687390.81500000041</v>
      </c>
      <c r="Z640" s="134">
        <f>CE_GL!AB82</f>
        <v>0</v>
      </c>
      <c r="AA640" s="134">
        <f>CE_GL!AC82</f>
        <v>424071.9</v>
      </c>
      <c r="AB640" s="134">
        <f>CE_GL!AD82</f>
        <v>0</v>
      </c>
      <c r="AC640" s="134">
        <f>CE_GL!AE82</f>
        <v>0</v>
      </c>
      <c r="AD640" s="134">
        <f>CE_GL!AF82</f>
        <v>0</v>
      </c>
      <c r="AE640" s="134">
        <f>CE_GL!AG82</f>
        <v>-64</v>
      </c>
    </row>
    <row r="641" spans="4:31" x14ac:dyDescent="0.25">
      <c r="D641" s="132" t="s">
        <v>142</v>
      </c>
      <c r="E641" s="133"/>
      <c r="F641" s="134">
        <f>+'EAST-EGM-GL'!H82</f>
        <v>0</v>
      </c>
      <c r="G641" s="135">
        <f>+'EAST-EGM-GL'!I82</f>
        <v>4121772.4980000467</v>
      </c>
      <c r="H641" s="157">
        <f>+'EAST-EGM-GL'!J82</f>
        <v>0</v>
      </c>
      <c r="I641" s="135">
        <f>+'EAST-EGM-GL'!K82</f>
        <v>-4577984.1640000008</v>
      </c>
      <c r="J641" s="134">
        <f>+'EAST-EGM-GL'!L82</f>
        <v>0</v>
      </c>
      <c r="K641" s="135">
        <f>+'EAST-EGM-GL'!M82</f>
        <v>725707.99099999783</v>
      </c>
      <c r="L641" s="134">
        <f>+'EAST-EGM-GL'!N82</f>
        <v>0</v>
      </c>
      <c r="M641" s="135">
        <f>+'EAST-EGM-GL'!O82</f>
        <v>289016.1740000089</v>
      </c>
      <c r="N641" s="134">
        <f>+'EAST-EGM-GL'!P82</f>
        <v>0</v>
      </c>
      <c r="O641" s="135">
        <f>+'EAST-EGM-GL'!Q82</f>
        <v>-969805.49400000833</v>
      </c>
      <c r="P641" s="134">
        <f>+'EAST-EGM-GL'!R82</f>
        <v>0</v>
      </c>
      <c r="Q641" s="135">
        <f>+'EAST-EGM-GL'!S82</f>
        <v>1060477.9339999999</v>
      </c>
      <c r="R641" s="134">
        <f>+'EAST-EGM-GL'!T82</f>
        <v>0</v>
      </c>
      <c r="S641" s="135">
        <f>+'EAST-EGM-GL'!U82</f>
        <v>313299.29200000106</v>
      </c>
      <c r="T641" s="134">
        <f>+'EAST-EGM-GL'!V82</f>
        <v>0</v>
      </c>
      <c r="U641" s="135">
        <f>+'EAST-EGM-GL'!W82</f>
        <v>16342.166000000001</v>
      </c>
      <c r="V641" s="134">
        <f>+'EAST-EGM-GL'!X82</f>
        <v>0</v>
      </c>
      <c r="W641" s="134">
        <f>+'EAST-EGM-GL'!Y82</f>
        <v>166042.60400000005</v>
      </c>
      <c r="X641" s="134">
        <f>+'EAST-EGM-GL'!Z82</f>
        <v>0</v>
      </c>
      <c r="Y641" s="134">
        <f>+'EAST-EGM-GL'!AA82</f>
        <v>-109663.27799999915</v>
      </c>
      <c r="Z641" s="134">
        <f>+'EAST-EGM-GL'!AB82</f>
        <v>0</v>
      </c>
      <c r="AA641" s="134">
        <f>+'EAST-EGM-GL'!AC82</f>
        <v>82.079999999998179</v>
      </c>
      <c r="AB641" s="134">
        <f>+'EAST-EGM-GL'!AD82</f>
        <v>0</v>
      </c>
      <c r="AC641" s="134">
        <f>+'EAST-EGM-GL'!AE82</f>
        <v>-15301.420000000024</v>
      </c>
      <c r="AD641" s="134">
        <f>+'EAST-EGM-GL'!AF82</f>
        <v>0</v>
      </c>
      <c r="AE641" s="134">
        <f>+'EAST-EGM-GL'!AG82</f>
        <v>1623.0499999999993</v>
      </c>
    </row>
    <row r="642" spans="4:31" x14ac:dyDescent="0.25">
      <c r="D642" s="132" t="s">
        <v>150</v>
      </c>
      <c r="E642" s="133"/>
      <c r="F642" s="134">
        <f>+'EAST-LRC-GL'!H82</f>
        <v>0</v>
      </c>
      <c r="G642" s="135">
        <f>+'EAST-LRC-GL'!I82</f>
        <v>1974892.2699999977</v>
      </c>
      <c r="H642" s="157">
        <f>+'EAST-LRC-GL'!J82</f>
        <v>0</v>
      </c>
      <c r="I642" s="135">
        <f>+'EAST-LRC-GL'!K82</f>
        <v>-31266.296000000119</v>
      </c>
      <c r="J642" s="134">
        <f>+'EAST-LRC-GL'!L82</f>
        <v>0</v>
      </c>
      <c r="K642" s="135">
        <f>+'EAST-LRC-GL'!M82</f>
        <v>-1259.9420000000391</v>
      </c>
      <c r="L642" s="134">
        <f>+'EAST-LRC-GL'!N82</f>
        <v>0</v>
      </c>
      <c r="M642" s="135">
        <f>+'EAST-LRC-GL'!O82</f>
        <v>1887.5819999999294</v>
      </c>
      <c r="N642" s="134">
        <f>+'EAST-LRC-GL'!P82</f>
        <v>0</v>
      </c>
      <c r="O642" s="135">
        <f>+'EAST-LRC-GL'!Q82</f>
        <v>-1697.2119999999284</v>
      </c>
      <c r="P642" s="134">
        <f>+'EAST-LRC-GL'!R82</f>
        <v>0</v>
      </c>
      <c r="Q642" s="135">
        <f>+'EAST-LRC-GL'!S82</f>
        <v>-1932.9900000000016</v>
      </c>
      <c r="R642" s="134">
        <f>+'EAST-LRC-GL'!T82</f>
        <v>0</v>
      </c>
      <c r="S642" s="135">
        <f>+'EAST-LRC-GL'!U82</f>
        <v>-2013.6680000000015</v>
      </c>
      <c r="T642" s="134">
        <f>+'EAST-LRC-GL'!V82</f>
        <v>0</v>
      </c>
      <c r="U642" s="135">
        <f>+'EAST-LRC-GL'!W82</f>
        <v>-7274.6940000000004</v>
      </c>
      <c r="V642" s="134">
        <f>+'EAST-LRC-GL'!X82</f>
        <v>0</v>
      </c>
      <c r="W642" s="134">
        <f>+'EAST-LRC-GL'!Y82</f>
        <v>1837.1239999999998</v>
      </c>
      <c r="X642" s="134">
        <f>+'EAST-LRC-GL'!Z82</f>
        <v>0</v>
      </c>
      <c r="Y642" s="134">
        <f>+'EAST-LRC-GL'!AA82</f>
        <v>0</v>
      </c>
      <c r="Z642" s="134">
        <f>+'EAST-LRC-GL'!AB82</f>
        <v>0</v>
      </c>
      <c r="AA642" s="134">
        <f>+'EAST-LRC-GL'!AC82</f>
        <v>0</v>
      </c>
      <c r="AB642" s="134">
        <f>+'EAST-LRC-GL'!AD82</f>
        <v>0</v>
      </c>
      <c r="AC642" s="134">
        <f>+'EAST-LRC-GL'!AE82</f>
        <v>0</v>
      </c>
      <c r="AD642" s="134">
        <f>+'EAST-LRC-GL'!AF82</f>
        <v>0</v>
      </c>
      <c r="AE642" s="134">
        <f>+'EAST-LRC-GL'!AG82</f>
        <v>0</v>
      </c>
    </row>
    <row r="643" spans="4:31" x14ac:dyDescent="0.25">
      <c r="D643" s="132" t="s">
        <v>151</v>
      </c>
      <c r="E643" s="133"/>
      <c r="F643" s="134">
        <f>+'BGC-EGM-GL'!H82</f>
        <v>0</v>
      </c>
      <c r="G643" s="157">
        <f>+'BGC-EGM-GL'!I82</f>
        <v>0</v>
      </c>
      <c r="H643" s="157">
        <f>+'BGC-EGM-GL'!J82</f>
        <v>0</v>
      </c>
      <c r="I643" s="135">
        <f>+'BGC-EGM-GL'!K82</f>
        <v>0</v>
      </c>
      <c r="J643" s="134">
        <f>+'BGC-EGM-GL'!L82</f>
        <v>0</v>
      </c>
      <c r="K643" s="135">
        <f>+'BGC-EGM-GL'!M82</f>
        <v>0</v>
      </c>
      <c r="L643" s="134">
        <f>+'BGC-EGM-GL'!N82</f>
        <v>0</v>
      </c>
      <c r="M643" s="134">
        <f>+'BGC-EGM-GL'!O82</f>
        <v>0</v>
      </c>
      <c r="N643" s="134">
        <f>+'BGC-EGM-GL'!P82</f>
        <v>0</v>
      </c>
      <c r="O643" s="135">
        <f>+'BGC-EGM-GL'!Q82</f>
        <v>0</v>
      </c>
      <c r="P643" s="134">
        <f>+'BGC-EGM-GL'!R82</f>
        <v>0</v>
      </c>
      <c r="Q643" s="134">
        <f>+'BGC-EGM-GL'!S82</f>
        <v>0</v>
      </c>
      <c r="R643" s="134">
        <f>+'BGC-EGM-GL'!T82</f>
        <v>0</v>
      </c>
      <c r="S643" s="134">
        <f>+'BGC-EGM-GL'!U82</f>
        <v>0</v>
      </c>
      <c r="T643" s="134">
        <f>+'BGC-EGM-GL'!V82</f>
        <v>0</v>
      </c>
      <c r="U643" s="134">
        <f>+'BGC-EGM-GL'!W82</f>
        <v>0</v>
      </c>
      <c r="V643" s="134">
        <f>+'BGC-EGM-GL'!X82</f>
        <v>0</v>
      </c>
      <c r="W643" s="134">
        <f>+'BGC-EGM-GL'!Y82</f>
        <v>333115</v>
      </c>
      <c r="X643" s="134">
        <f>+'BGC-EGM-GL'!Z82</f>
        <v>0</v>
      </c>
      <c r="Y643" s="134">
        <f>+'BGC-EGM-GL'!AA82</f>
        <v>0</v>
      </c>
      <c r="Z643" s="134">
        <f>+'BGC-EGM-GL'!AB82</f>
        <v>0</v>
      </c>
      <c r="AA643" s="134">
        <f>+'BGC-EGM-GL'!AC82</f>
        <v>0</v>
      </c>
      <c r="AB643" s="134">
        <f>+'BGC-EGM-GL'!AD82</f>
        <v>0</v>
      </c>
      <c r="AC643" s="134">
        <f>+'BGC-EGM-GL'!AE82</f>
        <v>0</v>
      </c>
      <c r="AD643" s="134">
        <f>+'BGC-EGM-GL'!AF82</f>
        <v>0</v>
      </c>
      <c r="AE643" s="134">
        <f>+'BGC-EGM-GL'!AG82</f>
        <v>0</v>
      </c>
    </row>
    <row r="644" spans="4:31" x14ac:dyDescent="0.25">
      <c r="D644" s="132" t="s">
        <v>152</v>
      </c>
      <c r="E644" s="133"/>
      <c r="F644" s="134">
        <f>+'EAST-CON-GL '!H82</f>
        <v>0</v>
      </c>
      <c r="G644" s="157">
        <f>+'EAST-CON-GL '!I82</f>
        <v>6096664.7680000495</v>
      </c>
      <c r="H644" s="157">
        <f>+'EAST-CON-GL '!J82</f>
        <v>0</v>
      </c>
      <c r="I644" s="135">
        <f>+'EAST-CON-GL '!K82</f>
        <v>-4609250.4600000009</v>
      </c>
      <c r="J644" s="134">
        <f>+'EAST-CON-GL '!L82</f>
        <v>0</v>
      </c>
      <c r="K644" s="135">
        <f>+'EAST-CON-GL '!M82</f>
        <v>724448.04899999709</v>
      </c>
      <c r="L644" s="134">
        <f>+'EAST-CON-GL '!N82</f>
        <v>0</v>
      </c>
      <c r="M644" s="135">
        <f>+'EAST-CON-GL '!O82</f>
        <v>290903.74600000674</v>
      </c>
      <c r="N644" s="134">
        <f>+'EAST-CON-GL '!P82</f>
        <v>0</v>
      </c>
      <c r="O644" s="135">
        <f>+'EAST-CON-GL '!Q82</f>
        <v>-971502.69600000139</v>
      </c>
      <c r="P644" s="134">
        <f>+'EAST-CON-GL '!R82</f>
        <v>0</v>
      </c>
      <c r="Q644" s="134">
        <f>+'EAST-CON-GL '!S82</f>
        <v>1058544.9439999999</v>
      </c>
      <c r="R644" s="134">
        <f>+'EAST-CON-GL '!T82</f>
        <v>0</v>
      </c>
      <c r="S644" s="135">
        <f>+'EAST-CON-GL '!U82</f>
        <v>311285.62400000053</v>
      </c>
      <c r="T644" s="134">
        <f>+'EAST-CON-GL '!V82</f>
        <v>0</v>
      </c>
      <c r="U644" s="134">
        <f>+'EAST-CON-GL '!W82</f>
        <v>9067.4719999999998</v>
      </c>
      <c r="V644" s="134">
        <f>+'EAST-CON-GL '!X82</f>
        <v>0</v>
      </c>
      <c r="W644" s="134">
        <f>+'EAST-CON-GL '!Y82</f>
        <v>167879.72799999989</v>
      </c>
      <c r="X644" s="134">
        <f>+'EAST-CON-GL '!Z82</f>
        <v>0</v>
      </c>
      <c r="Y644" s="134">
        <f>+'EAST-CON-GL '!AA82</f>
        <v>-109663.27799999938</v>
      </c>
      <c r="Z644" s="134">
        <f>+'EAST-CON-GL '!AB82</f>
        <v>0</v>
      </c>
      <c r="AA644" s="134">
        <f>+'EAST-CON-GL '!AC82</f>
        <v>82.079999999998179</v>
      </c>
      <c r="AB644" s="134">
        <f>+'EAST-CON-GL '!AD82</f>
        <v>0</v>
      </c>
      <c r="AC644" s="134">
        <f>+'EAST-CON-GL '!AE82</f>
        <v>-15301.420000000024</v>
      </c>
      <c r="AD644" s="134">
        <f>+'EAST-CON-GL '!AF82</f>
        <v>0</v>
      </c>
      <c r="AE644" s="134">
        <f>+'EAST-CON-GL '!AG82</f>
        <v>0</v>
      </c>
    </row>
    <row r="645" spans="4:31" x14ac:dyDescent="0.25">
      <c r="D645" s="132" t="s">
        <v>153</v>
      </c>
      <c r="E645" s="133"/>
      <c r="F645" s="134">
        <f>+'TX-EGM-GL'!H82</f>
        <v>0</v>
      </c>
      <c r="G645" s="135">
        <f>+'TX-EGM-GL'!I82</f>
        <v>2948091.2240000051</v>
      </c>
      <c r="H645" s="157">
        <f>+'TX-EGM-GL'!J82</f>
        <v>0</v>
      </c>
      <c r="I645" s="135">
        <f>+'TX-EGM-GL'!K91</f>
        <v>2259517.7639999995</v>
      </c>
      <c r="J645" s="134">
        <f>+'TX-EGM-GL'!L82</f>
        <v>0</v>
      </c>
      <c r="K645" s="135">
        <f>+'TX-EGM-GL'!M82</f>
        <v>-2742804.3669999992</v>
      </c>
      <c r="L645" s="134">
        <f>+'TX-EGM-GL'!N82</f>
        <v>0</v>
      </c>
      <c r="M645" s="135">
        <f>+'TX-EGM-GL'!O82</f>
        <v>-85105.076000000001</v>
      </c>
      <c r="N645" s="134">
        <f>+'TX-EGM-GL'!P82</f>
        <v>0</v>
      </c>
      <c r="O645" s="135">
        <f>+'TX-EGM-GL'!Q82</f>
        <v>92345.244000001039</v>
      </c>
      <c r="P645" s="134">
        <f>+'TX-EGM-GL'!R82</f>
        <v>0</v>
      </c>
      <c r="Q645" s="135">
        <f>+'TX-EGM-GL'!S82</f>
        <v>1118.0620000000001</v>
      </c>
      <c r="R645" s="134">
        <f>+'TX-EGM-GL'!T82</f>
        <v>0</v>
      </c>
      <c r="S645" s="135">
        <f>+'TX-EGM-GL'!U82</f>
        <v>-17234.564000000595</v>
      </c>
      <c r="T645" s="134">
        <f>+'TX-EGM-GL'!V82</f>
        <v>0</v>
      </c>
      <c r="U645" s="135">
        <f>+'TX-EGM-GL'!W82</f>
        <v>-546.52</v>
      </c>
      <c r="V645" s="134">
        <f>+'TX-EGM-GL'!X82</f>
        <v>0</v>
      </c>
      <c r="W645" s="135">
        <f>+'TX-EGM-GL'!Y82</f>
        <v>1336894.78</v>
      </c>
      <c r="X645" s="134">
        <f>+'TX-EGM-GL'!Z82</f>
        <v>0</v>
      </c>
      <c r="Y645" s="134">
        <f>+'TX-EGM-GL'!AA82</f>
        <v>-34438.7279999987</v>
      </c>
      <c r="Z645" s="134">
        <f>+'TX-EGM-GL'!AB82</f>
        <v>0</v>
      </c>
      <c r="AA645" s="134">
        <f>+'TX-EGM-GL'!AC82</f>
        <v>-642.30999999999995</v>
      </c>
      <c r="AB645" s="134">
        <f>+'TX-EGM-GL'!AD82</f>
        <v>0</v>
      </c>
      <c r="AC645" s="134">
        <f>+'TX-EGM-GL'!AE82</f>
        <v>0</v>
      </c>
      <c r="AD645" s="134">
        <f>+'TX-EGM-GL'!AF82</f>
        <v>0</v>
      </c>
      <c r="AE645" s="134">
        <f>+'TX-EGM-GL'!AG82</f>
        <v>-235.05</v>
      </c>
    </row>
    <row r="646" spans="4:31" x14ac:dyDescent="0.25">
      <c r="D646" s="132" t="s">
        <v>182</v>
      </c>
      <c r="E646" s="133"/>
      <c r="F646" s="134">
        <f>+'TX-HPLR-GL '!H82</f>
        <v>0</v>
      </c>
      <c r="G646" s="135">
        <f>+'TX-HPLR-GL '!I82</f>
        <v>-330751.3000000001</v>
      </c>
      <c r="H646" s="157">
        <f>+'TX-HPLR-GL '!J82</f>
        <v>0</v>
      </c>
      <c r="I646" s="135">
        <f>+'TX-HPLR-GL '!K82</f>
        <v>-156.67999999999995</v>
      </c>
      <c r="J646" s="134">
        <f>+'TX-HPLR-GL '!L82</f>
        <v>0</v>
      </c>
      <c r="K646" s="135">
        <f>+'TX-HPLR-GL '!M82</f>
        <v>-0.44000000000050932</v>
      </c>
      <c r="L646" s="134">
        <f>+'TX-HPLR-GL '!N82</f>
        <v>0</v>
      </c>
      <c r="M646" s="134">
        <f>+'TX-HPLR-GL '!O82</f>
        <v>0</v>
      </c>
      <c r="N646" s="134">
        <f>+'TX-HPLR-GL '!P82</f>
        <v>0</v>
      </c>
      <c r="O646" s="134">
        <f>+'TX-HPLR-GL '!Q82</f>
        <v>0</v>
      </c>
      <c r="P646" s="134">
        <f>+'TX-HPLR-GL '!R82</f>
        <v>0</v>
      </c>
      <c r="Q646" s="134">
        <f>+'TX-HPLR-GL '!S82</f>
        <v>0</v>
      </c>
      <c r="R646" s="134">
        <f>+'TX-HPLR-GL '!T82</f>
        <v>0</v>
      </c>
      <c r="S646" s="134">
        <f>+'TX-HPLR-GL '!U82</f>
        <v>0</v>
      </c>
      <c r="T646" s="134">
        <f>+'TX-HPLR-GL '!V82</f>
        <v>0</v>
      </c>
      <c r="U646" s="134">
        <f>+'TX-HPLR-GL '!W82</f>
        <v>0</v>
      </c>
      <c r="V646" s="134">
        <f>+'TX-HPLR-GL '!X82</f>
        <v>0</v>
      </c>
      <c r="W646" s="135">
        <f>+'TX-HPLR-GL '!Y82</f>
        <v>-0.18000000000029104</v>
      </c>
      <c r="X646" s="134">
        <f>+'TX-HPLR-GL '!Z82</f>
        <v>0</v>
      </c>
      <c r="Y646" s="134">
        <f>+'TX-HPLR-GL '!AA82</f>
        <v>0</v>
      </c>
      <c r="Z646" s="134">
        <f>+'TX-HPLR-GL '!AB82</f>
        <v>0</v>
      </c>
      <c r="AA646" s="134">
        <f>+'TX-HPLR-GL '!AC82</f>
        <v>0</v>
      </c>
      <c r="AB646" s="134">
        <f>+'TX-HPLR-GL '!AD82</f>
        <v>0</v>
      </c>
      <c r="AC646" s="134">
        <f>+'TX-HPLR-GL '!AE82</f>
        <v>0</v>
      </c>
      <c r="AD646" s="134">
        <f>+'TX-HPLR-GL '!AF82</f>
        <v>0</v>
      </c>
      <c r="AE646" s="134">
        <f>+'TX-HPLR-GL '!AG82</f>
        <v>0</v>
      </c>
    </row>
    <row r="647" spans="4:31" x14ac:dyDescent="0.25">
      <c r="D647" s="132" t="s">
        <v>181</v>
      </c>
      <c r="E647" s="133"/>
      <c r="F647" s="134">
        <f>+'TX-HPLC-GL'!H82</f>
        <v>0</v>
      </c>
      <c r="G647" s="135">
        <f>+'TX-HPLC-GL'!I82</f>
        <v>895950</v>
      </c>
      <c r="H647" s="157">
        <f>+'TX-HPLC-GL'!J82</f>
        <v>0</v>
      </c>
      <c r="I647" s="135">
        <f>+'TX-HPLC-GL'!K82</f>
        <v>24649.189999997616</v>
      </c>
      <c r="J647" s="134">
        <f>+'TX-HPLC-GL'!L82</f>
        <v>0</v>
      </c>
      <c r="K647" s="135">
        <f>+'TX-HPLC-GL'!M82</f>
        <v>-966518</v>
      </c>
      <c r="L647" s="134">
        <f>+'TX-HPLC-GL'!N82</f>
        <v>0</v>
      </c>
      <c r="M647" s="135">
        <f>+'TX-HPLC-GL'!O82</f>
        <v>-144291</v>
      </c>
      <c r="N647" s="134">
        <f>+'TX-HPLC-GL'!P82</f>
        <v>0</v>
      </c>
      <c r="O647" s="134">
        <f>+'TX-HPLC-GL'!Q82</f>
        <v>67057</v>
      </c>
      <c r="P647" s="134">
        <f>+'TX-HPLC-GL'!R82</f>
        <v>0</v>
      </c>
      <c r="Q647" s="135">
        <f>+'TX-HPLC-GL'!S82</f>
        <v>39213</v>
      </c>
      <c r="R647" s="134">
        <f>+'TX-HPLC-GL'!T82</f>
        <v>0</v>
      </c>
      <c r="S647" s="135">
        <f>+'TX-HPLC-GL'!U82</f>
        <v>-70906</v>
      </c>
      <c r="T647" s="134">
        <f>+'TX-HPLC-GL'!V82</f>
        <v>0</v>
      </c>
      <c r="U647" s="135">
        <f>+'TX-HPLC-GL'!W82</f>
        <v>4076</v>
      </c>
      <c r="V647" s="134">
        <f>+'TX-HPLC-GL'!X82</f>
        <v>0</v>
      </c>
      <c r="W647" s="135">
        <f>+'TX-HPLC-GL'!Y82</f>
        <v>-184654</v>
      </c>
      <c r="X647" s="134">
        <f>+'TX-HPLC-GL'!Z82</f>
        <v>0</v>
      </c>
      <c r="Y647" s="134">
        <f>+'TX-HPLC-GL'!AA82</f>
        <v>-2917</v>
      </c>
      <c r="Z647" s="134">
        <f>+'TX-HPLC-GL'!AB82</f>
        <v>0</v>
      </c>
      <c r="AA647" s="134">
        <f>+'TX-HPLC-GL'!AC82</f>
        <v>1132.7600000000002</v>
      </c>
      <c r="AB647" s="134">
        <f>+'TX-HPLC-GL'!AD82</f>
        <v>0</v>
      </c>
      <c r="AC647" s="134">
        <f>+'TX-HPLC-GL'!AE82</f>
        <v>5405.2000000000035</v>
      </c>
      <c r="AD647" s="134">
        <f>+'TX-HPLC-GL'!AF82</f>
        <v>0</v>
      </c>
      <c r="AE647" s="134">
        <f>+'TX-HPLC-GL'!AG82</f>
        <v>2381.5799999999963</v>
      </c>
    </row>
    <row r="648" spans="4:31" x14ac:dyDescent="0.25">
      <c r="D648" s="132" t="s">
        <v>154</v>
      </c>
      <c r="E648" s="133"/>
      <c r="F648" s="134">
        <f>+'TX-CON-GL '!H82</f>
        <v>0</v>
      </c>
      <c r="G648" s="157">
        <f>+'TX-CON-GL '!I82</f>
        <v>3513289.9240000127</v>
      </c>
      <c r="H648" s="157">
        <f>+'TX-CON-GL '!J82</f>
        <v>0</v>
      </c>
      <c r="I648" s="135">
        <f>+'TX-CON-GL '!K82</f>
        <v>2284010.2739999988</v>
      </c>
      <c r="J648" s="134">
        <f>+'TX-CON-GL '!L82</f>
        <v>0</v>
      </c>
      <c r="K648" s="134">
        <f>+'TX-CON-GL '!M82</f>
        <v>-2742804.8069999996</v>
      </c>
      <c r="L648" s="134">
        <f>+'TX-CON-GL '!N82</f>
        <v>0</v>
      </c>
      <c r="M648" s="135">
        <f>+'TX-CON-GL '!O82</f>
        <v>-85105.076000000001</v>
      </c>
      <c r="N648" s="134">
        <f>+'TX-CON-GL '!P82</f>
        <v>0</v>
      </c>
      <c r="O648" s="134">
        <f>+'TX-CON-GL '!Q82</f>
        <v>92345.244000001039</v>
      </c>
      <c r="P648" s="134">
        <f>+'TX-CON-GL '!R82</f>
        <v>0</v>
      </c>
      <c r="Q648" s="135">
        <f>+'TX-CON-GL '!S82</f>
        <v>1118.0620000000001</v>
      </c>
      <c r="R648" s="134">
        <f>+'TX-CON-GL '!T82</f>
        <v>0</v>
      </c>
      <c r="S648" s="135">
        <f>+'TX-CON-GL '!U82</f>
        <v>-17234.564000000595</v>
      </c>
      <c r="T648" s="134">
        <f>+'TX-CON-GL '!V82</f>
        <v>0</v>
      </c>
      <c r="U648" s="134">
        <f>+'TX-CON-GL '!W82</f>
        <v>-546.52</v>
      </c>
      <c r="V648" s="134">
        <f>+'TX-CON-GL '!X82</f>
        <v>0</v>
      </c>
      <c r="W648" s="134">
        <f>+'TX-CON-GL '!Y82</f>
        <v>1336894.6000000001</v>
      </c>
      <c r="X648" s="134">
        <f>+'TX-CON-GL '!Z82</f>
        <v>0</v>
      </c>
      <c r="Y648" s="134">
        <f>+'TX-CON-GL '!AA82</f>
        <v>-34438.7279999987</v>
      </c>
      <c r="Z648" s="134">
        <f>+'TX-CON-GL '!AB82</f>
        <v>0</v>
      </c>
      <c r="AA648" s="134">
        <f>+'TX-CON-GL '!AC82</f>
        <v>-642.30999999999995</v>
      </c>
      <c r="AB648" s="134">
        <f>+'TX-CON-GL '!AD82</f>
        <v>0</v>
      </c>
      <c r="AC648" s="134">
        <f>+'TX-CON-GL '!AE82</f>
        <v>0</v>
      </c>
      <c r="AD648" s="134">
        <f>+'TX-CON-GL '!AF82</f>
        <v>0</v>
      </c>
      <c r="AE648" s="134">
        <f>+'TX-CON-GL '!AG82</f>
        <v>0</v>
      </c>
    </row>
    <row r="649" spans="4:31" x14ac:dyDescent="0.25">
      <c r="D649" s="132" t="s">
        <v>144</v>
      </c>
      <c r="E649" s="133"/>
      <c r="F649" s="134">
        <f>+'WE-GL '!H82</f>
        <v>0</v>
      </c>
      <c r="G649" s="135">
        <f>+'WE-GL '!I82</f>
        <v>1065237.6979999868</v>
      </c>
      <c r="H649" s="157">
        <f>+'WE-GL '!J82</f>
        <v>0</v>
      </c>
      <c r="I649" s="135">
        <f>+'WE-GL '!K82</f>
        <v>-1150345.5619999999</v>
      </c>
      <c r="J649" s="134">
        <f>+'WE-GL '!L82</f>
        <v>0</v>
      </c>
      <c r="K649" s="135">
        <f>+'WE-GL '!M82</f>
        <v>-337145.87199999986</v>
      </c>
      <c r="L649" s="134">
        <f>+'WE-GL '!N82</f>
        <v>0</v>
      </c>
      <c r="M649" s="135">
        <f>+'WE-GL '!O82</f>
        <v>-467455.27999999514</v>
      </c>
      <c r="N649" s="134">
        <f>+'WE-GL '!P82</f>
        <v>0</v>
      </c>
      <c r="O649" s="134">
        <f>+'WE-GL '!Q82</f>
        <v>38875.437999995163</v>
      </c>
      <c r="P649" s="134">
        <f>+'WE-GL '!R82</f>
        <v>0</v>
      </c>
      <c r="Q649" s="135">
        <f>+'WE-GL '!S82</f>
        <v>7668.8460000000005</v>
      </c>
      <c r="R649" s="134">
        <f>+'WE-GL '!T82</f>
        <v>0</v>
      </c>
      <c r="S649" s="135">
        <f>+'WE-GL '!U82</f>
        <v>223490.13800000091</v>
      </c>
      <c r="T649" s="134">
        <f>+'WE-GL '!V82</f>
        <v>0</v>
      </c>
      <c r="U649" s="135">
        <f>+'WE-GL '!W82</f>
        <v>87123.757999999943</v>
      </c>
      <c r="V649" s="134">
        <f>+'WE-GL '!X82</f>
        <v>0</v>
      </c>
      <c r="W649" s="135">
        <f>+'WE-GL '!Y82</f>
        <v>-824693.85</v>
      </c>
      <c r="X649" s="134">
        <f>+'WE-GL '!Z82</f>
        <v>0</v>
      </c>
      <c r="Y649" s="134">
        <f>+'WE-GL '!AA82</f>
        <v>-148844.83000000002</v>
      </c>
      <c r="Z649" s="134">
        <f>+'WE-GL '!AB82</f>
        <v>0</v>
      </c>
      <c r="AA649" s="134">
        <f>+'WE-GL '!AC82</f>
        <v>67768.929999999993</v>
      </c>
      <c r="AB649" s="134">
        <f>+'WE-GL '!AD82</f>
        <v>0</v>
      </c>
      <c r="AC649" s="134">
        <f>+'WE-GL '!AE82</f>
        <v>75716.929999999993</v>
      </c>
      <c r="AD649" s="134">
        <f>+'WE-GL '!AF82</f>
        <v>0</v>
      </c>
      <c r="AE649" s="134">
        <f>+'WE-GL '!AG82</f>
        <v>-887.72400000000005</v>
      </c>
    </row>
    <row r="650" spans="4:31" x14ac:dyDescent="0.25">
      <c r="D650" t="s">
        <v>146</v>
      </c>
      <c r="F650" s="136">
        <f>+STG_GL!H82</f>
        <v>0</v>
      </c>
      <c r="G650" s="158">
        <f>+STG_GL!I82</f>
        <v>0</v>
      </c>
      <c r="H650" s="158">
        <f>+STG_GL!J82</f>
        <v>0</v>
      </c>
      <c r="I650" s="158">
        <f>+STG_GL!K82</f>
        <v>92444</v>
      </c>
      <c r="J650" s="136">
        <f>+STG_GL!L82</f>
        <v>0</v>
      </c>
      <c r="K650" s="136">
        <f>+STG_GL!M82</f>
        <v>-568279</v>
      </c>
      <c r="L650" s="136">
        <f>+STG_GL!N82</f>
        <v>0</v>
      </c>
      <c r="M650" s="136">
        <f>+STG_GL!O82</f>
        <v>0</v>
      </c>
      <c r="N650" s="136">
        <f>+STG_GL!P82</f>
        <v>0</v>
      </c>
      <c r="O650" s="136">
        <f>+STG_GL!Q82</f>
        <v>59986</v>
      </c>
      <c r="P650" s="136">
        <f>+STG_GL!R82</f>
        <v>0</v>
      </c>
      <c r="Q650" s="136">
        <f>+STG_GL!S82</f>
        <v>0</v>
      </c>
      <c r="R650" s="136">
        <f>+STG_GL!T82</f>
        <v>0</v>
      </c>
      <c r="S650" s="136">
        <f>+STG_GL!U82</f>
        <v>0</v>
      </c>
      <c r="T650" s="136">
        <f>+STG_GL!V82</f>
        <v>0</v>
      </c>
      <c r="U650" s="136">
        <f>+STG_GL!W82</f>
        <v>0</v>
      </c>
      <c r="V650" s="136">
        <f>+STG_GL!X82</f>
        <v>0</v>
      </c>
      <c r="W650" s="136">
        <f>+STG_GL!Y82</f>
        <v>0</v>
      </c>
      <c r="X650" s="136">
        <f>+STG_GL!Z82</f>
        <v>0</v>
      </c>
      <c r="Y650" s="136">
        <f>+STG_GL!AA82</f>
        <v>0</v>
      </c>
      <c r="Z650" s="136">
        <f>+STG_GL!AB82</f>
        <v>0</v>
      </c>
      <c r="AA650" s="136">
        <f>+STG_GL!AC82</f>
        <v>0</v>
      </c>
      <c r="AB650" s="136">
        <f>+STG_GL!AD82</f>
        <v>0</v>
      </c>
      <c r="AC650" s="136">
        <f>+STG_GL!AE82</f>
        <v>0</v>
      </c>
      <c r="AD650" s="136">
        <f>+STG_GL!AF82</f>
        <v>0</v>
      </c>
      <c r="AE650" s="136">
        <f>+STG_GL!AG82</f>
        <v>0</v>
      </c>
    </row>
    <row r="651" spans="4:31" x14ac:dyDescent="0.25">
      <c r="D651" t="s">
        <v>161</v>
      </c>
      <c r="F651" s="136">
        <f>+'ONT_GL '!H82</f>
        <v>0</v>
      </c>
      <c r="G651" s="190">
        <f>+'ONT_GL '!I82</f>
        <v>1587420</v>
      </c>
      <c r="H651" s="158">
        <f>+'ONT_GL '!J82</f>
        <v>0</v>
      </c>
      <c r="I651" s="190">
        <f>+'ONT_GL '!K82</f>
        <v>-162673</v>
      </c>
      <c r="J651" s="136">
        <f>+'ONT_GL '!L82</f>
        <v>0</v>
      </c>
      <c r="K651" s="190">
        <f>+'ONT_GL '!M82</f>
        <v>31068</v>
      </c>
      <c r="L651" s="136">
        <f>+'ONT_GL '!N82</f>
        <v>0</v>
      </c>
      <c r="M651" s="190">
        <f>+'ONT_GL '!O82</f>
        <v>-775845</v>
      </c>
      <c r="N651" s="136">
        <f>+'ONT_GL '!P82</f>
        <v>0</v>
      </c>
      <c r="O651" s="136">
        <f>+'ONT_GL '!Q82</f>
        <v>832943.6500000013</v>
      </c>
      <c r="P651" s="136">
        <f>+'ONT_GL '!R82</f>
        <v>0</v>
      </c>
      <c r="Q651" s="190">
        <f>+'ONT_GL '!S82</f>
        <v>-1334991.3899999999</v>
      </c>
      <c r="R651" s="136">
        <f>+'ONT_GL '!T82</f>
        <v>0</v>
      </c>
      <c r="S651" s="190">
        <f>+'ONT_GL '!U82</f>
        <v>568155.69000000041</v>
      </c>
      <c r="T651" s="136">
        <f>+'ONT_GL '!V82</f>
        <v>0</v>
      </c>
      <c r="U651" s="190">
        <f>+'ONT_GL '!W82</f>
        <v>-24472.399999999998</v>
      </c>
      <c r="V651" s="136">
        <f>+'ONT_GL '!X82</f>
        <v>0</v>
      </c>
      <c r="W651" s="136">
        <f>+'ONT_GL '!Y82</f>
        <v>0.20000000000000107</v>
      </c>
      <c r="X651" s="136">
        <f>+'ONT_GL '!Z82</f>
        <v>0</v>
      </c>
      <c r="Y651" s="136">
        <f>+'ONT_GL '!AA82</f>
        <v>643795.27000000048</v>
      </c>
      <c r="Z651" s="136">
        <f>+'ONT_GL '!AB82</f>
        <v>0</v>
      </c>
      <c r="AA651" s="136">
        <f>+'ONT_GL '!AC82</f>
        <v>0</v>
      </c>
      <c r="AB651" s="136">
        <f>+'ONT_GL '!AD82</f>
        <v>0</v>
      </c>
      <c r="AC651" s="136">
        <f>+'ONT_GL '!AE82</f>
        <v>0</v>
      </c>
      <c r="AD651" s="136">
        <f>+'ONT_GL '!AF82</f>
        <v>0</v>
      </c>
      <c r="AE651" s="136">
        <f>+'ONT_GL '!AG82</f>
        <v>0</v>
      </c>
    </row>
    <row r="652" spans="4:31" x14ac:dyDescent="0.25">
      <c r="G652" s="164"/>
      <c r="H652" s="121"/>
    </row>
    <row r="653" spans="4:31" x14ac:dyDescent="0.25">
      <c r="D653" t="s">
        <v>2</v>
      </c>
      <c r="P653" s="14">
        <v>-352755</v>
      </c>
      <c r="Q653" s="14">
        <v>-1021898.92</v>
      </c>
    </row>
    <row r="654" spans="4:31" x14ac:dyDescent="0.25">
      <c r="P654" s="14">
        <v>0</v>
      </c>
      <c r="Q654" s="14">
        <v>-18878.900000000001</v>
      </c>
    </row>
    <row r="655" spans="4:31" x14ac:dyDescent="0.25">
      <c r="P655" s="14">
        <v>352755</v>
      </c>
      <c r="Q655" s="14">
        <v>1060477.9339999999</v>
      </c>
    </row>
    <row r="656" spans="4:31" x14ac:dyDescent="0.25">
      <c r="P656" s="14">
        <v>0</v>
      </c>
      <c r="Q656" s="14">
        <v>-1932.99</v>
      </c>
    </row>
    <row r="657" spans="16:17" x14ac:dyDescent="0.25">
      <c r="P657" s="14">
        <v>0</v>
      </c>
      <c r="Q657" s="14">
        <v>0</v>
      </c>
    </row>
    <row r="658" spans="16:17" x14ac:dyDescent="0.25">
      <c r="P658" s="14">
        <v>352755</v>
      </c>
      <c r="Q658" s="14">
        <v>1058544.9439999999</v>
      </c>
    </row>
    <row r="659" spans="16:17" x14ac:dyDescent="0.25">
      <c r="P659" s="14">
        <v>0</v>
      </c>
      <c r="Q659" s="14">
        <v>1118.0620000000001</v>
      </c>
    </row>
    <row r="660" spans="16:17" x14ac:dyDescent="0.25">
      <c r="P660" s="14">
        <v>0</v>
      </c>
      <c r="Q660" s="14">
        <v>0</v>
      </c>
    </row>
    <row r="661" spans="16:17" x14ac:dyDescent="0.25">
      <c r="P661" s="14">
        <v>0</v>
      </c>
      <c r="Q661" s="14">
        <v>39213</v>
      </c>
    </row>
    <row r="662" spans="16:17" x14ac:dyDescent="0.25">
      <c r="P662" s="14">
        <v>0</v>
      </c>
      <c r="Q662" s="14">
        <v>1118.0620000000001</v>
      </c>
    </row>
    <row r="663" spans="16:17" x14ac:dyDescent="0.25">
      <c r="P663" s="14">
        <v>0</v>
      </c>
      <c r="Q663" s="14">
        <v>7668.8460000000005</v>
      </c>
    </row>
    <row r="664" spans="16:17" x14ac:dyDescent="0.25">
      <c r="P664" s="14">
        <v>0</v>
      </c>
      <c r="Q664" s="14">
        <v>0</v>
      </c>
    </row>
    <row r="665" spans="16:17" x14ac:dyDescent="0.25">
      <c r="P665" s="14">
        <v>0</v>
      </c>
      <c r="Q665" s="14">
        <v>-1334991.3899999999</v>
      </c>
    </row>
  </sheetData>
  <mergeCells count="28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AB637:AC637"/>
    <mergeCell ref="AD637:AE637"/>
    <mergeCell ref="T637:U637"/>
    <mergeCell ref="V637:W637"/>
    <mergeCell ref="X637:Y637"/>
    <mergeCell ref="Z637:AA637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L70" activePane="bottomRight" state="frozen"/>
      <selection activeCell="H22" sqref="H22"/>
      <selection pane="topRight" activeCell="H22" sqref="H22"/>
      <selection pane="bottomLeft" activeCell="H22" sqref="H22"/>
      <selection pane="bottomRight" activeCell="M74" sqref="M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6" customWidth="1"/>
    <col min="6" max="31" width="15" customWidth="1"/>
  </cols>
  <sheetData>
    <row r="1" spans="1:31" x14ac:dyDescent="0.25">
      <c r="A1" s="46" t="s">
        <v>80</v>
      </c>
      <c r="B1" s="46"/>
      <c r="C1" s="1"/>
      <c r="D1" s="13"/>
      <c r="E1" s="19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5">
      <c r="A2" s="47" t="s">
        <v>84</v>
      </c>
      <c r="B2" s="46"/>
      <c r="C2" s="1"/>
      <c r="D2" s="13"/>
      <c r="E2" s="19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5">
      <c r="A3" s="1" t="s">
        <v>6</v>
      </c>
      <c r="B3" s="50"/>
      <c r="C3" s="50"/>
      <c r="D3" s="50"/>
      <c r="E3" s="195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1" t="s">
        <v>7</v>
      </c>
      <c r="B4" s="47"/>
      <c r="C4" s="5"/>
      <c r="D4" s="13"/>
      <c r="E4" s="19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5">
      <c r="A5" s="48" t="str">
        <f>Check!A5</f>
        <v>PRODUCTION MONTH: 9909</v>
      </c>
      <c r="B5" s="48"/>
      <c r="C5" s="5"/>
      <c r="D5" s="13"/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5">
      <c r="A6" s="4"/>
      <c r="B6" s="5"/>
      <c r="C6" s="5"/>
      <c r="D6" s="13"/>
      <c r="E6" s="19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24" t="s">
        <v>82</v>
      </c>
      <c r="E8" s="197"/>
      <c r="F8" s="26" t="s">
        <v>13</v>
      </c>
      <c r="G8" s="27"/>
      <c r="H8" s="26" t="s">
        <v>193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183</v>
      </c>
      <c r="S8" s="27"/>
      <c r="T8" s="26" t="s">
        <v>16</v>
      </c>
      <c r="U8" s="27"/>
      <c r="V8" s="26" t="s">
        <v>184</v>
      </c>
      <c r="W8" s="27"/>
      <c r="X8" s="26" t="s">
        <v>18</v>
      </c>
      <c r="Y8" s="27"/>
      <c r="Z8" s="26" t="s">
        <v>159</v>
      </c>
      <c r="AA8" s="27"/>
      <c r="AB8" s="26" t="s">
        <v>193</v>
      </c>
      <c r="AC8" s="27"/>
      <c r="AD8" s="26" t="s">
        <v>113</v>
      </c>
      <c r="AE8" s="27"/>
    </row>
    <row r="9" spans="1:31" s="80" customFormat="1" x14ac:dyDescent="0.25">
      <c r="A9" s="52"/>
      <c r="B9" s="78"/>
      <c r="C9" s="79"/>
      <c r="D9" s="75" t="s">
        <v>22</v>
      </c>
      <c r="E9" s="198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5">
      <c r="A10" s="9"/>
      <c r="B10" s="11" t="s">
        <v>24</v>
      </c>
      <c r="C10" s="6"/>
      <c r="D10" s="64"/>
      <c r="E10" s="19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F11+J11+L11+N11+P11+R11+T11+X11+Z11+AD11+V11</f>
        <v>0</v>
      </c>
      <c r="E11" s="193">
        <f>G11+K11+M11+O11+Q11+S11+U11+Y11+AA11+AE11+W11+AC11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>F12+J12+L12+N12+P12+R12+T12+X12+Z12+AD12+V12</f>
        <v>0</v>
      </c>
      <c r="E12" s="206">
        <f>G12+K12+M12+O12+Q12+S12+U12+Y12+AA12+AE12+W12+AC12</f>
        <v>9188726.2400000002</v>
      </c>
      <c r="F12" s="65"/>
      <c r="G12" s="38">
        <v>2690670.35</v>
      </c>
      <c r="H12" s="65"/>
      <c r="I12" s="38">
        <v>0</v>
      </c>
      <c r="J12" s="65">
        <v>0</v>
      </c>
      <c r="K12" s="38">
        <v>-197610.21</v>
      </c>
      <c r="L12" s="65"/>
      <c r="M12" s="38">
        <v>316339.43</v>
      </c>
      <c r="N12" s="65"/>
      <c r="O12" s="38">
        <v>0</v>
      </c>
      <c r="P12" s="65"/>
      <c r="Q12" s="38">
        <v>3829666.57</v>
      </c>
      <c r="R12" s="65"/>
      <c r="S12" s="38">
        <v>0</v>
      </c>
      <c r="T12" s="65"/>
      <c r="U12" s="38">
        <v>1143025.49</v>
      </c>
      <c r="V12" s="65">
        <v>0</v>
      </c>
      <c r="W12" s="38">
        <v>1041963.1</v>
      </c>
      <c r="X12" s="65"/>
      <c r="Y12" s="38">
        <v>0</v>
      </c>
      <c r="Z12" s="65">
        <v>0</v>
      </c>
      <c r="AA12" s="38">
        <v>364671.51</v>
      </c>
      <c r="AB12" s="65"/>
      <c r="AC12" s="38">
        <v>0</v>
      </c>
      <c r="AD12" s="65"/>
      <c r="AE12" s="38">
        <v>0</v>
      </c>
    </row>
    <row r="13" spans="1:31" x14ac:dyDescent="0.25">
      <c r="A13" s="9">
        <v>3</v>
      </c>
      <c r="B13" s="7"/>
      <c r="C13" s="18" t="s">
        <v>27</v>
      </c>
      <c r="D13" s="60">
        <f>F13+J13+L13+N13+P13+R13+T13+X13+Z13+AD13+V13</f>
        <v>0</v>
      </c>
      <c r="E13" s="193">
        <f>G13+K13+M13+O13+Q13+S13+U13+Y13+AA13+AE13+W13+AC13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>F14+J14+L14+N14+P14+R14+T14+X14+Z14+AD14+V14</f>
        <v>0</v>
      </c>
      <c r="E14" s="193">
        <f>G14+K14+M14+O14+Q14+S14+U14+Y14+AA14+AE14+W14+AC14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>F15+J15+L15+N15+P15+R15+T15+X15+Z15+AD15+V15</f>
        <v>0</v>
      </c>
      <c r="E15" s="193">
        <f>G15+K15+M15+O15+Q15+S15+U15+Y15+AA15+AE15+W15+AC15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 t="shared" ref="D16:AE16" si="0">SUM(D11:D15)</f>
        <v>0</v>
      </c>
      <c r="E16" s="200">
        <f t="shared" si="0"/>
        <v>9188726.2400000002</v>
      </c>
      <c r="F16" s="61">
        <f t="shared" si="0"/>
        <v>0</v>
      </c>
      <c r="G16" s="39">
        <f t="shared" si="0"/>
        <v>2690670.35</v>
      </c>
      <c r="H16" s="61">
        <f>SUM(H11:H15)</f>
        <v>0</v>
      </c>
      <c r="I16" s="39">
        <f>SUM(I11:I15)</f>
        <v>0</v>
      </c>
      <c r="J16" s="61">
        <f t="shared" si="0"/>
        <v>0</v>
      </c>
      <c r="K16" s="39">
        <f t="shared" si="0"/>
        <v>-197610.21</v>
      </c>
      <c r="L16" s="61">
        <f t="shared" si="0"/>
        <v>0</v>
      </c>
      <c r="M16" s="39">
        <f t="shared" si="0"/>
        <v>316339.43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3829666.57</v>
      </c>
      <c r="R16" s="61">
        <f t="shared" si="0"/>
        <v>0</v>
      </c>
      <c r="S16" s="39">
        <f t="shared" si="0"/>
        <v>0</v>
      </c>
      <c r="T16" s="61">
        <f t="shared" si="0"/>
        <v>0</v>
      </c>
      <c r="U16" s="39">
        <f t="shared" si="0"/>
        <v>1143025.49</v>
      </c>
      <c r="V16" s="61">
        <f>SUM(V11:V15)</f>
        <v>0</v>
      </c>
      <c r="W16" s="39">
        <f>SUM(W11:W15)</f>
        <v>1041963.1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364671.51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5">
      <c r="A17" s="9"/>
      <c r="B17" s="7"/>
      <c r="C17" s="6"/>
      <c r="D17" s="60"/>
      <c r="E17" s="201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201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>F19+J19+L19+N19+P19+R19+T19+X19+Z19+AD19+V19</f>
        <v>0</v>
      </c>
      <c r="E19" s="193">
        <f>G19+K19+M19+O19+Q19+S19+U19+Y19+AA19+AE19+W19+AC19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>F20+J20+L20+N20+P20+R20+T20+X20+Z20+AD20+V20</f>
        <v>0</v>
      </c>
      <c r="E20" s="206">
        <f>G20+K20+M20+O20+Q20+S20+U20+Y20+AA20+AE20+W20+AC20</f>
        <v>-12847678.830000002</v>
      </c>
      <c r="F20" s="65"/>
      <c r="G20" s="38">
        <v>-3789026.37</v>
      </c>
      <c r="H20" s="65"/>
      <c r="I20" s="38">
        <v>0</v>
      </c>
      <c r="J20" s="65"/>
      <c r="K20" s="38">
        <v>-2813856.94</v>
      </c>
      <c r="L20" s="65"/>
      <c r="M20" s="38">
        <v>0</v>
      </c>
      <c r="N20" s="65"/>
      <c r="O20" s="38">
        <v>0</v>
      </c>
      <c r="P20" s="65"/>
      <c r="Q20" s="38">
        <v>-2418239.29</v>
      </c>
      <c r="R20" s="65"/>
      <c r="S20" s="38">
        <v>0</v>
      </c>
      <c r="T20" s="65"/>
      <c r="U20" s="38">
        <v>-876659.12</v>
      </c>
      <c r="V20" s="65"/>
      <c r="W20" s="38">
        <v>-2492123.79</v>
      </c>
      <c r="X20" s="65"/>
      <c r="Y20" s="38">
        <v>0</v>
      </c>
      <c r="Z20" s="65">
        <v>0</v>
      </c>
      <c r="AA20" s="38">
        <v>-335508.32</v>
      </c>
      <c r="AB20" s="65"/>
      <c r="AC20" s="38">
        <v>0</v>
      </c>
      <c r="AD20" s="65"/>
      <c r="AE20" s="38">
        <v>-122265</v>
      </c>
    </row>
    <row r="21" spans="1:31" x14ac:dyDescent="0.25">
      <c r="A21" s="9">
        <v>8</v>
      </c>
      <c r="B21" s="7"/>
      <c r="C21" s="18" t="s">
        <v>27</v>
      </c>
      <c r="D21" s="60">
        <f>F21+J21+L21+N21+P21+R21+T21+X21+Z21+AD21+V21</f>
        <v>0</v>
      </c>
      <c r="E21" s="193">
        <f>G21+K21+M21+O21+Q21+S21+U21+Y21+AA21+AE21+W21+AC21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>F22+J22+L22+N22+P22+R22+T22+X22+Z22+AD22+V22</f>
        <v>0</v>
      </c>
      <c r="E22" s="193">
        <f>G22+K22+M22+O22+Q22+S22+U22+Y22+AA22+AE22+W22+AC22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>F23+J23+L23+N23+P23+R23+T23+X23+Z23+AD23+V23</f>
        <v>0</v>
      </c>
      <c r="E23" s="193">
        <f>G23+K23+M23+O23+Q23+S23+U23+Y23+AA23+AE23+W23+AC23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 t="shared" ref="D24:AE24" si="1">SUM(D19:D23)</f>
        <v>0</v>
      </c>
      <c r="E24" s="200">
        <f t="shared" si="1"/>
        <v>-12847678.830000002</v>
      </c>
      <c r="F24" s="61">
        <f t="shared" si="1"/>
        <v>0</v>
      </c>
      <c r="G24" s="39">
        <f t="shared" si="1"/>
        <v>-3789026.37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-2813856.94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-2418239.29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-876659.12</v>
      </c>
      <c r="V24" s="61">
        <f>SUM(V19:V23)</f>
        <v>0</v>
      </c>
      <c r="W24" s="39">
        <f>SUM(W19:W23)</f>
        <v>-2492123.79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-335508.32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-122265</v>
      </c>
    </row>
    <row r="25" spans="1:31" x14ac:dyDescent="0.25">
      <c r="A25" s="9"/>
      <c r="B25" s="7"/>
      <c r="C25" s="6"/>
      <c r="D25" s="60"/>
      <c r="E25" s="201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201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F27+J27+L27+N27+P27+R27+T27+X27+Z27+AD27+V27</f>
        <v>0</v>
      </c>
      <c r="E27" s="193">
        <f>G27+K27+M27+O27+Q27+S27+U27+Y27+AA27+AE27+W27+AC27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F28+J28+L28+N28+P28+R28+T28+X28+Z28+AD28+V28</f>
        <v>0</v>
      </c>
      <c r="E28" s="193">
        <f>G28+K28+M28+O28+Q28+S28+U28+Y28+AA28+AE28+W28+AC28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6"/>
      <c r="D29" s="61">
        <f t="shared" ref="D29:AE29" si="2">SUM(D27:D28)</f>
        <v>0</v>
      </c>
      <c r="E29" s="200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5">
      <c r="A30" s="9"/>
      <c r="B30" s="7"/>
      <c r="C30" s="6"/>
      <c r="D30" s="60"/>
      <c r="E30" s="201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201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>F32+J32+L32+N32+P32+R32+T32+X32+Z32+AD32+V32</f>
        <v>0</v>
      </c>
      <c r="E32" s="193">
        <f>G32+K32+M32+O32+Q32+S32+U32+Y32+AA32+AE32+W32+AC32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>F33+J33+L33+N33+P33+R33+T33+X33+Z33+AD33+V33</f>
        <v>0</v>
      </c>
      <c r="E33" s="193">
        <f>G33+K33+M33+O33+Q33+S33+U33+Y33+AA33+AE33+W33+AC33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>F34+J34+L34+N34+P34+R34+T34+X34+Z34+AD34+V34</f>
        <v>0</v>
      </c>
      <c r="E34" s="193">
        <f>G34+K34+M34+O34+Q34+S34+U34+Y34+AA34+AE34+W34+AC34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>F35+J35+L35+N35+P35+R35+T35+X35+Z35+AD35+V35</f>
        <v>0</v>
      </c>
      <c r="E35" s="193">
        <f>G35+K35+M35+O35+Q35+S35+U35+Y35+AA35+AE35+W35+AC35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0</v>
      </c>
      <c r="E36" s="200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5">
      <c r="A37" s="9"/>
      <c r="B37" s="7"/>
      <c r="C37" s="6"/>
      <c r="D37" s="60"/>
      <c r="E37" s="201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201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>F39+J39+L39+N39+P39+R39+T39+X39+Z39+AD39+V39</f>
        <v>0</v>
      </c>
      <c r="E39" s="193">
        <f>G39+K39+M39+O39+Q39+S39+U39+Y39+AA39+AE39+W39+AC39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>F40+J40+L40+N40+P40+R40+T40+X40+Z40+AD40+V40</f>
        <v>0</v>
      </c>
      <c r="E40" s="193">
        <f>G40+K40+M40+O40+Q40+S40+U40+Y40+AA40+AE40+W40+AC40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>F41+J41+L41+N41+P41+R41+T41+X41+Z41+AD41+V41</f>
        <v>0</v>
      </c>
      <c r="E41" s="193">
        <f>G41+K41+M41+O41+Q41+S41+U41+Y41+AA41+AE41+W41+AC41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5">
      <c r="A42" s="9"/>
      <c r="B42" s="7"/>
      <c r="C42" s="53" t="s">
        <v>48</v>
      </c>
      <c r="D42" s="61">
        <f t="shared" ref="D42:AE42" si="4">SUM(D40:D41)</f>
        <v>0</v>
      </c>
      <c r="E42" s="200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5">D42+D39</f>
        <v>0</v>
      </c>
      <c r="E43" s="200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5">
      <c r="A44" s="9"/>
      <c r="B44" s="7"/>
      <c r="C44" s="6"/>
      <c r="D44" s="60"/>
      <c r="E44" s="201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F45+J45+L45+N45+P45+R45+T45+X45+Z45+AD45+V45</f>
        <v>0</v>
      </c>
      <c r="E45" s="193">
        <f>G45+K45+M45+O45+Q45+S45+U45+Y45+AA45+AE45+W45+AC45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201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F47+J47+L47+N47+P47+R47+T47+X47+Z47+AD47+V47</f>
        <v>0</v>
      </c>
      <c r="E47" s="193">
        <f>G47+K47+M47+O47+Q47+S47+U47+Y47+AA47+AE47+W47+AC47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201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F49+J49+L49+N49+P49+R49+T49+X49+Z49+AD49+V49</f>
        <v>0</v>
      </c>
      <c r="E49" s="193">
        <f>G49+K49+M49+O49+Q49+S49+U49+Y49+AA49+AE49+W49+AC49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5">
      <c r="A50" s="9"/>
      <c r="B50" s="7"/>
      <c r="C50" s="6"/>
      <c r="D50" s="60"/>
      <c r="E50" s="201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F51+J51+L51+N51+P51+R51+T51+X51+Z51+AD51+V51</f>
        <v>0</v>
      </c>
      <c r="E51" s="193">
        <f>G51+K51+M51+O51+Q51+S51+U51+Y51+AA51+AE51+W51+AC51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5">
      <c r="A52" s="9"/>
      <c r="B52" s="7"/>
      <c r="C52" s="6"/>
      <c r="D52" s="60"/>
      <c r="E52" s="201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201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F54+J54+L54+N54+P54+R54+T54+X54+Z54+AD54+V54</f>
        <v>0</v>
      </c>
      <c r="E54" s="193">
        <f>G54+K54+M54+O54+Q54+S54+U54+Y54+AA54+AE54+W54+AC54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F55+J55+L55+N55+P55+R55+T55+X55+Z55+AD55+V55</f>
        <v>0</v>
      </c>
      <c r="E55" s="193">
        <f>G55+K55+M55+O55+Q55+S55+U55+Y55+AA55+AE55+W55+AC55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5">
      <c r="A56" s="9"/>
      <c r="B56" s="7" t="s">
        <v>57</v>
      </c>
      <c r="C56" s="6"/>
      <c r="D56" s="61">
        <f t="shared" ref="D56:AE56" si="6">SUM(D54:D55)</f>
        <v>0</v>
      </c>
      <c r="E56" s="200">
        <f t="shared" si="6"/>
        <v>0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0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5">
      <c r="A57" s="9"/>
      <c r="B57" s="7"/>
      <c r="C57" s="6"/>
      <c r="D57" s="60"/>
      <c r="E57" s="201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201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F59+J59+L59+N59+P59+R59+T59+X59+Z59+AD59+V59</f>
        <v>0</v>
      </c>
      <c r="E59" s="193">
        <f>G59+K59+M59+O59+Q59+S59+U59+Y59+AA59+AE59+W59+AC59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5">
      <c r="A60" s="9">
        <v>27</v>
      </c>
      <c r="B60" s="11"/>
      <c r="C60" s="18" t="s">
        <v>60</v>
      </c>
      <c r="D60" s="60">
        <f>F60+J60+L60+N60+P60+R60+T60+X60+Z60+AD60+V60</f>
        <v>0</v>
      </c>
      <c r="E60" s="193">
        <f>G60+K60+M60+O60+Q60+S60+U60+Y60+AA60+AE60+W60+AC60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 t="shared" ref="D61:AE61" si="7">SUM(D59:D60)</f>
        <v>0</v>
      </c>
      <c r="E61" s="200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5">
      <c r="A62" s="9"/>
      <c r="B62" s="62"/>
      <c r="C62" s="6"/>
      <c r="D62" s="60"/>
      <c r="E62" s="201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201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F64+J64+L64+N64+P64+R64+T64+X64+Z64+AD64+V64</f>
        <v>0</v>
      </c>
      <c r="E64" s="193">
        <f>G64+K64+M64+O64+Q64+S64+U64+Y64+AA64+AE64+W64+AC64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F65+J65+L65+N65+P65+R65+T65+X65+Z65+AD65+V65</f>
        <v>0</v>
      </c>
      <c r="E65" s="193">
        <f>G65+K65+M65+O65+Q65+S65+U65+Y65+AA65+AE65+W65+AC65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 t="shared" ref="D66:AE66" si="8">SUM(D64:D65)</f>
        <v>0</v>
      </c>
      <c r="E66" s="200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5">
      <c r="A67" s="9"/>
      <c r="B67" s="7"/>
      <c r="C67" s="6"/>
      <c r="D67" s="60"/>
      <c r="E67" s="201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201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201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F70+J70+L70+N70+P70+R70+T70+X70+Z70+AD70+V70</f>
        <v>0</v>
      </c>
      <c r="E70" s="206">
        <f>G70+K70+M70+O70+Q70+S70+U70+Y70+AA70+AE70+W70+AC70</f>
        <v>44151120.219999999</v>
      </c>
      <c r="F70" s="60"/>
      <c r="G70" s="38">
        <v>845380</v>
      </c>
      <c r="H70" s="60"/>
      <c r="I70" s="38">
        <v>22061170</v>
      </c>
      <c r="J70" s="60"/>
      <c r="K70" s="38">
        <v>7144978.9500000002</v>
      </c>
      <c r="L70" s="60"/>
      <c r="M70" s="38">
        <v>0</v>
      </c>
      <c r="N70" s="60"/>
      <c r="O70" s="38">
        <v>0</v>
      </c>
      <c r="P70" s="60">
        <v>0</v>
      </c>
      <c r="Q70" s="38">
        <v>2316418.4</v>
      </c>
      <c r="R70" s="60"/>
      <c r="S70" s="38">
        <v>0</v>
      </c>
      <c r="T70" s="60">
        <v>0</v>
      </c>
      <c r="U70" s="38">
        <v>-1489400.93</v>
      </c>
      <c r="V70" s="60">
        <v>0</v>
      </c>
      <c r="W70" s="38">
        <v>0</v>
      </c>
      <c r="X70" s="60">
        <v>0</v>
      </c>
      <c r="Y70" s="38">
        <v>7039630</v>
      </c>
      <c r="Z70" s="60"/>
      <c r="AA70" s="38">
        <v>-756466.48</v>
      </c>
      <c r="AB70" s="60"/>
      <c r="AC70" s="38">
        <v>22061170</v>
      </c>
      <c r="AD70" s="60"/>
      <c r="AE70" s="38">
        <v>6989410.2800000003</v>
      </c>
    </row>
    <row r="71" spans="1:31" x14ac:dyDescent="0.25">
      <c r="A71" s="9">
        <v>31</v>
      </c>
      <c r="B71" s="3"/>
      <c r="C71" s="10" t="s">
        <v>68</v>
      </c>
      <c r="D71" s="60">
        <f>F71+J71+L71+N71+P71+R71+T71+X71+Z71+AD71+V71</f>
        <v>0</v>
      </c>
      <c r="E71" s="206">
        <f>G71+K71+M71+O71+Q71+S71+U71+Y71+AA71+AE71+W71+AC71</f>
        <v>-7832693.4300000006</v>
      </c>
      <c r="F71" s="60"/>
      <c r="G71" s="38">
        <v>-585797.18000000005</v>
      </c>
      <c r="H71" s="60"/>
      <c r="I71" s="38">
        <v>0</v>
      </c>
      <c r="J71" s="60"/>
      <c r="K71" s="38">
        <v>-2527106.12</v>
      </c>
      <c r="L71" s="60"/>
      <c r="M71" s="38">
        <v>0</v>
      </c>
      <c r="N71" s="60"/>
      <c r="O71" s="38">
        <v>0</v>
      </c>
      <c r="P71" s="60"/>
      <c r="Q71" s="38">
        <v>-1281047.17</v>
      </c>
      <c r="R71" s="60"/>
      <c r="S71" s="38">
        <v>0</v>
      </c>
      <c r="T71" s="60"/>
      <c r="U71" s="38">
        <v>2659621.73</v>
      </c>
      <c r="V71" s="60"/>
      <c r="W71" s="38">
        <v>0</v>
      </c>
      <c r="X71" s="60"/>
      <c r="Y71" s="38">
        <v>0</v>
      </c>
      <c r="Z71" s="60"/>
      <c r="AA71" s="38">
        <v>1320182.57</v>
      </c>
      <c r="AB71" s="60"/>
      <c r="AC71" s="38">
        <v>0</v>
      </c>
      <c r="AD71" s="60"/>
      <c r="AE71" s="38">
        <v>-7418547.2599999998</v>
      </c>
    </row>
    <row r="72" spans="1:31" x14ac:dyDescent="0.25">
      <c r="A72" s="9"/>
      <c r="B72" s="3"/>
      <c r="C72" s="55" t="s">
        <v>69</v>
      </c>
      <c r="D72" s="61">
        <f t="shared" ref="D72:AE72" si="9">SUM(D70:D71)</f>
        <v>0</v>
      </c>
      <c r="E72" s="207">
        <f t="shared" si="9"/>
        <v>36318426.789999999</v>
      </c>
      <c r="F72" s="61">
        <f t="shared" si="9"/>
        <v>0</v>
      </c>
      <c r="G72" s="39">
        <f t="shared" si="9"/>
        <v>259582.81999999995</v>
      </c>
      <c r="H72" s="61">
        <f>SUM(H70:H71)</f>
        <v>0</v>
      </c>
      <c r="I72" s="39">
        <f>SUM(I70:I71)</f>
        <v>22061170</v>
      </c>
      <c r="J72" s="61">
        <f t="shared" si="9"/>
        <v>0</v>
      </c>
      <c r="K72" s="39">
        <f t="shared" si="9"/>
        <v>4617872.83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1035371.23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1170220.8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7039630</v>
      </c>
      <c r="Z72" s="61">
        <f t="shared" si="9"/>
        <v>0</v>
      </c>
      <c r="AA72" s="39">
        <f t="shared" si="9"/>
        <v>563716.09000000008</v>
      </c>
      <c r="AB72" s="61">
        <f>SUM(AB70:AB71)</f>
        <v>0</v>
      </c>
      <c r="AC72" s="39">
        <f>SUM(AC70:AC71)</f>
        <v>22061170</v>
      </c>
      <c r="AD72" s="61">
        <f t="shared" si="9"/>
        <v>0</v>
      </c>
      <c r="AE72" s="39">
        <f t="shared" si="9"/>
        <v>-429136.97999999952</v>
      </c>
    </row>
    <row r="73" spans="1:31" x14ac:dyDescent="0.25">
      <c r="A73" s="9">
        <v>32</v>
      </c>
      <c r="B73" s="3"/>
      <c r="C73" s="10" t="s">
        <v>70</v>
      </c>
      <c r="D73" s="60">
        <f t="shared" ref="D73:D81" si="10">F73+J73+L73+N73+P73+R73+T73+X73+Z73+AD73+V73</f>
        <v>0</v>
      </c>
      <c r="E73" s="193">
        <f>G73+K73+M73+O73+Q73+S73+U73+Y73+AA73+AE73+W73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10"/>
        <v>0</v>
      </c>
      <c r="E74" s="206">
        <f>G74+K74+M74+O74+Q74+S74+U74+Y74+AA74+AE74+W74+AC74</f>
        <v>-33889668.829999998</v>
      </c>
      <c r="F74" s="65"/>
      <c r="G74" s="66">
        <f>-841119+250480</f>
        <v>-590639</v>
      </c>
      <c r="H74" s="65"/>
      <c r="I74" s="66">
        <v>-22036381</v>
      </c>
      <c r="J74" s="65"/>
      <c r="K74" s="66">
        <f>-2803404-16738</f>
        <v>-2820142</v>
      </c>
      <c r="L74" s="65"/>
      <c r="M74" s="66">
        <v>0</v>
      </c>
      <c r="N74" s="65"/>
      <c r="O74" s="66">
        <v>0</v>
      </c>
      <c r="P74" s="65"/>
      <c r="Q74" s="66">
        <v>261530</v>
      </c>
      <c r="R74" s="65"/>
      <c r="S74" s="66">
        <v>0</v>
      </c>
      <c r="T74" s="65"/>
      <c r="U74" s="66">
        <f>-100000-300273.17</f>
        <v>-400273.17</v>
      </c>
      <c r="V74" s="65"/>
      <c r="W74" s="66">
        <v>-643301</v>
      </c>
      <c r="X74" s="65"/>
      <c r="Y74" s="66">
        <v>-5104188</v>
      </c>
      <c r="Z74" s="65"/>
      <c r="AA74" s="66">
        <f>-2155830+97607.17+97607.17</f>
        <v>-1960615.6600000001</v>
      </c>
      <c r="AB74" s="65"/>
      <c r="AC74" s="66">
        <v>-22036381</v>
      </c>
      <c r="AD74" s="65"/>
      <c r="AE74" s="66">
        <v>-595659</v>
      </c>
    </row>
    <row r="75" spans="1:31" x14ac:dyDescent="0.25">
      <c r="A75" s="9">
        <v>34</v>
      </c>
      <c r="B75" s="3"/>
      <c r="C75" s="10" t="s">
        <v>72</v>
      </c>
      <c r="D75" s="60">
        <f t="shared" si="10"/>
        <v>0</v>
      </c>
      <c r="E75" s="206">
        <f t="shared" ref="E75:E81" si="11">G75+K75+M75+O75+Q75+S75+U75+Y75+AA75+AE75+W75+AC75</f>
        <v>159000</v>
      </c>
      <c r="F75" s="65"/>
      <c r="G75" s="38">
        <v>80000</v>
      </c>
      <c r="H75" s="65"/>
      <c r="I75" s="38">
        <v>0</v>
      </c>
      <c r="J75" s="65"/>
      <c r="K75" s="38">
        <v>52300</v>
      </c>
      <c r="L75" s="65"/>
      <c r="M75" s="38">
        <v>0</v>
      </c>
      <c r="N75" s="65"/>
      <c r="O75" s="38">
        <v>0</v>
      </c>
      <c r="P75" s="65"/>
      <c r="Q75" s="38">
        <v>13500</v>
      </c>
      <c r="R75" s="65"/>
      <c r="S75" s="38"/>
      <c r="T75" s="65"/>
      <c r="U75" s="38">
        <v>900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12300</v>
      </c>
    </row>
    <row r="76" spans="1:31" x14ac:dyDescent="0.25">
      <c r="A76" s="9">
        <v>35</v>
      </c>
      <c r="B76" s="3"/>
      <c r="C76" s="10" t="s">
        <v>73</v>
      </c>
      <c r="D76" s="60">
        <f t="shared" si="10"/>
        <v>0</v>
      </c>
      <c r="E76" s="193">
        <f t="shared" si="11"/>
        <v>-345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-345</v>
      </c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10"/>
        <v>0</v>
      </c>
      <c r="E77" s="206">
        <f t="shared" si="11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10"/>
        <v>0</v>
      </c>
      <c r="E78" s="193">
        <f t="shared" si="11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10"/>
        <v>0</v>
      </c>
      <c r="E79" s="193">
        <f t="shared" si="11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10"/>
        <v>0</v>
      </c>
      <c r="E80" s="193">
        <f t="shared" si="11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5">
      <c r="A81" s="9">
        <v>40</v>
      </c>
      <c r="B81" s="3"/>
      <c r="C81" s="10" t="s">
        <v>78</v>
      </c>
      <c r="D81" s="60">
        <f t="shared" si="10"/>
        <v>0</v>
      </c>
      <c r="E81" s="193">
        <f t="shared" si="11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3">
      <c r="A82" s="88"/>
      <c r="B82" s="89"/>
      <c r="C82" s="90" t="s">
        <v>169</v>
      </c>
      <c r="D82" s="91">
        <f>D16+D24+D29+D36+D43+D45+D47+D49</f>
        <v>0</v>
      </c>
      <c r="E82" s="202">
        <f>SUM(E72:E81)+E16+E24+E29+E36+E43+E45+E47+E49+E51+E56+E61+E66</f>
        <v>-5005348.6300000008</v>
      </c>
      <c r="F82" s="91">
        <f>F16+F24+F29+F36+F43+F45+F47+F49</f>
        <v>0</v>
      </c>
      <c r="G82" s="92">
        <f>SUM(G72:G81)+G16+G24+G29+G36+G43+G45+G47+G49+G51+G56+G61+G66</f>
        <v>-1349412.2000000002</v>
      </c>
      <c r="H82" s="91">
        <f>H16+H24+H29+H36+H43+H45+H47+H49</f>
        <v>0</v>
      </c>
      <c r="I82" s="92">
        <f>SUM(I72:I81)+I16+I24+I29+I36+I43+I45+I47+I49+I51+I56+I61+I66</f>
        <v>24789</v>
      </c>
      <c r="J82" s="91">
        <f>J16+J24+J29+J36+J43+J45+J47+J49</f>
        <v>0</v>
      </c>
      <c r="K82" s="92">
        <f>SUM(K72:K81)+K16+K24+K29+K36+K43+K45+K47+K49+K51+K56+K61+K66</f>
        <v>-5095245.32</v>
      </c>
      <c r="L82" s="91">
        <f>L16+L24+L29+L36+L43+L45+L47+L49</f>
        <v>0</v>
      </c>
      <c r="M82" s="92">
        <f>SUM(M72:M81)+M16+M24+M29+M36+M43+M45+M47+M49+M51+M56+M61+M66</f>
        <v>316339.43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2721828.51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1037214.0000000001</v>
      </c>
      <c r="V82" s="91">
        <f>V16+V24+V29+V36+V43+V45+V47+V49</f>
        <v>0</v>
      </c>
      <c r="W82" s="92">
        <f>SUM(W72:W81)+W16+W24+W29+W36+W43+W45+W47+W49+W51+W56+W61+W66</f>
        <v>-2093461.69</v>
      </c>
      <c r="X82" s="91">
        <f>X16+X24+X29+X36+X43+X45+X47+X49</f>
        <v>0</v>
      </c>
      <c r="Y82" s="92">
        <f>SUM(Y72:Y81)+Y16+Y24+Y29+Y36+Y43+Y45+Y47+Y49+Y51+Y56+Y61+Y66</f>
        <v>1935097</v>
      </c>
      <c r="Z82" s="91">
        <f>Z16+Z24+Z29+Z36+Z43+Z45+Z47+Z49</f>
        <v>0</v>
      </c>
      <c r="AA82" s="92">
        <f>SUM(AA72:AA81)+AA16+AA24+AA29+AA36+AA43+AA45+AA47+AA49+AA51+AA56+AA61+AA66</f>
        <v>-1367736.3800000001</v>
      </c>
      <c r="AB82" s="91">
        <f>AB16+AB24+AB29+AB36+AB43+AB45+AB47+AB49</f>
        <v>0</v>
      </c>
      <c r="AC82" s="92">
        <f>SUM(AC72:AC81)+AC16+AC24+AC29+AC36+AC43+AC45+AC47+AC49+AC51+AC56+AC61+AC66</f>
        <v>24789</v>
      </c>
      <c r="AD82" s="91">
        <f>AD16+AD24+AD29+AD36+AD43+AD45+AD47+AD49</f>
        <v>0</v>
      </c>
      <c r="AE82" s="92">
        <f>SUM(AE72:AE81)+AE16+AE24+AE29+AE36+AE43+AE45+AE47+AE49+AE51+AE56+AE61+AE66</f>
        <v>-1134760.9799999995</v>
      </c>
      <c r="AF82" s="93"/>
    </row>
    <row r="83" spans="1:32" ht="13.8" thickTop="1" x14ac:dyDescent="0.25">
      <c r="A83" s="4" t="s">
        <v>2</v>
      </c>
      <c r="B83" s="3"/>
    </row>
    <row r="84" spans="1:32" x14ac:dyDescent="0.25">
      <c r="A84" s="4"/>
      <c r="B84" s="3"/>
      <c r="O84" s="45"/>
    </row>
    <row r="85" spans="1:32" x14ac:dyDescent="0.25">
      <c r="A85" s="4" t="s">
        <v>185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5">
      <c r="A86" s="166"/>
      <c r="C86" s="10" t="s">
        <v>167</v>
      </c>
      <c r="D86" s="167">
        <f t="shared" ref="D86:E88" si="12">F86+J86+L86+N86+P86+R86+T86+X86+Z86+AD86+V86</f>
        <v>0</v>
      </c>
      <c r="E86" s="205">
        <f t="shared" si="12"/>
        <v>-754130.7</v>
      </c>
      <c r="F86" s="167"/>
      <c r="G86" s="167">
        <v>0</v>
      </c>
      <c r="H86" s="167"/>
      <c r="I86" s="167">
        <v>0</v>
      </c>
      <c r="J86" s="167"/>
      <c r="K86" s="167">
        <v>-1361327.16</v>
      </c>
      <c r="L86" s="167"/>
      <c r="M86" s="167"/>
      <c r="N86" s="167"/>
      <c r="O86" s="167"/>
      <c r="P86" s="167"/>
      <c r="Q86" s="167"/>
      <c r="R86" s="167"/>
      <c r="S86" s="167"/>
      <c r="T86" s="167"/>
      <c r="U86" s="167">
        <v>0</v>
      </c>
      <c r="V86" s="167"/>
      <c r="W86" s="167">
        <v>0</v>
      </c>
      <c r="X86" s="167"/>
      <c r="Y86" s="167"/>
      <c r="Z86" s="167"/>
      <c r="AA86" s="167">
        <f>1170912.55-1320182.57+756466.48</f>
        <v>607196.46</v>
      </c>
      <c r="AB86" s="167"/>
      <c r="AC86" s="167"/>
      <c r="AD86" s="167"/>
      <c r="AE86" s="167"/>
    </row>
    <row r="87" spans="1:32" s="3" customFormat="1" x14ac:dyDescent="0.25">
      <c r="A87" s="166"/>
      <c r="C87" s="10" t="s">
        <v>71</v>
      </c>
      <c r="D87" s="168">
        <f t="shared" si="12"/>
        <v>0</v>
      </c>
      <c r="E87" s="203">
        <f t="shared" si="12"/>
        <v>0</v>
      </c>
      <c r="F87" s="168">
        <v>0</v>
      </c>
      <c r="G87" s="168"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f>Y87+AA87+AE87+AG87+AI87+AK87+AM87+AO87+AQ87+AS87</f>
        <v>0</v>
      </c>
      <c r="V87" s="168">
        <v>0</v>
      </c>
      <c r="W87" s="168">
        <f>AA87+AE87+AG87+AI87+AK87+AM87+AO87+AQ87+AS87+AU87</f>
        <v>0</v>
      </c>
      <c r="X87" s="168">
        <f>Z87+AD87+AF87+AH87+AJ87+AL87+AN87+AP87+AR87+AT87</f>
        <v>0</v>
      </c>
      <c r="Y87" s="168"/>
      <c r="Z87" s="168"/>
      <c r="AA87" s="168"/>
      <c r="AB87" s="168"/>
      <c r="AC87" s="168"/>
      <c r="AD87" s="168"/>
      <c r="AE87" s="168"/>
    </row>
    <row r="88" spans="1:32" s="3" customFormat="1" x14ac:dyDescent="0.25">
      <c r="A88" s="166"/>
      <c r="C88" s="10" t="s">
        <v>72</v>
      </c>
      <c r="D88" s="169">
        <f t="shared" si="12"/>
        <v>0</v>
      </c>
      <c r="E88" s="208">
        <f t="shared" si="12"/>
        <v>2654130</v>
      </c>
      <c r="F88" s="169">
        <v>0</v>
      </c>
      <c r="G88" s="169">
        <v>0</v>
      </c>
      <c r="H88" s="169">
        <v>0</v>
      </c>
      <c r="I88" s="169">
        <v>0</v>
      </c>
      <c r="J88" s="169">
        <v>0</v>
      </c>
      <c r="K88" s="169">
        <v>1750100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924200</v>
      </c>
      <c r="X88" s="169">
        <f>Z88+AD88+AF88+AH88+AJ88+AL88+AN88+AP88+AR88+AT88</f>
        <v>0</v>
      </c>
      <c r="Y88" s="169"/>
      <c r="Z88" s="169"/>
      <c r="AA88" s="169">
        <v>-20170</v>
      </c>
      <c r="AB88" s="169"/>
      <c r="AC88" s="169"/>
      <c r="AD88" s="169"/>
      <c r="AE88" s="169"/>
    </row>
    <row r="89" spans="1:32" s="141" customFormat="1" ht="20.25" customHeight="1" x14ac:dyDescent="0.25">
      <c r="A89" s="180"/>
      <c r="B89" s="181"/>
      <c r="C89" s="183" t="s">
        <v>175</v>
      </c>
      <c r="D89" s="182">
        <f>SUM(D86:D88)</f>
        <v>0</v>
      </c>
      <c r="E89" s="204">
        <f t="shared" ref="E89:O89" si="13">SUM(E86:E88)</f>
        <v>1899999.3</v>
      </c>
      <c r="F89" s="182">
        <f t="shared" si="13"/>
        <v>0</v>
      </c>
      <c r="G89" s="182">
        <f t="shared" si="13"/>
        <v>0</v>
      </c>
      <c r="H89" s="182">
        <f>SUM(H86:H88)</f>
        <v>0</v>
      </c>
      <c r="I89" s="182">
        <f>SUM(I86:I88)</f>
        <v>0</v>
      </c>
      <c r="J89" s="182">
        <f t="shared" si="13"/>
        <v>0</v>
      </c>
      <c r="K89" s="182">
        <f t="shared" si="13"/>
        <v>388772.84000000008</v>
      </c>
      <c r="L89" s="182">
        <f t="shared" si="13"/>
        <v>0</v>
      </c>
      <c r="M89" s="182">
        <f t="shared" si="13"/>
        <v>0</v>
      </c>
      <c r="N89" s="182">
        <f t="shared" si="13"/>
        <v>0</v>
      </c>
      <c r="O89" s="182">
        <f t="shared" si="13"/>
        <v>0</v>
      </c>
      <c r="P89" s="182">
        <f t="shared" ref="P89:AE89" si="14">SUM(P86:P88)</f>
        <v>0</v>
      </c>
      <c r="Q89" s="182">
        <f t="shared" si="14"/>
        <v>0</v>
      </c>
      <c r="R89" s="182">
        <f t="shared" si="14"/>
        <v>0</v>
      </c>
      <c r="S89" s="182">
        <f t="shared" si="14"/>
        <v>0</v>
      </c>
      <c r="T89" s="182">
        <f t="shared" si="14"/>
        <v>0</v>
      </c>
      <c r="U89" s="182">
        <f t="shared" si="14"/>
        <v>0</v>
      </c>
      <c r="V89" s="182">
        <f>SUM(V86:V88)</f>
        <v>0</v>
      </c>
      <c r="W89" s="182">
        <f>SUM(W86:W88)</f>
        <v>924200</v>
      </c>
      <c r="X89" s="182">
        <f t="shared" si="14"/>
        <v>0</v>
      </c>
      <c r="Y89" s="182">
        <f t="shared" si="14"/>
        <v>0</v>
      </c>
      <c r="Z89" s="182">
        <f t="shared" si="14"/>
        <v>0</v>
      </c>
      <c r="AA89" s="182">
        <f t="shared" si="14"/>
        <v>587026.46</v>
      </c>
      <c r="AB89" s="182">
        <f>SUM(AB86:AB88)</f>
        <v>0</v>
      </c>
      <c r="AC89" s="182">
        <f>SUM(AC86:AC88)</f>
        <v>0</v>
      </c>
      <c r="AD89" s="182">
        <f t="shared" si="14"/>
        <v>0</v>
      </c>
      <c r="AE89" s="182">
        <f t="shared" si="14"/>
        <v>0</v>
      </c>
    </row>
    <row r="90" spans="1:32" x14ac:dyDescent="0.25">
      <c r="A90" s="4"/>
      <c r="B90" s="3"/>
      <c r="F90" s="31"/>
      <c r="G90" s="31"/>
      <c r="H90" s="31"/>
      <c r="I90" s="31"/>
      <c r="J90" s="31"/>
      <c r="K90" s="31"/>
    </row>
    <row r="91" spans="1:32" s="141" customFormat="1" ht="20.25" customHeight="1" x14ac:dyDescent="0.25">
      <c r="A91" s="180"/>
      <c r="B91" s="181"/>
      <c r="C91" s="179" t="s">
        <v>176</v>
      </c>
      <c r="D91" s="182">
        <f>+D82+D89</f>
        <v>0</v>
      </c>
      <c r="E91" s="204">
        <f t="shared" ref="E91:O91" si="15">+E82+E89</f>
        <v>-3105349.330000001</v>
      </c>
      <c r="F91" s="182">
        <f t="shared" si="15"/>
        <v>0</v>
      </c>
      <c r="G91" s="182">
        <f t="shared" si="15"/>
        <v>-1349412.2000000002</v>
      </c>
      <c r="H91" s="182">
        <f>+H82+H89</f>
        <v>0</v>
      </c>
      <c r="I91" s="182">
        <f>+I82+I89</f>
        <v>24789</v>
      </c>
      <c r="J91" s="182">
        <f t="shared" si="15"/>
        <v>0</v>
      </c>
      <c r="K91" s="182">
        <f t="shared" si="15"/>
        <v>-4706472.4800000004</v>
      </c>
      <c r="L91" s="182">
        <f t="shared" si="15"/>
        <v>0</v>
      </c>
      <c r="M91" s="182">
        <f t="shared" si="15"/>
        <v>316339.43</v>
      </c>
      <c r="N91" s="182">
        <f t="shared" si="15"/>
        <v>0</v>
      </c>
      <c r="O91" s="182">
        <f t="shared" si="15"/>
        <v>0</v>
      </c>
      <c r="P91" s="182">
        <f t="shared" ref="P91:AE91" si="16">+P82+P89</f>
        <v>0</v>
      </c>
      <c r="Q91" s="182">
        <f t="shared" si="16"/>
        <v>2721828.51</v>
      </c>
      <c r="R91" s="182">
        <f t="shared" si="16"/>
        <v>0</v>
      </c>
      <c r="S91" s="182">
        <f t="shared" si="16"/>
        <v>0</v>
      </c>
      <c r="T91" s="182">
        <f t="shared" si="16"/>
        <v>0</v>
      </c>
      <c r="U91" s="182">
        <f t="shared" si="16"/>
        <v>1037214.0000000001</v>
      </c>
      <c r="V91" s="182">
        <f>+V82+V89</f>
        <v>0</v>
      </c>
      <c r="W91" s="182">
        <f>+W82+W89</f>
        <v>-1169261.69</v>
      </c>
      <c r="X91" s="182">
        <f t="shared" si="16"/>
        <v>0</v>
      </c>
      <c r="Y91" s="182">
        <f t="shared" si="16"/>
        <v>1935097</v>
      </c>
      <c r="Z91" s="182">
        <f t="shared" si="16"/>
        <v>0</v>
      </c>
      <c r="AA91" s="182">
        <f t="shared" si="16"/>
        <v>-780709.92000000016</v>
      </c>
      <c r="AB91" s="182">
        <f>+AB82+AB89</f>
        <v>0</v>
      </c>
      <c r="AC91" s="182">
        <f>+AC82+AC89</f>
        <v>24789</v>
      </c>
      <c r="AD91" s="182">
        <f t="shared" si="16"/>
        <v>0</v>
      </c>
      <c r="AE91" s="182">
        <f t="shared" si="16"/>
        <v>-1134760.9799999995</v>
      </c>
    </row>
    <row r="92" spans="1:32" x14ac:dyDescent="0.25">
      <c r="A92" s="4"/>
      <c r="B92" s="3"/>
      <c r="D92" s="31">
        <v>0</v>
      </c>
      <c r="E92" s="196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5">
      <c r="A93" s="4"/>
      <c r="B93" s="3"/>
    </row>
    <row r="94" spans="1:32" x14ac:dyDescent="0.25">
      <c r="A94" s="4"/>
      <c r="B94" s="3"/>
      <c r="E94" s="196">
        <f>+E74+E12+E20</f>
        <v>-37548621.420000002</v>
      </c>
      <c r="G94" s="185">
        <f>+G12+G20+G74</f>
        <v>-1688995.02</v>
      </c>
      <c r="I94" s="185">
        <f>+I12+I20+I74</f>
        <v>-22036381</v>
      </c>
      <c r="K94" s="185">
        <f>+K12+K20+K74</f>
        <v>-5831609.1500000004</v>
      </c>
      <c r="M94" s="185">
        <f>+M12+M20+M74</f>
        <v>316339.43</v>
      </c>
      <c r="O94" s="185">
        <f>+O12+O20+O74</f>
        <v>0</v>
      </c>
      <c r="Q94" s="185">
        <f>+Q12+Q20+Q74</f>
        <v>1672957.2799999998</v>
      </c>
      <c r="S94" s="185">
        <f>+S12+S20+S74</f>
        <v>0</v>
      </c>
      <c r="U94" s="185">
        <f>+U12+U20+U74</f>
        <v>-133906.79999999999</v>
      </c>
      <c r="W94" s="185">
        <f>+W12+W20+W74</f>
        <v>-2093461.69</v>
      </c>
      <c r="Y94" s="185">
        <f>+Y12+Y20+Y74</f>
        <v>-5104188</v>
      </c>
      <c r="AA94" s="185">
        <f>+AA12+AA20+AA74</f>
        <v>-1931452.4700000002</v>
      </c>
      <c r="AC94" s="185">
        <f>+AC12+AC20+AC74</f>
        <v>-22036381</v>
      </c>
      <c r="AE94" s="185">
        <f>+AE12+AE20+AE74</f>
        <v>-717924</v>
      </c>
    </row>
    <row r="95" spans="1:32" x14ac:dyDescent="0.25">
      <c r="A95" s="4"/>
      <c r="B95" s="3"/>
      <c r="E95" s="196">
        <v>-37248347.43</v>
      </c>
    </row>
    <row r="96" spans="1:32" x14ac:dyDescent="0.25">
      <c r="A96" s="4"/>
      <c r="B96" s="3"/>
      <c r="E96" s="196">
        <f>+E94-E95</f>
        <v>-300273.99000000209</v>
      </c>
    </row>
    <row r="97" spans="1:5" x14ac:dyDescent="0.25">
      <c r="A97" s="4"/>
      <c r="B97" s="3"/>
      <c r="E97" s="196">
        <v>250480</v>
      </c>
    </row>
    <row r="98" spans="1:5" x14ac:dyDescent="0.25">
      <c r="A98" s="4"/>
      <c r="B98" s="3"/>
      <c r="E98" s="196">
        <f>97607.17+97607.17</f>
        <v>195214.34</v>
      </c>
    </row>
    <row r="99" spans="1:5" x14ac:dyDescent="0.25">
      <c r="A99" s="4"/>
      <c r="B99" s="3"/>
      <c r="E99" s="196">
        <f>+E96+E97+E98</f>
        <v>145420.34999999791</v>
      </c>
    </row>
    <row r="100" spans="1:5" x14ac:dyDescent="0.25">
      <c r="A100" s="4"/>
      <c r="B100" s="3"/>
    </row>
    <row r="101" spans="1:5" x14ac:dyDescent="0.25">
      <c r="A101" s="4"/>
      <c r="B101" s="3"/>
      <c r="E101" s="196">
        <f>-37964909+416288</f>
        <v>-37548621</v>
      </c>
    </row>
    <row r="102" spans="1:5" x14ac:dyDescent="0.25">
      <c r="A102" s="4"/>
      <c r="B102" s="3"/>
      <c r="E102" s="196">
        <f>+E94-E101</f>
        <v>-0.42000000178813934</v>
      </c>
    </row>
    <row r="103" spans="1:5" x14ac:dyDescent="0.25">
      <c r="A103" s="4"/>
      <c r="B103" s="3"/>
    </row>
    <row r="104" spans="1:5" x14ac:dyDescent="0.25">
      <c r="A104" s="4"/>
      <c r="B104" s="3"/>
    </row>
    <row r="105" spans="1:5" x14ac:dyDescent="0.25">
      <c r="A105" s="4"/>
      <c r="B105" s="3"/>
    </row>
    <row r="106" spans="1:5" x14ac:dyDescent="0.25">
      <c r="A106" s="4"/>
      <c r="B106" s="3"/>
    </row>
    <row r="107" spans="1:5" x14ac:dyDescent="0.25">
      <c r="A107" s="4"/>
      <c r="B107" s="3"/>
    </row>
    <row r="108" spans="1:5" x14ac:dyDescent="0.25">
      <c r="A108" s="4"/>
      <c r="B108" s="3"/>
    </row>
    <row r="109" spans="1:5" x14ac:dyDescent="0.25">
      <c r="A109" s="4"/>
      <c r="B109" s="3"/>
    </row>
    <row r="110" spans="1:5" x14ac:dyDescent="0.25">
      <c r="A110" s="4"/>
      <c r="B110" s="3"/>
    </row>
    <row r="111" spans="1:5" x14ac:dyDescent="0.25">
      <c r="A111" s="4"/>
      <c r="B111" s="3"/>
    </row>
    <row r="112" spans="1:5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0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8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68">
        <v>45552912</v>
      </c>
      <c r="E11" s="168">
        <v>127714985</v>
      </c>
      <c r="F11" s="60">
        <f>H11-D11</f>
        <v>0</v>
      </c>
      <c r="G11" s="37">
        <f>I11-E11</f>
        <v>0</v>
      </c>
      <c r="H11" s="65">
        <f t="shared" ref="H11:I15" si="0">D11</f>
        <v>45552912</v>
      </c>
      <c r="I11" s="66">
        <f t="shared" si="0"/>
        <v>127714985</v>
      </c>
      <c r="J11" s="37"/>
      <c r="K11" s="38"/>
      <c r="L11" s="60">
        <f t="shared" ref="L11:M15" si="1">H11+J11</f>
        <v>45552912</v>
      </c>
      <c r="M11" s="38">
        <f t="shared" si="1"/>
        <v>127714985</v>
      </c>
    </row>
    <row r="12" spans="1:26" x14ac:dyDescent="0.25">
      <c r="A12" s="9">
        <v>2</v>
      </c>
      <c r="B12" s="7"/>
      <c r="C12" s="18" t="s">
        <v>26</v>
      </c>
      <c r="D12" s="168">
        <v>0</v>
      </c>
      <c r="E12" s="16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68">
        <v>21483635</v>
      </c>
      <c r="E13" s="168">
        <v>55906485</v>
      </c>
      <c r="F13" s="60">
        <f t="shared" si="2"/>
        <v>0</v>
      </c>
      <c r="G13" s="37">
        <f t="shared" si="2"/>
        <v>0</v>
      </c>
      <c r="H13" s="65">
        <f t="shared" si="0"/>
        <v>21483635</v>
      </c>
      <c r="I13" s="66">
        <f t="shared" si="0"/>
        <v>55906485</v>
      </c>
      <c r="J13" s="37"/>
      <c r="K13" s="38"/>
      <c r="L13" s="60">
        <f t="shared" si="1"/>
        <v>21483635</v>
      </c>
      <c r="M13" s="38">
        <f t="shared" si="1"/>
        <v>55906485</v>
      </c>
    </row>
    <row r="14" spans="1:26" x14ac:dyDescent="0.25">
      <c r="A14" s="9">
        <v>4</v>
      </c>
      <c r="B14" s="7"/>
      <c r="C14" s="18" t="s">
        <v>28</v>
      </c>
      <c r="D14" s="168">
        <v>0</v>
      </c>
      <c r="E14" s="16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68">
        <v>0</v>
      </c>
      <c r="E15" s="16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89">
        <v>67036547</v>
      </c>
      <c r="E16" s="189">
        <v>183621470</v>
      </c>
      <c r="F16" s="61">
        <f t="shared" ref="F16:M16" si="3">SUM(F11:F15)</f>
        <v>0</v>
      </c>
      <c r="G16" s="39">
        <f t="shared" si="3"/>
        <v>0</v>
      </c>
      <c r="H16" s="61">
        <f>SUM(H11:H15)</f>
        <v>67036547</v>
      </c>
      <c r="I16" s="39">
        <f>SUM(I11:I15)</f>
        <v>183621470</v>
      </c>
      <c r="J16" s="149">
        <f t="shared" si="3"/>
        <v>0</v>
      </c>
      <c r="K16" s="39">
        <f t="shared" si="3"/>
        <v>0</v>
      </c>
      <c r="L16" s="61">
        <f t="shared" si="3"/>
        <v>67036547</v>
      </c>
      <c r="M16" s="39">
        <f t="shared" si="3"/>
        <v>183621470</v>
      </c>
    </row>
    <row r="17" spans="1:13" x14ac:dyDescent="0.25">
      <c r="A17" s="9"/>
      <c r="B17" s="7"/>
      <c r="C17" s="6"/>
      <c r="D17" s="171"/>
      <c r="E17" s="171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1"/>
      <c r="E18" s="171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68">
        <v>-40456462</v>
      </c>
      <c r="E19" s="168">
        <v>-113796910</v>
      </c>
      <c r="F19" s="60">
        <f>H19-D19</f>
        <v>0</v>
      </c>
      <c r="G19" s="37">
        <f>I19-E19</f>
        <v>0</v>
      </c>
      <c r="H19" s="65">
        <f t="shared" si="4"/>
        <v>-40456462</v>
      </c>
      <c r="I19" s="66">
        <f t="shared" si="4"/>
        <v>-113796910</v>
      </c>
      <c r="J19" s="37">
        <v>0</v>
      </c>
      <c r="K19" s="38">
        <v>0</v>
      </c>
      <c r="L19" s="60">
        <f t="shared" ref="L19:M23" si="5">H19+J19</f>
        <v>-40456462</v>
      </c>
      <c r="M19" s="38">
        <f t="shared" si="5"/>
        <v>-113796910</v>
      </c>
    </row>
    <row r="20" spans="1:13" x14ac:dyDescent="0.25">
      <c r="A20" s="9">
        <v>7</v>
      </c>
      <c r="B20" s="7"/>
      <c r="C20" s="18" t="s">
        <v>26</v>
      </c>
      <c r="D20" s="168">
        <v>0</v>
      </c>
      <c r="E20" s="16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68">
        <v>-27143223</v>
      </c>
      <c r="E21" s="168">
        <v>-72234874</v>
      </c>
      <c r="F21" s="60">
        <f t="shared" si="6"/>
        <v>0</v>
      </c>
      <c r="G21" s="37">
        <f t="shared" si="6"/>
        <v>0</v>
      </c>
      <c r="H21" s="65">
        <f t="shared" si="4"/>
        <v>-27143223</v>
      </c>
      <c r="I21" s="66">
        <f t="shared" si="4"/>
        <v>-72234874</v>
      </c>
      <c r="J21" s="37"/>
      <c r="K21" s="38"/>
      <c r="L21" s="60">
        <f t="shared" si="5"/>
        <v>-27143223</v>
      </c>
      <c r="M21" s="38">
        <f t="shared" si="5"/>
        <v>-72234874</v>
      </c>
    </row>
    <row r="22" spans="1:13" x14ac:dyDescent="0.25">
      <c r="A22" s="9">
        <v>9</v>
      </c>
      <c r="B22" s="7"/>
      <c r="C22" s="18" t="s">
        <v>28</v>
      </c>
      <c r="D22" s="168">
        <v>0</v>
      </c>
      <c r="E22" s="16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68">
        <v>344818</v>
      </c>
      <c r="E23" s="168">
        <v>851977</v>
      </c>
      <c r="F23" s="60">
        <f t="shared" si="6"/>
        <v>0</v>
      </c>
      <c r="G23" s="37">
        <f t="shared" si="6"/>
        <v>0</v>
      </c>
      <c r="H23" s="65">
        <f t="shared" si="4"/>
        <v>344818</v>
      </c>
      <c r="I23" s="66">
        <f t="shared" si="4"/>
        <v>851977</v>
      </c>
      <c r="J23" s="37"/>
      <c r="K23" s="38"/>
      <c r="L23" s="60">
        <f t="shared" si="5"/>
        <v>344818</v>
      </c>
      <c r="M23" s="38">
        <f t="shared" si="5"/>
        <v>851977</v>
      </c>
    </row>
    <row r="24" spans="1:13" x14ac:dyDescent="0.25">
      <c r="A24" s="9"/>
      <c r="B24" s="7" t="s">
        <v>33</v>
      </c>
      <c r="C24" s="6"/>
      <c r="D24" s="189">
        <v>-67254867</v>
      </c>
      <c r="E24" s="189">
        <v>-185179807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-67254867</v>
      </c>
      <c r="I24" s="39">
        <f>SUM(I19:I23)</f>
        <v>-185179807</v>
      </c>
      <c r="J24" s="149">
        <f t="shared" si="7"/>
        <v>0</v>
      </c>
      <c r="K24" s="39">
        <f t="shared" si="7"/>
        <v>0</v>
      </c>
      <c r="L24" s="61">
        <f t="shared" si="7"/>
        <v>-67254867</v>
      </c>
      <c r="M24" s="39">
        <f t="shared" si="7"/>
        <v>-185179807</v>
      </c>
    </row>
    <row r="25" spans="1:13" x14ac:dyDescent="0.25">
      <c r="A25" s="9"/>
      <c r="B25" s="7"/>
      <c r="C25" s="6"/>
      <c r="D25" s="171"/>
      <c r="E25" s="171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1"/>
      <c r="E26" s="171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68">
        <v>0</v>
      </c>
      <c r="E27" s="16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68">
        <v>0</v>
      </c>
      <c r="E28" s="16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89">
        <v>0</v>
      </c>
      <c r="E29" s="18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4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1"/>
      <c r="E30" s="171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1"/>
      <c r="E31" s="171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68">
        <v>-43669</v>
      </c>
      <c r="E32" s="168">
        <v>182254</v>
      </c>
      <c r="F32" s="60">
        <f>H32-D32</f>
        <v>0</v>
      </c>
      <c r="G32" s="37">
        <f>I32-E32</f>
        <v>0</v>
      </c>
      <c r="H32" s="65">
        <f t="shared" ref="H32:I35" si="9">D32</f>
        <v>-43669</v>
      </c>
      <c r="I32" s="66">
        <f t="shared" si="9"/>
        <v>182254</v>
      </c>
      <c r="J32" s="37"/>
      <c r="K32" s="38"/>
      <c r="L32" s="60">
        <f t="shared" ref="L32:M35" si="10">H32+J32</f>
        <v>-43669</v>
      </c>
      <c r="M32" s="38">
        <f t="shared" si="10"/>
        <v>182254</v>
      </c>
    </row>
    <row r="33" spans="1:13" x14ac:dyDescent="0.25">
      <c r="A33" s="9">
        <v>14</v>
      </c>
      <c r="B33" s="7"/>
      <c r="C33" s="18" t="s">
        <v>40</v>
      </c>
      <c r="D33" s="168">
        <v>0</v>
      </c>
      <c r="E33" s="16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68">
        <v>0</v>
      </c>
      <c r="E34" s="16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68">
        <v>22952</v>
      </c>
      <c r="E35" s="168">
        <v>40763</v>
      </c>
      <c r="F35" s="60">
        <f t="shared" si="11"/>
        <v>0</v>
      </c>
      <c r="G35" s="37">
        <f t="shared" si="11"/>
        <v>0</v>
      </c>
      <c r="H35" s="65">
        <f t="shared" si="9"/>
        <v>22952</v>
      </c>
      <c r="I35" s="66">
        <f t="shared" si="9"/>
        <v>40763</v>
      </c>
      <c r="J35" s="37">
        <v>0</v>
      </c>
      <c r="K35" s="38">
        <v>0</v>
      </c>
      <c r="L35" s="60">
        <f t="shared" si="10"/>
        <v>22952</v>
      </c>
      <c r="M35" s="38">
        <f t="shared" si="10"/>
        <v>40763</v>
      </c>
    </row>
    <row r="36" spans="1:13" x14ac:dyDescent="0.25">
      <c r="A36" s="9"/>
      <c r="B36" s="7" t="s">
        <v>43</v>
      </c>
      <c r="C36" s="6"/>
      <c r="D36" s="189">
        <v>-20717</v>
      </c>
      <c r="E36" s="189">
        <v>223017</v>
      </c>
      <c r="F36" s="61">
        <f>SUM(F32:F35)</f>
        <v>0</v>
      </c>
      <c r="G36" s="39">
        <f>SUM(G32:G35)</f>
        <v>0</v>
      </c>
      <c r="H36" s="61">
        <f>SUM(H32:H35)</f>
        <v>-20717</v>
      </c>
      <c r="I36" s="39">
        <f>SUM(I32:I35)</f>
        <v>223017</v>
      </c>
      <c r="J36" s="149">
        <f>SUM(J32:J34)</f>
        <v>0</v>
      </c>
      <c r="K36" s="39">
        <f>SUM(K32:K34)</f>
        <v>0</v>
      </c>
      <c r="L36" s="61">
        <f>SUM(L32:L35)</f>
        <v>-20717</v>
      </c>
      <c r="M36" s="39">
        <f>SUM(M32:M35)</f>
        <v>223017</v>
      </c>
    </row>
    <row r="37" spans="1:13" x14ac:dyDescent="0.25">
      <c r="A37" s="9"/>
      <c r="B37" s="7"/>
      <c r="C37" s="6"/>
      <c r="D37" s="171"/>
      <c r="E37" s="171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1"/>
      <c r="E38" s="171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68">
        <v>299343</v>
      </c>
      <c r="E39" s="168">
        <v>842651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299343</v>
      </c>
      <c r="I39" s="66">
        <f t="shared" si="12"/>
        <v>842651</v>
      </c>
      <c r="J39" s="37"/>
      <c r="K39" s="38"/>
      <c r="L39" s="60">
        <f t="shared" ref="L39:M41" si="14">H39+J39</f>
        <v>299343</v>
      </c>
      <c r="M39" s="38">
        <f t="shared" si="14"/>
        <v>842651</v>
      </c>
    </row>
    <row r="40" spans="1:13" ht="22.5" customHeight="1" x14ac:dyDescent="0.25">
      <c r="A40" s="9">
        <v>18</v>
      </c>
      <c r="B40" s="7"/>
      <c r="C40" s="18" t="s">
        <v>46</v>
      </c>
      <c r="D40" s="168">
        <v>-320000</v>
      </c>
      <c r="E40" s="168">
        <v>-900800</v>
      </c>
      <c r="F40" s="60">
        <f t="shared" si="13"/>
        <v>0</v>
      </c>
      <c r="G40" s="37">
        <f t="shared" si="13"/>
        <v>0</v>
      </c>
      <c r="H40" s="65">
        <f t="shared" si="12"/>
        <v>-320000</v>
      </c>
      <c r="I40" s="66">
        <f t="shared" si="12"/>
        <v>-900800</v>
      </c>
      <c r="J40" s="37"/>
      <c r="K40" s="38"/>
      <c r="L40" s="60">
        <f t="shared" si="14"/>
        <v>-320000</v>
      </c>
      <c r="M40" s="38">
        <f t="shared" si="14"/>
        <v>-900800</v>
      </c>
    </row>
    <row r="41" spans="1:13" x14ac:dyDescent="0.25">
      <c r="A41" s="9">
        <v>19</v>
      </c>
      <c r="B41" s="7"/>
      <c r="C41" s="18" t="s">
        <v>47</v>
      </c>
      <c r="D41" s="168">
        <v>0</v>
      </c>
      <c r="E41" s="16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89">
        <v>-320000</v>
      </c>
      <c r="E42" s="189">
        <v>-900800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-320000</v>
      </c>
      <c r="I42" s="39">
        <f>SUM(I40:I41)</f>
        <v>-900800</v>
      </c>
      <c r="J42" s="149">
        <f t="shared" si="15"/>
        <v>0</v>
      </c>
      <c r="K42" s="39">
        <f t="shared" si="15"/>
        <v>0</v>
      </c>
      <c r="L42" s="61">
        <f t="shared" si="15"/>
        <v>-320000</v>
      </c>
      <c r="M42" s="39">
        <f t="shared" si="15"/>
        <v>-900800</v>
      </c>
    </row>
    <row r="43" spans="1:13" ht="21" customHeight="1" x14ac:dyDescent="0.25">
      <c r="A43" s="9"/>
      <c r="B43" s="7" t="s">
        <v>49</v>
      </c>
      <c r="C43" s="6"/>
      <c r="D43" s="189">
        <v>-20657</v>
      </c>
      <c r="E43" s="189">
        <v>-58149</v>
      </c>
      <c r="F43" s="61">
        <f t="shared" ref="F43:M43" si="16">F42+F39</f>
        <v>0</v>
      </c>
      <c r="G43" s="39">
        <f t="shared" si="16"/>
        <v>0</v>
      </c>
      <c r="H43" s="61">
        <f>H42+H39</f>
        <v>-20657</v>
      </c>
      <c r="I43" s="39">
        <f>I42+I39</f>
        <v>-58149</v>
      </c>
      <c r="J43" s="149">
        <f t="shared" si="16"/>
        <v>0</v>
      </c>
      <c r="K43" s="39">
        <f t="shared" si="16"/>
        <v>0</v>
      </c>
      <c r="L43" s="61">
        <f t="shared" si="16"/>
        <v>-20657</v>
      </c>
      <c r="M43" s="39">
        <f t="shared" si="16"/>
        <v>-58149</v>
      </c>
    </row>
    <row r="44" spans="1:13" x14ac:dyDescent="0.25">
      <c r="A44" s="9"/>
      <c r="B44" s="7"/>
      <c r="C44" s="6"/>
      <c r="D44" s="171"/>
      <c r="E44" s="171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68">
        <v>0</v>
      </c>
      <c r="E45" s="16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1"/>
      <c r="E46" s="171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68">
        <v>0</v>
      </c>
      <c r="E47" s="16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1"/>
      <c r="E48" s="171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68">
        <v>259694</v>
      </c>
      <c r="E49" s="168">
        <v>666045.51200799993</v>
      </c>
      <c r="F49" s="60">
        <f>H49-D49</f>
        <v>0</v>
      </c>
      <c r="G49" s="37">
        <f>I49-E49</f>
        <v>0</v>
      </c>
      <c r="H49" s="65">
        <f>D49</f>
        <v>259694</v>
      </c>
      <c r="I49" s="66">
        <f>E49</f>
        <v>666045.51200799993</v>
      </c>
      <c r="J49" s="37"/>
      <c r="K49" s="38"/>
      <c r="L49" s="60">
        <f>H49+J49</f>
        <v>259694</v>
      </c>
      <c r="M49" s="38">
        <f>I49+K49</f>
        <v>666045.51200799993</v>
      </c>
    </row>
    <row r="50" spans="1:15" x14ac:dyDescent="0.25">
      <c r="A50" s="9"/>
      <c r="B50" s="7"/>
      <c r="C50" s="6"/>
      <c r="D50" s="171"/>
      <c r="E50" s="171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68">
        <v>-344818</v>
      </c>
      <c r="E51" s="168">
        <v>-851977</v>
      </c>
      <c r="F51" s="60">
        <f>H51-D51</f>
        <v>0</v>
      </c>
      <c r="G51" s="37">
        <f>I51-E51</f>
        <v>0</v>
      </c>
      <c r="H51" s="65">
        <f>D51</f>
        <v>-344818</v>
      </c>
      <c r="I51" s="66">
        <f>E51</f>
        <v>-851977</v>
      </c>
      <c r="J51" s="37"/>
      <c r="K51" s="38"/>
      <c r="L51" s="60">
        <f>H51+J51</f>
        <v>-344818</v>
      </c>
      <c r="M51" s="38">
        <f>I51+K51</f>
        <v>-851977</v>
      </c>
    </row>
    <row r="52" spans="1:15" x14ac:dyDescent="0.25">
      <c r="A52" s="9"/>
      <c r="B52" s="7"/>
      <c r="C52" s="6"/>
      <c r="D52" s="171"/>
      <c r="E52" s="171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1"/>
      <c r="E53" s="171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68">
        <v>0</v>
      </c>
      <c r="E54" s="168">
        <v>-143249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-143249</v>
      </c>
      <c r="J54" s="37"/>
      <c r="K54" s="38"/>
      <c r="L54" s="60">
        <f>H54+J54</f>
        <v>0</v>
      </c>
      <c r="M54" s="38">
        <f>I54+K54</f>
        <v>-143249</v>
      </c>
    </row>
    <row r="55" spans="1:15" x14ac:dyDescent="0.25">
      <c r="A55" s="9">
        <v>25</v>
      </c>
      <c r="B55" s="7"/>
      <c r="C55" s="18" t="s">
        <v>56</v>
      </c>
      <c r="D55" s="168">
        <v>0</v>
      </c>
      <c r="E55" s="168">
        <v>-3106344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-3106344</v>
      </c>
      <c r="J55" s="37"/>
      <c r="K55" s="38"/>
      <c r="L55" s="60">
        <f>H55+J55</f>
        <v>0</v>
      </c>
      <c r="M55" s="38">
        <f>I55+K55</f>
        <v>-3106344</v>
      </c>
    </row>
    <row r="56" spans="1:15" x14ac:dyDescent="0.25">
      <c r="A56" s="9"/>
      <c r="B56" s="7" t="s">
        <v>57</v>
      </c>
      <c r="C56" s="6"/>
      <c r="D56" s="189">
        <v>0</v>
      </c>
      <c r="E56" s="189">
        <v>-3249593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-3249593</v>
      </c>
      <c r="J56" s="14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-3249593</v>
      </c>
    </row>
    <row r="57" spans="1:15" x14ac:dyDescent="0.25">
      <c r="A57" s="9"/>
      <c r="B57" s="7"/>
      <c r="C57" s="6"/>
      <c r="D57" s="171"/>
      <c r="E57" s="171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1"/>
      <c r="E58" s="171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68">
        <v>0</v>
      </c>
      <c r="E59" s="16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68">
        <v>0</v>
      </c>
      <c r="E60" s="16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89">
        <v>0</v>
      </c>
      <c r="E61" s="18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4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1"/>
      <c r="E62" s="171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1"/>
      <c r="E63" s="171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68">
        <v>0</v>
      </c>
      <c r="E64" s="16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68">
        <v>0</v>
      </c>
      <c r="E65" s="16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89">
        <v>0</v>
      </c>
      <c r="E66" s="18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4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1"/>
      <c r="E67" s="171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1"/>
      <c r="E68" s="171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1"/>
      <c r="E69" s="171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68">
        <v>0</v>
      </c>
      <c r="E70" s="168">
        <v>845380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845380</v>
      </c>
      <c r="J70" s="37"/>
      <c r="K70" s="38"/>
      <c r="L70" s="60">
        <f t="shared" si="20"/>
        <v>0</v>
      </c>
      <c r="M70" s="38">
        <f t="shared" si="20"/>
        <v>845380</v>
      </c>
    </row>
    <row r="71" spans="1:13" x14ac:dyDescent="0.25">
      <c r="A71" s="9">
        <v>31</v>
      </c>
      <c r="B71" s="3"/>
      <c r="C71" s="10" t="s">
        <v>68</v>
      </c>
      <c r="D71" s="168">
        <v>0</v>
      </c>
      <c r="E71" s="168">
        <v>-488419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-488419</v>
      </c>
      <c r="J71" s="37"/>
      <c r="K71" s="38"/>
      <c r="L71" s="60">
        <f t="shared" si="20"/>
        <v>0</v>
      </c>
      <c r="M71" s="38">
        <f t="shared" si="20"/>
        <v>-488419</v>
      </c>
    </row>
    <row r="72" spans="1:13" x14ac:dyDescent="0.25">
      <c r="A72" s="9"/>
      <c r="B72" s="3"/>
      <c r="C72" s="55" t="s">
        <v>69</v>
      </c>
      <c r="D72" s="189">
        <v>0</v>
      </c>
      <c r="E72" s="189">
        <v>356961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356961</v>
      </c>
      <c r="J72" s="14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356961</v>
      </c>
    </row>
    <row r="73" spans="1:13" x14ac:dyDescent="0.25">
      <c r="A73" s="9">
        <v>32</v>
      </c>
      <c r="B73" s="3"/>
      <c r="C73" s="10" t="s">
        <v>70</v>
      </c>
      <c r="D73" s="168">
        <v>0</v>
      </c>
      <c r="E73" s="168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168">
        <v>0</v>
      </c>
      <c r="E74" s="168">
        <v>-347357.5294117647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-347357.5294117647</v>
      </c>
      <c r="J74" s="37"/>
      <c r="K74" s="38"/>
      <c r="L74" s="60">
        <f t="shared" si="24"/>
        <v>0</v>
      </c>
      <c r="M74" s="38">
        <f t="shared" si="24"/>
        <v>-347357.5294117647</v>
      </c>
    </row>
    <row r="75" spans="1:13" x14ac:dyDescent="0.25">
      <c r="A75" s="9">
        <v>34</v>
      </c>
      <c r="B75" s="3"/>
      <c r="C75" s="10" t="s">
        <v>72</v>
      </c>
      <c r="D75" s="168">
        <v>0</v>
      </c>
      <c r="E75" s="168">
        <v>79939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79939</v>
      </c>
      <c r="J75" s="37"/>
      <c r="K75" s="38"/>
      <c r="L75" s="60">
        <f t="shared" si="24"/>
        <v>0</v>
      </c>
      <c r="M75" s="38">
        <f t="shared" si="24"/>
        <v>79939</v>
      </c>
    </row>
    <row r="76" spans="1:13" x14ac:dyDescent="0.25">
      <c r="A76" s="9">
        <v>35</v>
      </c>
      <c r="B76" s="3"/>
      <c r="C76" s="10" t="s">
        <v>73</v>
      </c>
      <c r="D76" s="168">
        <v>0</v>
      </c>
      <c r="E76" s="168">
        <v>-31729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-31729</v>
      </c>
      <c r="J76" s="37"/>
      <c r="K76" s="38"/>
      <c r="L76" s="60">
        <f t="shared" si="24"/>
        <v>0</v>
      </c>
      <c r="M76" s="38">
        <f t="shared" si="24"/>
        <v>-31729</v>
      </c>
    </row>
    <row r="77" spans="1:13" x14ac:dyDescent="0.25">
      <c r="A77" s="9">
        <v>36</v>
      </c>
      <c r="B77" s="3"/>
      <c r="C77" s="10" t="s">
        <v>74</v>
      </c>
      <c r="D77" s="168">
        <v>0</v>
      </c>
      <c r="E77" s="168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168">
        <v>0</v>
      </c>
      <c r="E78" s="168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168">
        <v>0</v>
      </c>
      <c r="E79" s="168">
        <v>2475161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2475161</v>
      </c>
      <c r="J79" s="37"/>
      <c r="K79" s="38"/>
      <c r="L79" s="60">
        <f t="shared" si="24"/>
        <v>0</v>
      </c>
      <c r="M79" s="38">
        <f t="shared" si="24"/>
        <v>2475161</v>
      </c>
    </row>
    <row r="80" spans="1:13" x14ac:dyDescent="0.25">
      <c r="A80" s="9">
        <v>39</v>
      </c>
      <c r="B80" s="3"/>
      <c r="C80" s="10" t="s">
        <v>77</v>
      </c>
      <c r="D80" s="168">
        <v>0</v>
      </c>
      <c r="E80" s="168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168">
        <v>0</v>
      </c>
      <c r="E81" s="168">
        <v>1374258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2">
        <f t="shared" si="23"/>
        <v>1374258</v>
      </c>
      <c r="J81" s="37"/>
      <c r="K81" s="38"/>
      <c r="L81" s="60">
        <f t="shared" si="24"/>
        <v>0</v>
      </c>
      <c r="M81" s="38">
        <f t="shared" si="24"/>
        <v>1374258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-921761.01740376279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-921761.01740376279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-921761.01740376279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9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0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8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68">
        <v>0</v>
      </c>
      <c r="E11" s="168">
        <v>0</v>
      </c>
      <c r="F11" s="60">
        <f>H11-D11</f>
        <v>0</v>
      </c>
      <c r="G11" s="37">
        <f>I11-E11</f>
        <v>0</v>
      </c>
      <c r="H11" s="65">
        <f t="shared" ref="H11:I15" si="0">D11</f>
        <v>0</v>
      </c>
      <c r="I11" s="66">
        <f t="shared" si="0"/>
        <v>0</v>
      </c>
      <c r="J11" s="37"/>
      <c r="K11" s="38"/>
      <c r="L11" s="60">
        <f t="shared" ref="L11:M15" si="1">H11+J11</f>
        <v>0</v>
      </c>
      <c r="M11" s="38">
        <f t="shared" si="1"/>
        <v>0</v>
      </c>
    </row>
    <row r="12" spans="1:26" x14ac:dyDescent="0.25">
      <c r="A12" s="9">
        <v>2</v>
      </c>
      <c r="B12" s="7"/>
      <c r="C12" s="18" t="s">
        <v>26</v>
      </c>
      <c r="D12" s="168">
        <v>0</v>
      </c>
      <c r="E12" s="16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68">
        <v>0</v>
      </c>
      <c r="E13" s="168">
        <v>0</v>
      </c>
      <c r="F13" s="60">
        <f t="shared" si="2"/>
        <v>0</v>
      </c>
      <c r="G13" s="37">
        <f t="shared" si="2"/>
        <v>0</v>
      </c>
      <c r="H13" s="65">
        <f t="shared" si="0"/>
        <v>0</v>
      </c>
      <c r="I13" s="66">
        <f t="shared" si="0"/>
        <v>0</v>
      </c>
      <c r="J13" s="37"/>
      <c r="K13" s="38"/>
      <c r="L13" s="60">
        <f t="shared" si="1"/>
        <v>0</v>
      </c>
      <c r="M13" s="38">
        <f t="shared" si="1"/>
        <v>0</v>
      </c>
    </row>
    <row r="14" spans="1:26" x14ac:dyDescent="0.25">
      <c r="A14" s="9">
        <v>4</v>
      </c>
      <c r="B14" s="7"/>
      <c r="C14" s="18" t="s">
        <v>28</v>
      </c>
      <c r="D14" s="168">
        <v>0</v>
      </c>
      <c r="E14" s="16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68">
        <v>0</v>
      </c>
      <c r="E15" s="16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89">
        <v>0</v>
      </c>
      <c r="E16" s="18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149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171">
        <v>0</v>
      </c>
      <c r="E17" s="171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1">
        <v>0</v>
      </c>
      <c r="E18" s="171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68">
        <v>0</v>
      </c>
      <c r="E19" s="16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37">
        <v>0</v>
      </c>
      <c r="K19" s="38">
        <v>0</v>
      </c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168">
        <v>0</v>
      </c>
      <c r="E20" s="16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68">
        <v>0</v>
      </c>
      <c r="E21" s="16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37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168">
        <v>0</v>
      </c>
      <c r="E22" s="16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68">
        <v>0</v>
      </c>
      <c r="E23" s="16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37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89">
        <v>0</v>
      </c>
      <c r="E24" s="18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149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171">
        <v>0</v>
      </c>
      <c r="E25" s="171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1">
        <v>0</v>
      </c>
      <c r="E26" s="171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68">
        <v>0</v>
      </c>
      <c r="E27" s="16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68">
        <v>0</v>
      </c>
      <c r="E28" s="16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89">
        <v>0</v>
      </c>
      <c r="E29" s="18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4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1">
        <v>0</v>
      </c>
      <c r="E30" s="171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1">
        <v>0</v>
      </c>
      <c r="E31" s="171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68">
        <v>0</v>
      </c>
      <c r="E32" s="16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68">
        <v>0</v>
      </c>
      <c r="E33" s="16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68">
        <v>0</v>
      </c>
      <c r="E34" s="16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68">
        <v>0</v>
      </c>
      <c r="E35" s="16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89">
        <v>0</v>
      </c>
      <c r="E36" s="18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49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1">
        <v>0</v>
      </c>
      <c r="E37" s="171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1">
        <v>0</v>
      </c>
      <c r="E38" s="171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68">
        <v>0</v>
      </c>
      <c r="E39" s="16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68">
        <v>0</v>
      </c>
      <c r="E40" s="16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68">
        <v>0</v>
      </c>
      <c r="E41" s="16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89">
        <v>0</v>
      </c>
      <c r="E42" s="18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49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89">
        <v>0</v>
      </c>
      <c r="E43" s="18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49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1">
        <v>0</v>
      </c>
      <c r="E44" s="171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68">
        <v>0</v>
      </c>
      <c r="E45" s="16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1">
        <v>0</v>
      </c>
      <c r="E46" s="171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68">
        <v>0</v>
      </c>
      <c r="E47" s="16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1">
        <v>0</v>
      </c>
      <c r="E48" s="171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68">
        <v>0</v>
      </c>
      <c r="E49" s="16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171">
        <v>0</v>
      </c>
      <c r="E50" s="171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68">
        <v>0</v>
      </c>
      <c r="E51" s="16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37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1">
        <v>0</v>
      </c>
      <c r="E52" s="171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1">
        <v>0</v>
      </c>
      <c r="E53" s="171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68">
        <v>0</v>
      </c>
      <c r="E54" s="16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37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68">
        <v>0</v>
      </c>
      <c r="E55" s="16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89">
        <v>0</v>
      </c>
      <c r="E56" s="18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14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1">
        <v>0</v>
      </c>
      <c r="E57" s="171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1">
        <v>0</v>
      </c>
      <c r="E58" s="171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68">
        <v>0</v>
      </c>
      <c r="E59" s="16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68">
        <v>0</v>
      </c>
      <c r="E60" s="16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89">
        <v>0</v>
      </c>
      <c r="E61" s="18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4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1">
        <v>0</v>
      </c>
      <c r="E62" s="171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1">
        <v>0</v>
      </c>
      <c r="E63" s="171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68">
        <v>0</v>
      </c>
      <c r="E64" s="16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68">
        <v>0</v>
      </c>
      <c r="E65" s="16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89">
        <v>0</v>
      </c>
      <c r="E66" s="18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4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1">
        <v>0</v>
      </c>
      <c r="E67" s="171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1">
        <v>0</v>
      </c>
      <c r="E68" s="171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1">
        <v>0</v>
      </c>
      <c r="E69" s="171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68">
        <v>0</v>
      </c>
      <c r="E70" s="168">
        <v>22061170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22061170</v>
      </c>
      <c r="J70" s="37"/>
      <c r="K70" s="38"/>
      <c r="L70" s="60">
        <f t="shared" si="20"/>
        <v>0</v>
      </c>
      <c r="M70" s="38">
        <f t="shared" si="20"/>
        <v>22061170</v>
      </c>
    </row>
    <row r="71" spans="1:13" x14ac:dyDescent="0.25">
      <c r="A71" s="9">
        <v>31</v>
      </c>
      <c r="B71" s="3"/>
      <c r="C71" s="10" t="s">
        <v>68</v>
      </c>
      <c r="D71" s="168">
        <v>0</v>
      </c>
      <c r="E71" s="16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37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189">
        <v>0</v>
      </c>
      <c r="E72" s="189">
        <v>22061170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22061170</v>
      </c>
      <c r="J72" s="14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22061170</v>
      </c>
    </row>
    <row r="73" spans="1:13" x14ac:dyDescent="0.25">
      <c r="A73" s="9">
        <v>32</v>
      </c>
      <c r="B73" s="3"/>
      <c r="C73" s="10" t="s">
        <v>70</v>
      </c>
      <c r="D73" s="168">
        <v>0</v>
      </c>
      <c r="E73" s="16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68">
        <v>0</v>
      </c>
      <c r="E74" s="168">
        <v>-22036381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-22036381</v>
      </c>
      <c r="J74" s="37"/>
      <c r="K74" s="38"/>
      <c r="L74" s="60">
        <f t="shared" si="23"/>
        <v>0</v>
      </c>
      <c r="M74" s="38">
        <f t="shared" si="23"/>
        <v>-22036381</v>
      </c>
    </row>
    <row r="75" spans="1:13" x14ac:dyDescent="0.25">
      <c r="A75" s="9">
        <v>34</v>
      </c>
      <c r="B75" s="3"/>
      <c r="C75" s="10" t="s">
        <v>72</v>
      </c>
      <c r="D75" s="168">
        <v>0</v>
      </c>
      <c r="E75" s="16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68">
        <v>0</v>
      </c>
      <c r="E76" s="168">
        <v>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388</v>
      </c>
      <c r="J76" s="37"/>
      <c r="K76" s="38"/>
      <c r="L76" s="60">
        <f t="shared" si="23"/>
        <v>0</v>
      </c>
      <c r="M76" s="38">
        <f t="shared" si="23"/>
        <v>388</v>
      </c>
    </row>
    <row r="77" spans="1:13" x14ac:dyDescent="0.25">
      <c r="A77" s="9">
        <v>36</v>
      </c>
      <c r="B77" s="3"/>
      <c r="C77" s="10" t="s">
        <v>74</v>
      </c>
      <c r="D77" s="168">
        <v>0</v>
      </c>
      <c r="E77" s="16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68">
        <v>0</v>
      </c>
      <c r="E78" s="16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68">
        <v>0</v>
      </c>
      <c r="E79" s="16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68">
        <v>0</v>
      </c>
      <c r="E80" s="16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168">
        <v>0</v>
      </c>
      <c r="E81" s="16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2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25177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25177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25177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94659014</v>
      </c>
      <c r="E11" s="38">
        <v>271214615.40364498</v>
      </c>
      <c r="F11" s="60">
        <f>H11-D11</f>
        <v>0</v>
      </c>
      <c r="G11" s="37">
        <f>I11-E11</f>
        <v>0</v>
      </c>
      <c r="H11" s="65">
        <f>D11</f>
        <v>94659014</v>
      </c>
      <c r="I11" s="66">
        <f>E11</f>
        <v>271214615.40364498</v>
      </c>
      <c r="J11" s="60"/>
      <c r="K11" s="38"/>
      <c r="L11" s="60">
        <f t="shared" ref="L11:M15" si="0">H11+J11</f>
        <v>94659014</v>
      </c>
      <c r="M11" s="38">
        <f t="shared" si="0"/>
        <v>271214615.40364498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32441679</v>
      </c>
      <c r="E13" s="38">
        <v>85301401</v>
      </c>
      <c r="F13" s="60">
        <f t="shared" si="1"/>
        <v>0</v>
      </c>
      <c r="G13" s="37">
        <f t="shared" si="1"/>
        <v>0</v>
      </c>
      <c r="H13" s="65">
        <f t="shared" si="2"/>
        <v>32441679</v>
      </c>
      <c r="I13" s="66">
        <f t="shared" si="2"/>
        <v>85301401</v>
      </c>
      <c r="J13" s="60"/>
      <c r="K13" s="38"/>
      <c r="L13" s="60">
        <f t="shared" si="0"/>
        <v>32441679</v>
      </c>
      <c r="M13" s="38">
        <f t="shared" si="0"/>
        <v>85301401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-90311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-90311</v>
      </c>
      <c r="J14" s="60"/>
      <c r="K14" s="38"/>
      <c r="L14" s="60">
        <f t="shared" si="0"/>
        <v>0</v>
      </c>
      <c r="M14" s="38">
        <f t="shared" si="0"/>
        <v>-90311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127100693</v>
      </c>
      <c r="E16" s="39">
        <v>356425705.40364498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127100693</v>
      </c>
      <c r="I16" s="39">
        <f>SUM(I11:I15)</f>
        <v>356425705.40364498</v>
      </c>
      <c r="J16" s="61">
        <f t="shared" si="3"/>
        <v>0</v>
      </c>
      <c r="K16" s="39">
        <f t="shared" si="3"/>
        <v>0</v>
      </c>
      <c r="L16" s="61">
        <f t="shared" si="3"/>
        <v>127100693</v>
      </c>
      <c r="M16" s="39">
        <f t="shared" si="3"/>
        <v>356425705.40364498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-95731780</v>
      </c>
      <c r="E19" s="38">
        <v>-274459836</v>
      </c>
      <c r="F19" s="60">
        <f>H19-D19</f>
        <v>0</v>
      </c>
      <c r="G19" s="37">
        <f>I19-E19</f>
        <v>0</v>
      </c>
      <c r="H19" s="65">
        <f t="shared" si="4"/>
        <v>-95731780</v>
      </c>
      <c r="I19" s="66">
        <f t="shared" si="4"/>
        <v>-274459836</v>
      </c>
      <c r="J19" s="60"/>
      <c r="K19" s="38"/>
      <c r="L19" s="60">
        <f t="shared" ref="L19:M23" si="5">H19+J19</f>
        <v>-95731780</v>
      </c>
      <c r="M19" s="38">
        <f t="shared" si="5"/>
        <v>-274459836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-31868882</v>
      </c>
      <c r="E21" s="38">
        <v>-83966337</v>
      </c>
      <c r="F21" s="60">
        <f t="shared" si="6"/>
        <v>0</v>
      </c>
      <c r="G21" s="37">
        <f t="shared" si="6"/>
        <v>0</v>
      </c>
      <c r="H21" s="65">
        <f t="shared" si="4"/>
        <v>-31868882</v>
      </c>
      <c r="I21" s="66">
        <f t="shared" si="4"/>
        <v>-83966337</v>
      </c>
      <c r="J21" s="60"/>
      <c r="K21" s="38"/>
      <c r="L21" s="60">
        <f t="shared" si="5"/>
        <v>-31868882</v>
      </c>
      <c r="M21" s="38">
        <f t="shared" si="5"/>
        <v>-83966337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167430</v>
      </c>
      <c r="E23" s="38">
        <v>437179</v>
      </c>
      <c r="F23" s="60">
        <f t="shared" si="6"/>
        <v>0</v>
      </c>
      <c r="G23" s="37">
        <f t="shared" si="6"/>
        <v>0</v>
      </c>
      <c r="H23" s="65">
        <f t="shared" si="4"/>
        <v>167430</v>
      </c>
      <c r="I23" s="66">
        <f t="shared" si="4"/>
        <v>437179</v>
      </c>
      <c r="J23" s="60"/>
      <c r="K23" s="38"/>
      <c r="L23" s="60">
        <f t="shared" si="5"/>
        <v>167430</v>
      </c>
      <c r="M23" s="38">
        <f t="shared" si="5"/>
        <v>437179</v>
      </c>
    </row>
    <row r="24" spans="1:13" x14ac:dyDescent="0.25">
      <c r="A24" s="9"/>
      <c r="B24" s="7" t="s">
        <v>33</v>
      </c>
      <c r="C24" s="6"/>
      <c r="D24" s="61">
        <v>-127433232</v>
      </c>
      <c r="E24" s="39">
        <v>-357988994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-127433232</v>
      </c>
      <c r="I24" s="39">
        <f>SUM(I19:I23)</f>
        <v>-357988994</v>
      </c>
      <c r="J24" s="61">
        <f t="shared" si="7"/>
        <v>0</v>
      </c>
      <c r="K24" s="39">
        <f t="shared" si="7"/>
        <v>0</v>
      </c>
      <c r="L24" s="61">
        <f t="shared" si="7"/>
        <v>-127433232</v>
      </c>
      <c r="M24" s="39">
        <f t="shared" si="7"/>
        <v>-357988994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-90493</v>
      </c>
      <c r="E32" s="38">
        <v>-200331</v>
      </c>
      <c r="F32" s="60">
        <f>H32-D32</f>
        <v>0</v>
      </c>
      <c r="G32" s="37">
        <f>I32-E32</f>
        <v>0</v>
      </c>
      <c r="H32" s="65">
        <f t="shared" ref="H32:I35" si="9">D32</f>
        <v>-90493</v>
      </c>
      <c r="I32" s="66">
        <f t="shared" si="9"/>
        <v>-200331</v>
      </c>
      <c r="J32" s="60"/>
      <c r="K32" s="38"/>
      <c r="L32" s="60">
        <f t="shared" ref="L32:M35" si="10">H32+J32</f>
        <v>-90493</v>
      </c>
      <c r="M32" s="38">
        <f t="shared" si="10"/>
        <v>-200331</v>
      </c>
    </row>
    <row r="33" spans="1:13" x14ac:dyDescent="0.25">
      <c r="A33" s="9">
        <v>14</v>
      </c>
      <c r="B33" s="7"/>
      <c r="C33" s="18" t="s">
        <v>40</v>
      </c>
      <c r="D33" s="60">
        <v>275764</v>
      </c>
      <c r="E33" s="38">
        <v>707479</v>
      </c>
      <c r="F33" s="60">
        <f t="shared" ref="F33:G35" si="11">H33-D33</f>
        <v>0</v>
      </c>
      <c r="G33" s="37">
        <f t="shared" si="11"/>
        <v>0</v>
      </c>
      <c r="H33" s="65">
        <f t="shared" si="9"/>
        <v>275764</v>
      </c>
      <c r="I33" s="66">
        <f t="shared" si="9"/>
        <v>707479</v>
      </c>
      <c r="J33" s="60"/>
      <c r="K33" s="38"/>
      <c r="L33" s="60">
        <f t="shared" si="10"/>
        <v>275764</v>
      </c>
      <c r="M33" s="38">
        <f t="shared" si="10"/>
        <v>707479</v>
      </c>
    </row>
    <row r="34" spans="1:13" x14ac:dyDescent="0.25">
      <c r="A34" s="9">
        <v>15</v>
      </c>
      <c r="B34" s="7"/>
      <c r="C34" s="18" t="s">
        <v>41</v>
      </c>
      <c r="D34" s="60">
        <v>-283140</v>
      </c>
      <c r="E34" s="38">
        <v>-728171</v>
      </c>
      <c r="F34" s="60">
        <f t="shared" si="11"/>
        <v>0</v>
      </c>
      <c r="G34" s="37">
        <f t="shared" si="11"/>
        <v>0</v>
      </c>
      <c r="H34" s="65">
        <f t="shared" si="9"/>
        <v>-283140</v>
      </c>
      <c r="I34" s="66">
        <f t="shared" si="9"/>
        <v>-728171</v>
      </c>
      <c r="J34" s="60"/>
      <c r="K34" s="38"/>
      <c r="L34" s="60">
        <f t="shared" si="10"/>
        <v>-283140</v>
      </c>
      <c r="M34" s="38">
        <f t="shared" si="10"/>
        <v>-728171</v>
      </c>
    </row>
    <row r="35" spans="1:13" x14ac:dyDescent="0.25">
      <c r="A35" s="9">
        <v>16</v>
      </c>
      <c r="B35" s="7"/>
      <c r="C35" s="18" t="s">
        <v>42</v>
      </c>
      <c r="D35" s="60">
        <v>200538</v>
      </c>
      <c r="E35" s="38">
        <v>293198</v>
      </c>
      <c r="F35" s="60">
        <f t="shared" si="11"/>
        <v>0</v>
      </c>
      <c r="G35" s="37">
        <f t="shared" si="11"/>
        <v>0</v>
      </c>
      <c r="H35" s="65">
        <f t="shared" si="9"/>
        <v>200538</v>
      </c>
      <c r="I35" s="66">
        <f t="shared" si="9"/>
        <v>293198</v>
      </c>
      <c r="J35" s="60"/>
      <c r="K35" s="38"/>
      <c r="L35" s="60">
        <f t="shared" si="10"/>
        <v>200538</v>
      </c>
      <c r="M35" s="38">
        <f t="shared" si="10"/>
        <v>293198</v>
      </c>
    </row>
    <row r="36" spans="1:13" x14ac:dyDescent="0.25">
      <c r="A36" s="9"/>
      <c r="B36" s="7" t="s">
        <v>43</v>
      </c>
      <c r="C36" s="6"/>
      <c r="D36" s="61">
        <v>102669</v>
      </c>
      <c r="E36" s="39">
        <v>72175</v>
      </c>
      <c r="F36" s="61">
        <f>SUM(F32:F35)</f>
        <v>0</v>
      </c>
      <c r="G36" s="39">
        <f>SUM(G32:G35)</f>
        <v>0</v>
      </c>
      <c r="H36" s="61">
        <f>SUM(H32:H35)</f>
        <v>102669</v>
      </c>
      <c r="I36" s="39">
        <f>SUM(I32:I35)</f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9992</v>
      </c>
      <c r="E39" s="38">
        <v>28977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9992</v>
      </c>
      <c r="I39" s="66">
        <f t="shared" si="12"/>
        <v>28977</v>
      </c>
      <c r="J39" s="60"/>
      <c r="K39" s="38"/>
      <c r="L39" s="60">
        <f t="shared" ref="L39:M41" si="14">H39+J39</f>
        <v>9992</v>
      </c>
      <c r="M39" s="38">
        <f t="shared" si="14"/>
        <v>28977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44300</v>
      </c>
      <c r="E40" s="38">
        <v>128470</v>
      </c>
      <c r="F40" s="60">
        <f t="shared" si="13"/>
        <v>0</v>
      </c>
      <c r="G40" s="37">
        <f t="shared" si="13"/>
        <v>0</v>
      </c>
      <c r="H40" s="65">
        <f t="shared" si="12"/>
        <v>44300</v>
      </c>
      <c r="I40" s="66">
        <f t="shared" si="12"/>
        <v>128470</v>
      </c>
      <c r="J40" s="60"/>
      <c r="K40" s="38"/>
      <c r="L40" s="60">
        <f t="shared" si="14"/>
        <v>44300</v>
      </c>
      <c r="M40" s="38">
        <f t="shared" si="14"/>
        <v>128470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44300</v>
      </c>
      <c r="E42" s="39">
        <v>128470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44300</v>
      </c>
      <c r="I42" s="39">
        <f>SUM(I40:I41)</f>
        <v>128470</v>
      </c>
      <c r="J42" s="61">
        <f t="shared" si="15"/>
        <v>0</v>
      </c>
      <c r="K42" s="39">
        <f t="shared" si="15"/>
        <v>0</v>
      </c>
      <c r="L42" s="61">
        <f t="shared" si="15"/>
        <v>44300</v>
      </c>
      <c r="M42" s="39">
        <f t="shared" si="15"/>
        <v>128470</v>
      </c>
    </row>
    <row r="43" spans="1:13" ht="21" customHeight="1" x14ac:dyDescent="0.25">
      <c r="A43" s="9"/>
      <c r="B43" s="7" t="s">
        <v>49</v>
      </c>
      <c r="C43" s="6"/>
      <c r="D43" s="61">
        <v>54292</v>
      </c>
      <c r="E43" s="39">
        <v>157447</v>
      </c>
      <c r="F43" s="61">
        <f t="shared" ref="F43:M43" si="16">F42+F39</f>
        <v>0</v>
      </c>
      <c r="G43" s="39">
        <f t="shared" si="16"/>
        <v>0</v>
      </c>
      <c r="H43" s="61">
        <f>H42+H39</f>
        <v>54292</v>
      </c>
      <c r="I43" s="39">
        <f>I42+I39</f>
        <v>157447</v>
      </c>
      <c r="J43" s="61">
        <f t="shared" si="16"/>
        <v>0</v>
      </c>
      <c r="K43" s="39">
        <f t="shared" si="16"/>
        <v>0</v>
      </c>
      <c r="L43" s="61">
        <f t="shared" si="16"/>
        <v>54292</v>
      </c>
      <c r="M43" s="39">
        <f t="shared" si="16"/>
        <v>157447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235578</v>
      </c>
      <c r="E49" s="38">
        <v>673598.57556135743</v>
      </c>
      <c r="F49" s="60">
        <f>H49-D49</f>
        <v>0</v>
      </c>
      <c r="G49" s="37">
        <f>I49-E49</f>
        <v>0</v>
      </c>
      <c r="H49" s="65">
        <f>D49</f>
        <v>235578</v>
      </c>
      <c r="I49" s="66">
        <f>E49</f>
        <v>673598.57556135743</v>
      </c>
      <c r="J49" s="60"/>
      <c r="K49" s="38"/>
      <c r="L49" s="60">
        <f>H49+J49</f>
        <v>235578</v>
      </c>
      <c r="M49" s="38">
        <f>I49+K49</f>
        <v>673598.57556135743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-167430</v>
      </c>
      <c r="E51" s="38">
        <v>-437179</v>
      </c>
      <c r="F51" s="60">
        <f>H51-D51</f>
        <v>0</v>
      </c>
      <c r="G51" s="37">
        <f>I51-E51</f>
        <v>0</v>
      </c>
      <c r="H51" s="65">
        <f>D51</f>
        <v>-167430</v>
      </c>
      <c r="I51" s="66">
        <f>E51</f>
        <v>-437179</v>
      </c>
      <c r="J51" s="60"/>
      <c r="K51" s="38"/>
      <c r="L51" s="60">
        <f>H51+J51</f>
        <v>-167430</v>
      </c>
      <c r="M51" s="38">
        <f>I51+K51</f>
        <v>-437179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-538736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-538736</v>
      </c>
      <c r="J54" s="60"/>
      <c r="K54" s="38"/>
      <c r="L54" s="60">
        <f>H54+J54</f>
        <v>0</v>
      </c>
      <c r="M54" s="38">
        <f>I54+K54</f>
        <v>-538736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-516532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-516532</v>
      </c>
      <c r="J55" s="60"/>
      <c r="K55" s="38"/>
      <c r="L55" s="60">
        <f>H55+J55</f>
        <v>0</v>
      </c>
      <c r="M55" s="38">
        <f>I55+K55</f>
        <v>-516532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-1055268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-1055268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-1055268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-53165.8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-53165.8</v>
      </c>
      <c r="J60" s="60"/>
      <c r="K60" s="38"/>
      <c r="L60" s="60">
        <f>H60+J60</f>
        <v>0</v>
      </c>
      <c r="M60" s="38">
        <f>I60+K60</f>
        <v>-53165.8</v>
      </c>
    </row>
    <row r="61" spans="1:15" x14ac:dyDescent="0.25">
      <c r="A61" s="9"/>
      <c r="B61" s="62" t="s">
        <v>61</v>
      </c>
      <c r="C61" s="6"/>
      <c r="D61" s="61">
        <v>0</v>
      </c>
      <c r="E61" s="39">
        <v>-53165.8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-53165.8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34990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34990</v>
      </c>
      <c r="J64" s="60"/>
      <c r="K64" s="38"/>
      <c r="L64" s="60">
        <f>H64+J64</f>
        <v>0</v>
      </c>
      <c r="M64" s="38">
        <f>I64+K64</f>
        <v>34990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34990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34990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34990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7144978.9450000003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7144978.9450000003</v>
      </c>
      <c r="J70" s="60"/>
      <c r="K70" s="38"/>
      <c r="L70" s="60">
        <f>H70+J70</f>
        <v>0</v>
      </c>
      <c r="M70" s="38">
        <f>I70+K70</f>
        <v>7144978.9450000003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-2527104.1154804802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-2527104.1154804802</v>
      </c>
      <c r="J71" s="60"/>
      <c r="K71" s="38"/>
      <c r="L71" s="60">
        <f>H71+J71</f>
        <v>0</v>
      </c>
      <c r="M71" s="38">
        <f>I71+K71</f>
        <v>-2527104.1154804802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4617874.8295195196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4617874.8295195196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4617874.8295195196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-2697680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-2697680</v>
      </c>
      <c r="J74" s="60"/>
      <c r="K74" s="38"/>
      <c r="L74" s="60">
        <f t="shared" si="22"/>
        <v>0</v>
      </c>
      <c r="M74" s="38">
        <f t="shared" si="22"/>
        <v>-2697680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59817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59817</v>
      </c>
      <c r="J75" s="60"/>
      <c r="K75" s="38"/>
      <c r="L75" s="60">
        <f t="shared" si="22"/>
        <v>0</v>
      </c>
      <c r="M75" s="38">
        <f t="shared" si="22"/>
        <v>59817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-15073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-15073</v>
      </c>
      <c r="J76" s="60"/>
      <c r="K76" s="38"/>
      <c r="L76" s="60">
        <f t="shared" si="22"/>
        <v>0</v>
      </c>
      <c r="M76" s="38">
        <f t="shared" si="22"/>
        <v>-15073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-182574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-182574</v>
      </c>
      <c r="J81" s="60"/>
      <c r="K81" s="38"/>
      <c r="L81" s="60">
        <f t="shared" si="22"/>
        <v>0</v>
      </c>
      <c r="M81" s="38">
        <f t="shared" si="22"/>
        <v>-182574</v>
      </c>
    </row>
    <row r="82" spans="1:67" s="44" customFormat="1" ht="20.25" customHeight="1" thickBot="1" x14ac:dyDescent="0.3">
      <c r="A82" s="40"/>
      <c r="B82" s="41"/>
      <c r="C82" s="42" t="s">
        <v>169</v>
      </c>
      <c r="D82" s="161">
        <f>D16+D24+D29+D36+D43+D45+D47+D49</f>
        <v>60000</v>
      </c>
      <c r="E82" s="160">
        <f>SUM(E72:E81)+E16+E24+E29+E36+E43+E45+E47+E49+E51+E56+E61+E66</f>
        <v>-400611.04627416044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1">
        <f>SUM(I72:I81)+I16+I24+I29+I36+I43+I45+I47+I49+I51+I56+I61+I66</f>
        <v>-400611.04627416044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-400611.04627416044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165</v>
      </c>
      <c r="B85" s="3"/>
      <c r="K85" s="45"/>
    </row>
    <row r="86" spans="1:67" s="3" customFormat="1" x14ac:dyDescent="0.25">
      <c r="A86" s="166"/>
      <c r="C86" s="10" t="s">
        <v>167</v>
      </c>
      <c r="D86" s="170">
        <v>0</v>
      </c>
      <c r="E86" s="170">
        <v>-1361327</v>
      </c>
      <c r="F86" s="170">
        <v>0</v>
      </c>
      <c r="G86" s="170">
        <v>0</v>
      </c>
      <c r="H86" s="170">
        <f t="shared" ref="H86:I88" si="24">D86</f>
        <v>0</v>
      </c>
      <c r="I86" s="170">
        <f t="shared" si="24"/>
        <v>-1361327</v>
      </c>
      <c r="J86" s="170">
        <v>0</v>
      </c>
      <c r="K86" s="170">
        <v>0</v>
      </c>
      <c r="L86" s="170">
        <f t="shared" ref="L86:M88" si="25">H86</f>
        <v>0</v>
      </c>
      <c r="M86" s="170">
        <f t="shared" si="25"/>
        <v>-1361327</v>
      </c>
    </row>
    <row r="87" spans="1:67" s="3" customFormat="1" x14ac:dyDescent="0.25">
      <c r="A87" s="166"/>
      <c r="C87" s="10" t="s">
        <v>71</v>
      </c>
      <c r="D87" s="171">
        <v>0</v>
      </c>
      <c r="E87" s="171">
        <v>0</v>
      </c>
      <c r="F87" s="171">
        <v>0</v>
      </c>
      <c r="G87" s="171">
        <v>0</v>
      </c>
      <c r="H87" s="171">
        <f t="shared" si="24"/>
        <v>0</v>
      </c>
      <c r="I87" s="171">
        <f t="shared" si="24"/>
        <v>0</v>
      </c>
      <c r="J87" s="171">
        <v>0</v>
      </c>
      <c r="K87" s="171">
        <v>0</v>
      </c>
      <c r="L87" s="171">
        <f t="shared" si="25"/>
        <v>0</v>
      </c>
      <c r="M87" s="171">
        <f t="shared" si="25"/>
        <v>0</v>
      </c>
    </row>
    <row r="88" spans="1:67" s="3" customFormat="1" x14ac:dyDescent="0.25">
      <c r="A88" s="166"/>
      <c r="C88" s="10" t="s">
        <v>72</v>
      </c>
      <c r="D88" s="172">
        <v>0</v>
      </c>
      <c r="E88" s="172">
        <v>1750096</v>
      </c>
      <c r="F88" s="172">
        <v>0</v>
      </c>
      <c r="G88" s="172">
        <v>0</v>
      </c>
      <c r="H88" s="172">
        <f t="shared" si="24"/>
        <v>0</v>
      </c>
      <c r="I88" s="172">
        <f t="shared" si="24"/>
        <v>1750096</v>
      </c>
      <c r="J88" s="172">
        <v>0</v>
      </c>
      <c r="K88" s="172">
        <v>0</v>
      </c>
      <c r="L88" s="172">
        <f t="shared" si="25"/>
        <v>0</v>
      </c>
      <c r="M88" s="172">
        <f t="shared" si="25"/>
        <v>1750096</v>
      </c>
    </row>
    <row r="89" spans="1:67" s="44" customFormat="1" ht="20.25" customHeight="1" x14ac:dyDescent="0.25">
      <c r="A89" s="173"/>
      <c r="B89" s="174"/>
      <c r="C89" s="175" t="s">
        <v>170</v>
      </c>
      <c r="D89" s="178">
        <f>SUM(D86:D88)</f>
        <v>0</v>
      </c>
      <c r="E89" s="178">
        <f t="shared" ref="E89:M89" si="26">SUM(E86:E88)</f>
        <v>388769</v>
      </c>
      <c r="F89" s="178">
        <f t="shared" si="26"/>
        <v>0</v>
      </c>
      <c r="G89" s="178">
        <f t="shared" si="26"/>
        <v>0</v>
      </c>
      <c r="H89" s="178">
        <f t="shared" si="26"/>
        <v>0</v>
      </c>
      <c r="I89" s="178">
        <f t="shared" si="26"/>
        <v>388769</v>
      </c>
      <c r="J89" s="178">
        <f t="shared" si="26"/>
        <v>0</v>
      </c>
      <c r="K89" s="178">
        <f t="shared" si="26"/>
        <v>0</v>
      </c>
      <c r="L89" s="178">
        <f t="shared" si="26"/>
        <v>0</v>
      </c>
      <c r="M89" s="178">
        <f t="shared" si="26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3"/>
      <c r="B91" s="174"/>
      <c r="C91" s="175" t="s">
        <v>168</v>
      </c>
      <c r="D91" s="178">
        <f>+D82+D89</f>
        <v>60000</v>
      </c>
      <c r="E91" s="178">
        <f t="shared" ref="E91:M91" si="27">+E82+E89</f>
        <v>-11842.046274160442</v>
      </c>
      <c r="F91" s="178">
        <f t="shared" si="27"/>
        <v>0</v>
      </c>
      <c r="G91" s="178">
        <f t="shared" si="27"/>
        <v>0</v>
      </c>
      <c r="H91" s="178">
        <f t="shared" si="27"/>
        <v>60000</v>
      </c>
      <c r="I91" s="178">
        <f t="shared" si="27"/>
        <v>-11842.046274160442</v>
      </c>
      <c r="J91" s="178">
        <f t="shared" si="27"/>
        <v>0</v>
      </c>
      <c r="K91" s="178">
        <f t="shared" si="27"/>
        <v>0</v>
      </c>
      <c r="L91" s="178">
        <f t="shared" si="27"/>
        <v>60000</v>
      </c>
      <c r="M91" s="178">
        <f t="shared" si="27"/>
        <v>-11842.046274160442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10361866</v>
      </c>
      <c r="E11" s="65">
        <v>28866339.59635504</v>
      </c>
      <c r="F11" s="65">
        <f>H11-D11</f>
        <v>0</v>
      </c>
      <c r="G11" s="63">
        <f>I11-E11</f>
        <v>0</v>
      </c>
      <c r="H11" s="65">
        <f>D11</f>
        <v>10361866</v>
      </c>
      <c r="I11" s="66">
        <f>E11</f>
        <v>28866339.59635504</v>
      </c>
      <c r="J11" s="60"/>
      <c r="K11" s="38"/>
      <c r="L11" s="60">
        <f t="shared" ref="L11:M15" si="0">H11+J11</f>
        <v>10361866</v>
      </c>
      <c r="M11" s="38">
        <f t="shared" si="0"/>
        <v>28866339.59635504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10361866</v>
      </c>
      <c r="E16" s="39">
        <v>28866339.59635504</v>
      </c>
      <c r="F16" s="61">
        <f t="shared" ref="F16:M16" si="3">SUM(F11:F15)</f>
        <v>0</v>
      </c>
      <c r="G16" s="39">
        <f t="shared" si="3"/>
        <v>0</v>
      </c>
      <c r="H16" s="61">
        <f>SUM(H11:H15)</f>
        <v>10361866</v>
      </c>
      <c r="I16" s="39">
        <f>SUM(I11:I15)</f>
        <v>28866339.59635504</v>
      </c>
      <c r="J16" s="61">
        <f t="shared" si="3"/>
        <v>0</v>
      </c>
      <c r="K16" s="39">
        <f t="shared" si="3"/>
        <v>0</v>
      </c>
      <c r="L16" s="61">
        <f t="shared" si="3"/>
        <v>10361866</v>
      </c>
      <c r="M16" s="39">
        <f t="shared" si="3"/>
        <v>28866339.59635504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-10304264</v>
      </c>
      <c r="E19" s="65">
        <v>-26722765</v>
      </c>
      <c r="F19" s="65">
        <f>H19-D19</f>
        <v>0</v>
      </c>
      <c r="G19" s="63">
        <f>I19-E19</f>
        <v>0</v>
      </c>
      <c r="H19" s="65">
        <f t="shared" si="4"/>
        <v>-10304264</v>
      </c>
      <c r="I19" s="66">
        <f t="shared" si="4"/>
        <v>-26722765</v>
      </c>
      <c r="J19" s="60"/>
      <c r="K19" s="38"/>
      <c r="L19" s="60">
        <f t="shared" ref="L19:M23" si="5">H19+J19</f>
        <v>-10304264</v>
      </c>
      <c r="M19" s="38">
        <f t="shared" si="5"/>
        <v>-26722765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-10304264</v>
      </c>
      <c r="E24" s="39">
        <v>-26722765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-10304264</v>
      </c>
      <c r="I24" s="39">
        <f>SUM(I19:I23)</f>
        <v>-26722765</v>
      </c>
      <c r="J24" s="61">
        <f t="shared" si="7"/>
        <v>0</v>
      </c>
      <c r="K24" s="39">
        <f t="shared" si="7"/>
        <v>0</v>
      </c>
      <c r="L24" s="61">
        <f t="shared" si="7"/>
        <v>-10304264</v>
      </c>
      <c r="M24" s="39">
        <f t="shared" si="7"/>
        <v>-26722765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780448</v>
      </c>
      <c r="E39" s="65">
        <v>2263300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780448</v>
      </c>
      <c r="I39" s="66">
        <f t="shared" si="12"/>
        <v>2263300</v>
      </c>
      <c r="J39" s="60"/>
      <c r="K39" s="38"/>
      <c r="L39" s="60">
        <f t="shared" ref="L39:M41" si="14">H39+J39</f>
        <v>780448</v>
      </c>
      <c r="M39" s="38">
        <f t="shared" si="14"/>
        <v>2263300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-742887</v>
      </c>
      <c r="E40" s="65">
        <v>-2154374</v>
      </c>
      <c r="F40" s="65">
        <f t="shared" si="13"/>
        <v>0</v>
      </c>
      <c r="G40" s="63">
        <f t="shared" si="13"/>
        <v>0</v>
      </c>
      <c r="H40" s="65">
        <f t="shared" si="12"/>
        <v>-742887</v>
      </c>
      <c r="I40" s="66">
        <f t="shared" si="12"/>
        <v>-2154374</v>
      </c>
      <c r="J40" s="60"/>
      <c r="K40" s="38"/>
      <c r="L40" s="60">
        <f t="shared" si="14"/>
        <v>-742887</v>
      </c>
      <c r="M40" s="38">
        <f t="shared" si="14"/>
        <v>-2154374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-742887</v>
      </c>
      <c r="E42" s="39">
        <v>-2154374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-742887</v>
      </c>
      <c r="I42" s="39">
        <f>SUM(I40:I41)</f>
        <v>-2154374</v>
      </c>
      <c r="J42" s="61">
        <f t="shared" si="15"/>
        <v>0</v>
      </c>
      <c r="K42" s="39">
        <f t="shared" si="15"/>
        <v>0</v>
      </c>
      <c r="L42" s="61">
        <f t="shared" si="15"/>
        <v>-742887</v>
      </c>
      <c r="M42" s="39">
        <f t="shared" si="15"/>
        <v>-2154374</v>
      </c>
    </row>
    <row r="43" spans="1:13" ht="21" customHeight="1" x14ac:dyDescent="0.25">
      <c r="A43" s="9"/>
      <c r="B43" s="7" t="s">
        <v>49</v>
      </c>
      <c r="C43" s="6"/>
      <c r="D43" s="61">
        <v>37561</v>
      </c>
      <c r="E43" s="39">
        <v>108926</v>
      </c>
      <c r="F43" s="61">
        <f t="shared" ref="F43:M43" si="16">F42+F39</f>
        <v>0</v>
      </c>
      <c r="G43" s="39">
        <f t="shared" si="16"/>
        <v>0</v>
      </c>
      <c r="H43" s="61">
        <f>H42+H39</f>
        <v>37561</v>
      </c>
      <c r="I43" s="39">
        <f>I42+I39</f>
        <v>108926</v>
      </c>
      <c r="J43" s="61">
        <f t="shared" si="16"/>
        <v>0</v>
      </c>
      <c r="K43" s="39">
        <f t="shared" si="16"/>
        <v>0</v>
      </c>
      <c r="L43" s="61">
        <f t="shared" si="16"/>
        <v>37561</v>
      </c>
      <c r="M43" s="39">
        <f t="shared" si="16"/>
        <v>108926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-155163</v>
      </c>
      <c r="E49" s="65">
        <v>-440562.44612850982</v>
      </c>
      <c r="F49" s="65">
        <f>H49-D49</f>
        <v>0</v>
      </c>
      <c r="G49" s="63">
        <f>I49-E49</f>
        <v>0</v>
      </c>
      <c r="H49" s="65">
        <f>D49</f>
        <v>-155163</v>
      </c>
      <c r="I49" s="66">
        <f>E49</f>
        <v>-440562.44612850982</v>
      </c>
      <c r="J49" s="60"/>
      <c r="K49" s="38"/>
      <c r="L49" s="60">
        <f>H49+J49</f>
        <v>-155163</v>
      </c>
      <c r="M49" s="38">
        <f>I49+K49</f>
        <v>-440562.44612850982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53165.8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53165.8</v>
      </c>
      <c r="J60" s="60"/>
      <c r="K60" s="38"/>
      <c r="L60" s="60">
        <f>H60+J60</f>
        <v>0</v>
      </c>
      <c r="M60" s="38">
        <f>I60+K60</f>
        <v>53165.8</v>
      </c>
    </row>
    <row r="61" spans="1:15" x14ac:dyDescent="0.25">
      <c r="A61" s="9"/>
      <c r="B61" s="62" t="s">
        <v>61</v>
      </c>
      <c r="C61" s="6"/>
      <c r="D61" s="61">
        <v>0</v>
      </c>
      <c r="E61" s="39">
        <v>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53165.8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161">
        <f>D16+D24+D29+D36+D43+D45+D47+D49</f>
        <v>-60000</v>
      </c>
      <c r="E82" s="160">
        <f>SUM(E72:E81)+E16+E24+E29+E36+E43+E45+E47+E49+E51+E56+E61+E66</f>
        <v>-2031896.0497734703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1">
        <f>SUM(I72:I81)+I16+I24+I29+I36+I43+I45+I47+I49+I51+I56+I61+I66</f>
        <v>-2031896.0497734703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-2031896.0497734703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2000-01-14T23:17:46Z</cp:lastPrinted>
  <dcterms:created xsi:type="dcterms:W3CDTF">1997-07-11T21:57:33Z</dcterms:created>
  <dcterms:modified xsi:type="dcterms:W3CDTF">2023-09-10T12:18:38Z</dcterms:modified>
</cp:coreProperties>
</file>