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  <externalReference r:id="rId49"/>
  </externalReferences>
  <definedNames>
    <definedName name="canada">[0]!canada</definedName>
    <definedName name="central">[0]!central</definedName>
    <definedName name="checkbalance">Actuals!$D$640:$AC$653</definedName>
    <definedName name="complete">[0]!complete</definedName>
    <definedName name="northeast">[0]!northeast</definedName>
    <definedName name="_xlnm.Print_Area" localSheetId="44">Actuals!$D$640:$I$653</definedName>
    <definedName name="_xlnm.Print_Area" localSheetId="43">BGC_VAR!$A$1:$I$82</definedName>
    <definedName name="_xlnm.Print_Area" localSheetId="31">'CE-VAR'!$A$1:$I$82</definedName>
    <definedName name="_xlnm.Print_Area" localSheetId="1">Check!$A$1:$D$39</definedName>
    <definedName name="_xlnm.Print_Area" localSheetId="19">NE_GL!$A$1:$AV$92</definedName>
    <definedName name="_xlnm.Print_Area" localSheetId="6">'NE-FLSH'!$A$1:$M$92</definedName>
    <definedName name="_xlnm.Print_Area" localSheetId="32">'NE-VAR'!$A$1:$I$92</definedName>
    <definedName name="_xlnm.Print_Area" localSheetId="16">ONT_FLSH!$A$1:$M$92</definedName>
    <definedName name="_xlnm.Print_Area" localSheetId="30">'ONT_GL '!$A$1:$AV$92</definedName>
    <definedName name="_xlnm.Print_Area" localSheetId="42">ONT_VAR!$A$1:$I$92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'TX-EGM-GL'!$A$1:$AV$92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AG1" i="44"/>
  <c r="H640" i="44"/>
  <c r="J640" i="44"/>
  <c r="L640" i="44"/>
  <c r="N640" i="44"/>
  <c r="P640" i="44"/>
  <c r="R640" i="44"/>
  <c r="T640" i="44"/>
  <c r="V640" i="44"/>
  <c r="X640" i="44"/>
  <c r="Z640" i="44"/>
  <c r="AB640" i="44"/>
  <c r="AD640" i="44"/>
  <c r="AF640" i="44"/>
  <c r="AH640" i="44"/>
  <c r="AJ640" i="44"/>
  <c r="AL640" i="44"/>
  <c r="AN640" i="44"/>
  <c r="AP640" i="44"/>
  <c r="AR640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AJ642" i="44"/>
  <c r="AK642" i="44"/>
  <c r="AL642" i="44"/>
  <c r="AM642" i="44"/>
  <c r="AN642" i="44"/>
  <c r="AO642" i="44"/>
  <c r="AP642" i="44"/>
  <c r="AQ642" i="44"/>
  <c r="AR642" i="44"/>
  <c r="AS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AJ643" i="44"/>
  <c r="AK643" i="44"/>
  <c r="AL643" i="44"/>
  <c r="AM643" i="44"/>
  <c r="AN643" i="44"/>
  <c r="AO643" i="44"/>
  <c r="AP643" i="44"/>
  <c r="AQ643" i="44"/>
  <c r="AR643" i="44"/>
  <c r="AS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AJ644" i="44"/>
  <c r="AK644" i="44"/>
  <c r="AL644" i="44"/>
  <c r="AM644" i="44"/>
  <c r="AN644" i="44"/>
  <c r="AO644" i="44"/>
  <c r="AP644" i="44"/>
  <c r="AQ644" i="44"/>
  <c r="AR644" i="44"/>
  <c r="AS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AJ645" i="44"/>
  <c r="AK645" i="44"/>
  <c r="AL645" i="44"/>
  <c r="AM645" i="44"/>
  <c r="AN645" i="44"/>
  <c r="AO645" i="44"/>
  <c r="AP645" i="44"/>
  <c r="AQ645" i="44"/>
  <c r="AR645" i="44"/>
  <c r="AS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AJ646" i="44"/>
  <c r="AK646" i="44"/>
  <c r="AL646" i="44"/>
  <c r="AM646" i="44"/>
  <c r="AN646" i="44"/>
  <c r="AO646" i="44"/>
  <c r="AP646" i="44"/>
  <c r="AQ646" i="44"/>
  <c r="AR646" i="44"/>
  <c r="AS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AJ647" i="44"/>
  <c r="AK647" i="44"/>
  <c r="AL647" i="44"/>
  <c r="AM647" i="44"/>
  <c r="AN647" i="44"/>
  <c r="AO647" i="44"/>
  <c r="AP647" i="44"/>
  <c r="AQ647" i="44"/>
  <c r="AR647" i="44"/>
  <c r="AS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AJ648" i="44"/>
  <c r="AK648" i="44"/>
  <c r="AL648" i="44"/>
  <c r="AM648" i="44"/>
  <c r="AN648" i="44"/>
  <c r="AO648" i="44"/>
  <c r="AP648" i="44"/>
  <c r="AQ648" i="44"/>
  <c r="AR648" i="44"/>
  <c r="AS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AJ649" i="44"/>
  <c r="AK649" i="44"/>
  <c r="AL649" i="44"/>
  <c r="AM649" i="44"/>
  <c r="AN649" i="44"/>
  <c r="AO649" i="44"/>
  <c r="AP649" i="44"/>
  <c r="AQ649" i="44"/>
  <c r="AR649" i="44"/>
  <c r="AS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AJ650" i="44"/>
  <c r="AK650" i="44"/>
  <c r="AL650" i="44"/>
  <c r="AM650" i="44"/>
  <c r="AN650" i="44"/>
  <c r="AO650" i="44"/>
  <c r="AP650" i="44"/>
  <c r="AQ650" i="44"/>
  <c r="AR650" i="44"/>
  <c r="AS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AJ651" i="44"/>
  <c r="AK651" i="44"/>
  <c r="AL651" i="44"/>
  <c r="AM651" i="44"/>
  <c r="AN651" i="44"/>
  <c r="AO651" i="44"/>
  <c r="AP651" i="44"/>
  <c r="AQ651" i="44"/>
  <c r="AR651" i="44"/>
  <c r="AS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D652" i="44"/>
  <c r="AE652" i="44"/>
  <c r="AF652" i="44"/>
  <c r="AG652" i="44"/>
  <c r="AH652" i="44"/>
  <c r="AI652" i="44"/>
  <c r="AJ652" i="44"/>
  <c r="AK652" i="44"/>
  <c r="AL652" i="44"/>
  <c r="AM652" i="44"/>
  <c r="AN652" i="44"/>
  <c r="AO652" i="44"/>
  <c r="AP652" i="44"/>
  <c r="AQ652" i="44"/>
  <c r="AR652" i="44"/>
  <c r="AS652" i="44"/>
  <c r="F653" i="44"/>
  <c r="G653" i="44"/>
  <c r="H653" i="44"/>
  <c r="I653" i="44"/>
  <c r="J653" i="44"/>
  <c r="K653" i="44"/>
  <c r="L653" i="44"/>
  <c r="M653" i="44"/>
  <c r="N653" i="44"/>
  <c r="O653" i="44"/>
  <c r="P653" i="44"/>
  <c r="Q653" i="44"/>
  <c r="R653" i="44"/>
  <c r="S653" i="44"/>
  <c r="T653" i="44"/>
  <c r="U653" i="44"/>
  <c r="V653" i="44"/>
  <c r="W653" i="44"/>
  <c r="X653" i="44"/>
  <c r="Y653" i="44"/>
  <c r="Z653" i="44"/>
  <c r="AA653" i="44"/>
  <c r="AB653" i="44"/>
  <c r="AC653" i="44"/>
  <c r="AD653" i="44"/>
  <c r="AE653" i="44"/>
  <c r="AF653" i="44"/>
  <c r="AG653" i="44"/>
  <c r="AH653" i="44"/>
  <c r="AI653" i="44"/>
  <c r="AJ653" i="44"/>
  <c r="AK653" i="44"/>
  <c r="AL653" i="44"/>
  <c r="AM653" i="44"/>
  <c r="AN653" i="44"/>
  <c r="AO653" i="44"/>
  <c r="AP653" i="44"/>
  <c r="AQ653" i="44"/>
  <c r="AR653" i="44"/>
  <c r="AS653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L8" i="29"/>
  <c r="N8" i="29"/>
  <c r="P8" i="29"/>
  <c r="R8" i="29"/>
  <c r="T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AT12" i="29"/>
  <c r="AU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AT20" i="29"/>
  <c r="AU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AT21" i="29"/>
  <c r="AU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AT22" i="29"/>
  <c r="AU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AT27" i="29"/>
  <c r="AU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AT28" i="29"/>
  <c r="AU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AT29" i="29"/>
  <c r="AU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AT32" i="29"/>
  <c r="AU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AT33" i="29"/>
  <c r="AU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AT34" i="29"/>
  <c r="AU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AT35" i="29"/>
  <c r="AU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AT36" i="29"/>
  <c r="AU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AT39" i="29"/>
  <c r="AU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AT41" i="29"/>
  <c r="AU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AT42" i="29"/>
  <c r="AU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AT43" i="29"/>
  <c r="AU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AT45" i="29"/>
  <c r="AU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AT47" i="29"/>
  <c r="AU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AT49" i="29"/>
  <c r="AU49" i="29"/>
  <c r="D50" i="29"/>
  <c r="E50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AT51" i="29"/>
  <c r="AU51" i="29"/>
  <c r="D52" i="29"/>
  <c r="E52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AT54" i="29"/>
  <c r="AU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AT55" i="29"/>
  <c r="AU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AT56" i="29"/>
  <c r="AU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AT59" i="29"/>
  <c r="AU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AT60" i="29"/>
  <c r="AU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AT61" i="29"/>
  <c r="AU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AT64" i="29"/>
  <c r="AU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AT65" i="29"/>
  <c r="AU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AT66" i="29"/>
  <c r="AU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AT70" i="29"/>
  <c r="AU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AT71" i="29"/>
  <c r="AU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AN72" i="29"/>
  <c r="AO72" i="29"/>
  <c r="AP72" i="29"/>
  <c r="AQ72" i="29"/>
  <c r="AR72" i="29"/>
  <c r="AS72" i="29"/>
  <c r="AT72" i="29"/>
  <c r="AU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AT73" i="29"/>
  <c r="AU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AT74" i="29"/>
  <c r="AU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AT75" i="29"/>
  <c r="AU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AT76" i="29"/>
  <c r="AU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AT77" i="29"/>
  <c r="AU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AT78" i="29"/>
  <c r="AU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AT79" i="29"/>
  <c r="AU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AT80" i="29"/>
  <c r="AU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T81" i="29"/>
  <c r="AU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T82" i="29"/>
  <c r="AU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AT11" i="20"/>
  <c r="AU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AT14" i="20"/>
  <c r="AU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AT41" i="20"/>
  <c r="AU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AT42" i="20"/>
  <c r="AU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AT43" i="20"/>
  <c r="AU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D50" i="20"/>
  <c r="E50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AT51" i="20"/>
  <c r="AU51" i="20"/>
  <c r="D52" i="20"/>
  <c r="E52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AT54" i="20"/>
  <c r="AU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AT55" i="20"/>
  <c r="AU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AT56" i="20"/>
  <c r="AU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AT60" i="20"/>
  <c r="AU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AT61" i="20"/>
  <c r="AU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AT64" i="20"/>
  <c r="AU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S66" i="20"/>
  <c r="AT66" i="20"/>
  <c r="AU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S70" i="20"/>
  <c r="AT70" i="20"/>
  <c r="AU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S71" i="20"/>
  <c r="AT71" i="20"/>
  <c r="AU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S72" i="20"/>
  <c r="AT72" i="20"/>
  <c r="AU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AT73" i="20"/>
  <c r="AU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AT74" i="20"/>
  <c r="AU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AT75" i="20"/>
  <c r="AU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AT76" i="20"/>
  <c r="AU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AT77" i="20"/>
  <c r="AU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AT78" i="20"/>
  <c r="AU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AT79" i="20"/>
  <c r="AU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AT80" i="20"/>
  <c r="AU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AT81" i="20"/>
  <c r="AU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S82" i="20"/>
  <c r="AT82" i="20"/>
  <c r="AU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3" i="4"/>
  <c r="C113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C127" i="4"/>
  <c r="D127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D86" i="45"/>
  <c r="E86" i="45"/>
  <c r="F86" i="45"/>
  <c r="G86" i="45"/>
  <c r="H86" i="45"/>
  <c r="I86" i="45"/>
  <c r="J86" i="45"/>
  <c r="K86" i="45"/>
  <c r="L86" i="45"/>
  <c r="M86" i="45"/>
  <c r="D87" i="45"/>
  <c r="E87" i="45"/>
  <c r="F87" i="45"/>
  <c r="G87" i="45"/>
  <c r="H87" i="45"/>
  <c r="I87" i="45"/>
  <c r="J87" i="45"/>
  <c r="K87" i="45"/>
  <c r="L87" i="45"/>
  <c r="M87" i="45"/>
  <c r="D88" i="45"/>
  <c r="E88" i="45"/>
  <c r="F88" i="45"/>
  <c r="G88" i="45"/>
  <c r="H88" i="45"/>
  <c r="I88" i="45"/>
  <c r="J88" i="45"/>
  <c r="K88" i="45"/>
  <c r="L88" i="45"/>
  <c r="M88" i="45"/>
  <c r="D89" i="45"/>
  <c r="E89" i="45"/>
  <c r="F89" i="45"/>
  <c r="G89" i="45"/>
  <c r="H89" i="45"/>
  <c r="I89" i="45"/>
  <c r="J89" i="45"/>
  <c r="K89" i="45"/>
  <c r="L89" i="45"/>
  <c r="M89" i="45"/>
  <c r="D91" i="45"/>
  <c r="E91" i="45"/>
  <c r="F91" i="45"/>
  <c r="G91" i="45"/>
  <c r="H91" i="45"/>
  <c r="I91" i="45"/>
  <c r="J91" i="45"/>
  <c r="K91" i="45"/>
  <c r="L91" i="45"/>
  <c r="M91" i="45"/>
  <c r="A5" i="46"/>
  <c r="H8" i="46"/>
  <c r="J8" i="46"/>
  <c r="L8" i="46"/>
  <c r="N8" i="46"/>
  <c r="P8" i="46"/>
  <c r="R8" i="46"/>
  <c r="T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AJ11" i="46"/>
  <c r="AK11" i="46"/>
  <c r="AL11" i="46"/>
  <c r="AM11" i="46"/>
  <c r="AN11" i="46"/>
  <c r="AO11" i="46"/>
  <c r="AP11" i="46"/>
  <c r="AQ11" i="46"/>
  <c r="AR11" i="46"/>
  <c r="AS11" i="46"/>
  <c r="AT11" i="46"/>
  <c r="AU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AJ12" i="46"/>
  <c r="AK12" i="46"/>
  <c r="AL12" i="46"/>
  <c r="AM12" i="46"/>
  <c r="AN12" i="46"/>
  <c r="AO12" i="46"/>
  <c r="AP12" i="46"/>
  <c r="AQ12" i="46"/>
  <c r="AR12" i="46"/>
  <c r="AS12" i="46"/>
  <c r="AT12" i="46"/>
  <c r="AU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AJ13" i="46"/>
  <c r="AK13" i="46"/>
  <c r="AL13" i="46"/>
  <c r="AM13" i="46"/>
  <c r="AN13" i="46"/>
  <c r="AO13" i="46"/>
  <c r="AP13" i="46"/>
  <c r="AQ13" i="46"/>
  <c r="AR13" i="46"/>
  <c r="AS13" i="46"/>
  <c r="AT13" i="46"/>
  <c r="AU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AJ14" i="46"/>
  <c r="AK14" i="46"/>
  <c r="AL14" i="46"/>
  <c r="AM14" i="46"/>
  <c r="AN14" i="46"/>
  <c r="AO14" i="46"/>
  <c r="AP14" i="46"/>
  <c r="AQ14" i="46"/>
  <c r="AR14" i="46"/>
  <c r="AS14" i="46"/>
  <c r="AT14" i="46"/>
  <c r="AU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AJ15" i="46"/>
  <c r="AK15" i="46"/>
  <c r="AL15" i="46"/>
  <c r="AM15" i="46"/>
  <c r="AN15" i="46"/>
  <c r="AO15" i="46"/>
  <c r="AP15" i="46"/>
  <c r="AQ15" i="46"/>
  <c r="AR15" i="46"/>
  <c r="AS15" i="46"/>
  <c r="AT15" i="46"/>
  <c r="AU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AL16" i="46"/>
  <c r="AM16" i="46"/>
  <c r="AN16" i="46"/>
  <c r="AO16" i="46"/>
  <c r="AP16" i="46"/>
  <c r="AQ16" i="46"/>
  <c r="AR16" i="46"/>
  <c r="AS16" i="46"/>
  <c r="AT16" i="46"/>
  <c r="AU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AJ19" i="46"/>
  <c r="AK19" i="46"/>
  <c r="AL19" i="46"/>
  <c r="AM19" i="46"/>
  <c r="AN19" i="46"/>
  <c r="AO19" i="46"/>
  <c r="AP19" i="46"/>
  <c r="AQ19" i="46"/>
  <c r="AR19" i="46"/>
  <c r="AS19" i="46"/>
  <c r="AT19" i="46"/>
  <c r="AU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AJ20" i="46"/>
  <c r="AK20" i="46"/>
  <c r="AL20" i="46"/>
  <c r="AM20" i="46"/>
  <c r="AN20" i="46"/>
  <c r="AO20" i="46"/>
  <c r="AP20" i="46"/>
  <c r="AQ20" i="46"/>
  <c r="AR20" i="46"/>
  <c r="AS20" i="46"/>
  <c r="AT20" i="46"/>
  <c r="AU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AJ21" i="46"/>
  <c r="AK21" i="46"/>
  <c r="AL21" i="46"/>
  <c r="AM21" i="46"/>
  <c r="AN21" i="46"/>
  <c r="AO21" i="46"/>
  <c r="AP21" i="46"/>
  <c r="AQ21" i="46"/>
  <c r="AR21" i="46"/>
  <c r="AS21" i="46"/>
  <c r="AT21" i="46"/>
  <c r="AU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AJ22" i="46"/>
  <c r="AK22" i="46"/>
  <c r="AL22" i="46"/>
  <c r="AM22" i="46"/>
  <c r="AN22" i="46"/>
  <c r="AO22" i="46"/>
  <c r="AP22" i="46"/>
  <c r="AQ22" i="46"/>
  <c r="AR22" i="46"/>
  <c r="AS22" i="46"/>
  <c r="AT22" i="46"/>
  <c r="AU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AJ23" i="46"/>
  <c r="AK23" i="46"/>
  <c r="AL23" i="46"/>
  <c r="AM23" i="46"/>
  <c r="AN23" i="46"/>
  <c r="AO23" i="46"/>
  <c r="AP23" i="46"/>
  <c r="AQ23" i="46"/>
  <c r="AR23" i="46"/>
  <c r="AS23" i="46"/>
  <c r="AT23" i="46"/>
  <c r="AU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AN24" i="46"/>
  <c r="AO24" i="46"/>
  <c r="AP24" i="46"/>
  <c r="AQ24" i="46"/>
  <c r="AR24" i="46"/>
  <c r="AS24" i="46"/>
  <c r="AT24" i="46"/>
  <c r="AU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AL27" i="46"/>
  <c r="AM27" i="46"/>
  <c r="AN27" i="46"/>
  <c r="AO27" i="46"/>
  <c r="AP27" i="46"/>
  <c r="AQ27" i="46"/>
  <c r="AR27" i="46"/>
  <c r="AS27" i="46"/>
  <c r="AT27" i="46"/>
  <c r="AU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AL28" i="46"/>
  <c r="AM28" i="46"/>
  <c r="AN28" i="46"/>
  <c r="AO28" i="46"/>
  <c r="AP28" i="46"/>
  <c r="AQ28" i="46"/>
  <c r="AR28" i="46"/>
  <c r="AS28" i="46"/>
  <c r="AT28" i="46"/>
  <c r="AU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AN29" i="46"/>
  <c r="AO29" i="46"/>
  <c r="AP29" i="46"/>
  <c r="AQ29" i="46"/>
  <c r="AR29" i="46"/>
  <c r="AS29" i="46"/>
  <c r="AT29" i="46"/>
  <c r="AU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AJ32" i="46"/>
  <c r="AK32" i="46"/>
  <c r="AL32" i="46"/>
  <c r="AM32" i="46"/>
  <c r="AN32" i="46"/>
  <c r="AO32" i="46"/>
  <c r="AP32" i="46"/>
  <c r="AQ32" i="46"/>
  <c r="AR32" i="46"/>
  <c r="AS32" i="46"/>
  <c r="AT32" i="46"/>
  <c r="AU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AJ33" i="46"/>
  <c r="AK33" i="46"/>
  <c r="AL33" i="46"/>
  <c r="AM33" i="46"/>
  <c r="AN33" i="46"/>
  <c r="AO33" i="46"/>
  <c r="AP33" i="46"/>
  <c r="AQ33" i="46"/>
  <c r="AR33" i="46"/>
  <c r="AS33" i="46"/>
  <c r="AT33" i="46"/>
  <c r="AU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AJ34" i="46"/>
  <c r="AK34" i="46"/>
  <c r="AL34" i="46"/>
  <c r="AM34" i="46"/>
  <c r="AN34" i="46"/>
  <c r="AO34" i="46"/>
  <c r="AP34" i="46"/>
  <c r="AQ34" i="46"/>
  <c r="AR34" i="46"/>
  <c r="AS34" i="46"/>
  <c r="AT34" i="46"/>
  <c r="AU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AJ35" i="46"/>
  <c r="AK35" i="46"/>
  <c r="AL35" i="46"/>
  <c r="AM35" i="46"/>
  <c r="AN35" i="46"/>
  <c r="AO35" i="46"/>
  <c r="AP35" i="46"/>
  <c r="AQ35" i="46"/>
  <c r="AR35" i="46"/>
  <c r="AS35" i="46"/>
  <c r="AT35" i="46"/>
  <c r="AU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AL36" i="46"/>
  <c r="AM36" i="46"/>
  <c r="AN36" i="46"/>
  <c r="AO36" i="46"/>
  <c r="AP36" i="46"/>
  <c r="AQ36" i="46"/>
  <c r="AR36" i="46"/>
  <c r="AS36" i="46"/>
  <c r="AT36" i="46"/>
  <c r="AU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AJ39" i="46"/>
  <c r="AK39" i="46"/>
  <c r="AL39" i="46"/>
  <c r="AM39" i="46"/>
  <c r="AN39" i="46"/>
  <c r="AO39" i="46"/>
  <c r="AP39" i="46"/>
  <c r="AQ39" i="46"/>
  <c r="AR39" i="46"/>
  <c r="AS39" i="46"/>
  <c r="AT39" i="46"/>
  <c r="AU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AJ40" i="46"/>
  <c r="AK40" i="46"/>
  <c r="AL40" i="46"/>
  <c r="AM40" i="46"/>
  <c r="AN40" i="46"/>
  <c r="AO40" i="46"/>
  <c r="AP40" i="46"/>
  <c r="AQ40" i="46"/>
  <c r="AR40" i="46"/>
  <c r="AS40" i="46"/>
  <c r="AT40" i="46"/>
  <c r="AU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AJ41" i="46"/>
  <c r="AK41" i="46"/>
  <c r="AL41" i="46"/>
  <c r="AM41" i="46"/>
  <c r="AN41" i="46"/>
  <c r="AO41" i="46"/>
  <c r="AP41" i="46"/>
  <c r="AQ41" i="46"/>
  <c r="AR41" i="46"/>
  <c r="AS41" i="46"/>
  <c r="AT41" i="46"/>
  <c r="AU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AL42" i="46"/>
  <c r="AM42" i="46"/>
  <c r="AN42" i="46"/>
  <c r="AO42" i="46"/>
  <c r="AP42" i="46"/>
  <c r="AQ42" i="46"/>
  <c r="AR42" i="46"/>
  <c r="AS42" i="46"/>
  <c r="AT42" i="46"/>
  <c r="AU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AL43" i="46"/>
  <c r="AM43" i="46"/>
  <c r="AN43" i="46"/>
  <c r="AO43" i="46"/>
  <c r="AP43" i="46"/>
  <c r="AQ43" i="46"/>
  <c r="AR43" i="46"/>
  <c r="AS43" i="46"/>
  <c r="AT43" i="46"/>
  <c r="AU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AJ45" i="46"/>
  <c r="AK45" i="46"/>
  <c r="AL45" i="46"/>
  <c r="AM45" i="46"/>
  <c r="AN45" i="46"/>
  <c r="AO45" i="46"/>
  <c r="AP45" i="46"/>
  <c r="AQ45" i="46"/>
  <c r="AR45" i="46"/>
  <c r="AS45" i="46"/>
  <c r="AT45" i="46"/>
  <c r="AU45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AJ47" i="46"/>
  <c r="AK47" i="46"/>
  <c r="AL47" i="46"/>
  <c r="AM47" i="46"/>
  <c r="AN47" i="46"/>
  <c r="AO47" i="46"/>
  <c r="AP47" i="46"/>
  <c r="AQ47" i="46"/>
  <c r="AR47" i="46"/>
  <c r="AS47" i="46"/>
  <c r="AT47" i="46"/>
  <c r="AU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AJ49" i="46"/>
  <c r="AK49" i="46"/>
  <c r="AL49" i="46"/>
  <c r="AM49" i="46"/>
  <c r="AN49" i="46"/>
  <c r="AO49" i="46"/>
  <c r="AP49" i="46"/>
  <c r="AQ49" i="46"/>
  <c r="AR49" i="46"/>
  <c r="AS49" i="46"/>
  <c r="AT49" i="46"/>
  <c r="AU49" i="46"/>
  <c r="D50" i="46"/>
  <c r="E50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AJ51" i="46"/>
  <c r="AK51" i="46"/>
  <c r="AL51" i="46"/>
  <c r="AM51" i="46"/>
  <c r="AN51" i="46"/>
  <c r="AO51" i="46"/>
  <c r="AP51" i="46"/>
  <c r="AQ51" i="46"/>
  <c r="AR51" i="46"/>
  <c r="AS51" i="46"/>
  <c r="AT51" i="46"/>
  <c r="AU51" i="46"/>
  <c r="D52" i="46"/>
  <c r="E52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AJ54" i="46"/>
  <c r="AK54" i="46"/>
  <c r="AL54" i="46"/>
  <c r="AM54" i="46"/>
  <c r="AN54" i="46"/>
  <c r="AO54" i="46"/>
  <c r="AP54" i="46"/>
  <c r="AQ54" i="46"/>
  <c r="AR54" i="46"/>
  <c r="AS54" i="46"/>
  <c r="AT54" i="46"/>
  <c r="AU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AJ55" i="46"/>
  <c r="AK55" i="46"/>
  <c r="AL55" i="46"/>
  <c r="AM55" i="46"/>
  <c r="AN55" i="46"/>
  <c r="AO55" i="46"/>
  <c r="AP55" i="46"/>
  <c r="AQ55" i="46"/>
  <c r="AR55" i="46"/>
  <c r="AS55" i="46"/>
  <c r="AT55" i="46"/>
  <c r="AU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AL56" i="46"/>
  <c r="AM56" i="46"/>
  <c r="AN56" i="46"/>
  <c r="AO56" i="46"/>
  <c r="AP56" i="46"/>
  <c r="AQ56" i="46"/>
  <c r="AR56" i="46"/>
  <c r="AS56" i="46"/>
  <c r="AT56" i="46"/>
  <c r="AU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AJ59" i="46"/>
  <c r="AK59" i="46"/>
  <c r="AL59" i="46"/>
  <c r="AM59" i="46"/>
  <c r="AN59" i="46"/>
  <c r="AO59" i="46"/>
  <c r="AP59" i="46"/>
  <c r="AQ59" i="46"/>
  <c r="AR59" i="46"/>
  <c r="AS59" i="46"/>
  <c r="AT59" i="46"/>
  <c r="AU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AJ60" i="46"/>
  <c r="AK60" i="46"/>
  <c r="AL60" i="46"/>
  <c r="AM60" i="46"/>
  <c r="AN60" i="46"/>
  <c r="AO60" i="46"/>
  <c r="AP60" i="46"/>
  <c r="AQ60" i="46"/>
  <c r="AR60" i="46"/>
  <c r="AS60" i="46"/>
  <c r="AT60" i="46"/>
  <c r="AU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AL61" i="46"/>
  <c r="AM61" i="46"/>
  <c r="AN61" i="46"/>
  <c r="AO61" i="46"/>
  <c r="AP61" i="46"/>
  <c r="AQ61" i="46"/>
  <c r="AR61" i="46"/>
  <c r="AS61" i="46"/>
  <c r="AT61" i="46"/>
  <c r="AU61" i="46"/>
  <c r="D64" i="46"/>
  <c r="E64" i="46"/>
  <c r="F64" i="46"/>
  <c r="G64" i="46"/>
  <c r="H64" i="46"/>
  <c r="I64" i="46"/>
  <c r="J64" i="46"/>
  <c r="K64" i="46"/>
  <c r="L64" i="46"/>
  <c r="M64" i="46"/>
  <c r="D65" i="46"/>
  <c r="E65" i="46"/>
  <c r="F65" i="46"/>
  <c r="G65" i="46"/>
  <c r="H65" i="46"/>
  <c r="I65" i="46"/>
  <c r="J65" i="46"/>
  <c r="K65" i="46"/>
  <c r="L65" i="46"/>
  <c r="M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AN66" i="46"/>
  <c r="AO66" i="46"/>
  <c r="AP66" i="46"/>
  <c r="AQ66" i="46"/>
  <c r="AR66" i="46"/>
  <c r="AS66" i="46"/>
  <c r="AT66" i="46"/>
  <c r="AU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AJ70" i="46"/>
  <c r="AK70" i="46"/>
  <c r="AL70" i="46"/>
  <c r="AM70" i="46"/>
  <c r="AN70" i="46"/>
  <c r="AO70" i="46"/>
  <c r="AP70" i="46"/>
  <c r="AQ70" i="46"/>
  <c r="AR70" i="46"/>
  <c r="AS70" i="46"/>
  <c r="AT70" i="46"/>
  <c r="AU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AN71" i="46"/>
  <c r="AO71" i="46"/>
  <c r="AP71" i="46"/>
  <c r="AQ71" i="46"/>
  <c r="AR71" i="46"/>
  <c r="AS71" i="46"/>
  <c r="AT71" i="46"/>
  <c r="AU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AJ72" i="46"/>
  <c r="AK72" i="46"/>
  <c r="AL72" i="46"/>
  <c r="AM72" i="46"/>
  <c r="AN72" i="46"/>
  <c r="AO72" i="46"/>
  <c r="AP72" i="46"/>
  <c r="AQ72" i="46"/>
  <c r="AR72" i="46"/>
  <c r="AS72" i="46"/>
  <c r="AT72" i="46"/>
  <c r="AU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AJ73" i="46"/>
  <c r="AK73" i="46"/>
  <c r="AL73" i="46"/>
  <c r="AM73" i="46"/>
  <c r="AN73" i="46"/>
  <c r="AO73" i="46"/>
  <c r="AP73" i="46"/>
  <c r="AQ73" i="46"/>
  <c r="AR73" i="46"/>
  <c r="AS73" i="46"/>
  <c r="AT73" i="46"/>
  <c r="AU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AJ74" i="46"/>
  <c r="AK74" i="46"/>
  <c r="AL74" i="46"/>
  <c r="AM74" i="46"/>
  <c r="AN74" i="46"/>
  <c r="AO74" i="46"/>
  <c r="AP74" i="46"/>
  <c r="AQ74" i="46"/>
  <c r="AR74" i="46"/>
  <c r="AS74" i="46"/>
  <c r="AT74" i="46"/>
  <c r="AU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AJ75" i="46"/>
  <c r="AK75" i="46"/>
  <c r="AL75" i="46"/>
  <c r="AM75" i="46"/>
  <c r="AN75" i="46"/>
  <c r="AO75" i="46"/>
  <c r="AP75" i="46"/>
  <c r="AQ75" i="46"/>
  <c r="AR75" i="46"/>
  <c r="AS75" i="46"/>
  <c r="AT75" i="46"/>
  <c r="AU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AJ76" i="46"/>
  <c r="AK76" i="46"/>
  <c r="AL76" i="46"/>
  <c r="AM76" i="46"/>
  <c r="AN76" i="46"/>
  <c r="AO76" i="46"/>
  <c r="AP76" i="46"/>
  <c r="AQ76" i="46"/>
  <c r="AR76" i="46"/>
  <c r="AS76" i="46"/>
  <c r="AT76" i="46"/>
  <c r="AU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AJ77" i="46"/>
  <c r="AK77" i="46"/>
  <c r="AL77" i="46"/>
  <c r="AM77" i="46"/>
  <c r="AN77" i="46"/>
  <c r="AO77" i="46"/>
  <c r="AP77" i="46"/>
  <c r="AQ77" i="46"/>
  <c r="AR77" i="46"/>
  <c r="AS77" i="46"/>
  <c r="AT77" i="46"/>
  <c r="AU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AJ78" i="46"/>
  <c r="AK78" i="46"/>
  <c r="AL78" i="46"/>
  <c r="AM78" i="46"/>
  <c r="AN78" i="46"/>
  <c r="AO78" i="46"/>
  <c r="AP78" i="46"/>
  <c r="AQ78" i="46"/>
  <c r="AR78" i="46"/>
  <c r="AS78" i="46"/>
  <c r="AT78" i="46"/>
  <c r="AU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AJ79" i="46"/>
  <c r="AK79" i="46"/>
  <c r="AL79" i="46"/>
  <c r="AM79" i="46"/>
  <c r="AN79" i="46"/>
  <c r="AO79" i="46"/>
  <c r="AP79" i="46"/>
  <c r="AQ79" i="46"/>
  <c r="AR79" i="46"/>
  <c r="AS79" i="46"/>
  <c r="AT79" i="46"/>
  <c r="AU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AL80" i="46"/>
  <c r="AM80" i="46"/>
  <c r="AN80" i="46"/>
  <c r="AO80" i="46"/>
  <c r="AP80" i="46"/>
  <c r="AQ80" i="46"/>
  <c r="AR80" i="46"/>
  <c r="AS80" i="46"/>
  <c r="AT80" i="46"/>
  <c r="AU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AJ81" i="46"/>
  <c r="AK81" i="46"/>
  <c r="AL81" i="46"/>
  <c r="AM81" i="46"/>
  <c r="AN81" i="46"/>
  <c r="AO81" i="46"/>
  <c r="AP81" i="46"/>
  <c r="AQ81" i="46"/>
  <c r="AR81" i="46"/>
  <c r="AS81" i="46"/>
  <c r="AT81" i="46"/>
  <c r="AU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AJ82" i="46"/>
  <c r="AK82" i="46"/>
  <c r="AL82" i="46"/>
  <c r="AM82" i="46"/>
  <c r="AN82" i="46"/>
  <c r="AO82" i="46"/>
  <c r="AP82" i="46"/>
  <c r="AQ82" i="46"/>
  <c r="AR82" i="46"/>
  <c r="AS82" i="46"/>
  <c r="AT82" i="46"/>
  <c r="AU82" i="46"/>
  <c r="G84" i="46"/>
  <c r="I84" i="46"/>
  <c r="K84" i="46"/>
  <c r="M84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Z86" i="46"/>
  <c r="AA86" i="46"/>
  <c r="AB86" i="46"/>
  <c r="AC86" i="46"/>
  <c r="AD86" i="46"/>
  <c r="AE86" i="46"/>
  <c r="AF86" i="46"/>
  <c r="AG86" i="46"/>
  <c r="AH86" i="46"/>
  <c r="AI86" i="46"/>
  <c r="AJ86" i="46"/>
  <c r="AK86" i="46"/>
  <c r="AL86" i="46"/>
  <c r="AM86" i="46"/>
  <c r="AN86" i="46"/>
  <c r="AO86" i="46"/>
  <c r="AP86" i="46"/>
  <c r="AQ86" i="46"/>
  <c r="AR86" i="46"/>
  <c r="AS86" i="46"/>
  <c r="AT86" i="46"/>
  <c r="AU86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7" i="46"/>
  <c r="AA87" i="46"/>
  <c r="AB87" i="46"/>
  <c r="AC87" i="46"/>
  <c r="AD87" i="46"/>
  <c r="AE87" i="46"/>
  <c r="AF87" i="46"/>
  <c r="AG87" i="46"/>
  <c r="AH87" i="46"/>
  <c r="AI87" i="46"/>
  <c r="AJ87" i="46"/>
  <c r="AK87" i="46"/>
  <c r="AL87" i="46"/>
  <c r="AM87" i="46"/>
  <c r="AN87" i="46"/>
  <c r="AO87" i="46"/>
  <c r="AP87" i="46"/>
  <c r="AQ87" i="46"/>
  <c r="AR87" i="46"/>
  <c r="AS87" i="46"/>
  <c r="AT87" i="46"/>
  <c r="AU87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B88" i="46"/>
  <c r="AC88" i="46"/>
  <c r="AD88" i="46"/>
  <c r="AE88" i="46"/>
  <c r="AF88" i="46"/>
  <c r="AG88" i="46"/>
  <c r="AH88" i="46"/>
  <c r="AI88" i="46"/>
  <c r="AJ88" i="46"/>
  <c r="AK88" i="46"/>
  <c r="AL88" i="46"/>
  <c r="AM88" i="46"/>
  <c r="AN88" i="46"/>
  <c r="AO88" i="46"/>
  <c r="AP88" i="46"/>
  <c r="AQ88" i="46"/>
  <c r="AR88" i="46"/>
  <c r="AS88" i="46"/>
  <c r="AT88" i="46"/>
  <c r="AU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9" i="46"/>
  <c r="AA89" i="46"/>
  <c r="AB89" i="46"/>
  <c r="AC89" i="46"/>
  <c r="AD89" i="46"/>
  <c r="AE89" i="46"/>
  <c r="AF89" i="46"/>
  <c r="AG89" i="46"/>
  <c r="AH89" i="46"/>
  <c r="AI89" i="46"/>
  <c r="AJ89" i="46"/>
  <c r="AK89" i="46"/>
  <c r="AL89" i="46"/>
  <c r="AM89" i="46"/>
  <c r="AN89" i="46"/>
  <c r="AO89" i="46"/>
  <c r="AP89" i="46"/>
  <c r="AQ89" i="46"/>
  <c r="AR89" i="46"/>
  <c r="AS89" i="46"/>
  <c r="AT89" i="46"/>
  <c r="AU89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1" i="46"/>
  <c r="AA91" i="46"/>
  <c r="AB91" i="46"/>
  <c r="AC91" i="46"/>
  <c r="AD91" i="46"/>
  <c r="AE91" i="46"/>
  <c r="AF91" i="46"/>
  <c r="AG91" i="46"/>
  <c r="AH91" i="46"/>
  <c r="AI91" i="46"/>
  <c r="AJ91" i="46"/>
  <c r="AK91" i="46"/>
  <c r="AL91" i="46"/>
  <c r="AM91" i="46"/>
  <c r="AN91" i="46"/>
  <c r="AO91" i="46"/>
  <c r="AP91" i="46"/>
  <c r="AQ91" i="46"/>
  <c r="AR91" i="46"/>
  <c r="AS91" i="46"/>
  <c r="AT91" i="46"/>
  <c r="AU91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5" i="21"/>
  <c r="H8" i="21"/>
  <c r="J8" i="21"/>
  <c r="L8" i="21"/>
  <c r="N8" i="21"/>
  <c r="P8" i="21"/>
  <c r="R8" i="21"/>
  <c r="T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D50" i="21"/>
  <c r="E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D52" i="21"/>
  <c r="E52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D70" i="21"/>
  <c r="E70" i="21"/>
  <c r="F70" i="21"/>
  <c r="G70" i="21"/>
  <c r="H70" i="21"/>
  <c r="I70" i="21"/>
  <c r="J70" i="21"/>
  <c r="L70" i="21"/>
  <c r="M70" i="21"/>
  <c r="N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L8" i="31"/>
  <c r="N8" i="31"/>
  <c r="P8" i="31"/>
  <c r="R8" i="31"/>
  <c r="T8" i="31"/>
  <c r="D11" i="31"/>
  <c r="E11" i="31"/>
  <c r="F11" i="31"/>
  <c r="G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AN16" i="31"/>
  <c r="AO16" i="31"/>
  <c r="AP16" i="31"/>
  <c r="AQ16" i="31"/>
  <c r="AR16" i="31"/>
  <c r="AS16" i="31"/>
  <c r="AT16" i="31"/>
  <c r="AU16" i="31"/>
  <c r="D19" i="31"/>
  <c r="E19" i="31"/>
  <c r="F19" i="31"/>
  <c r="G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AN24" i="31"/>
  <c r="AO24" i="31"/>
  <c r="AP24" i="31"/>
  <c r="AQ24" i="31"/>
  <c r="AR24" i="31"/>
  <c r="AS24" i="31"/>
  <c r="AT24" i="31"/>
  <c r="AU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AN29" i="31"/>
  <c r="AO29" i="31"/>
  <c r="AP29" i="31"/>
  <c r="AQ29" i="31"/>
  <c r="AR29" i="31"/>
  <c r="AS29" i="31"/>
  <c r="AT29" i="31"/>
  <c r="AU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AN36" i="31"/>
  <c r="AO36" i="31"/>
  <c r="AP36" i="31"/>
  <c r="AQ36" i="31"/>
  <c r="AR36" i="31"/>
  <c r="AS36" i="31"/>
  <c r="AT36" i="31"/>
  <c r="AU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AL42" i="31"/>
  <c r="AM42" i="31"/>
  <c r="AN42" i="31"/>
  <c r="AO42" i="31"/>
  <c r="AP42" i="31"/>
  <c r="AQ42" i="31"/>
  <c r="AR42" i="31"/>
  <c r="AS42" i="31"/>
  <c r="AT42" i="31"/>
  <c r="AU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AL43" i="31"/>
  <c r="AM43" i="31"/>
  <c r="AN43" i="31"/>
  <c r="AO43" i="31"/>
  <c r="AP43" i="31"/>
  <c r="AQ43" i="31"/>
  <c r="AR43" i="31"/>
  <c r="AS43" i="31"/>
  <c r="AT43" i="31"/>
  <c r="AU43" i="31"/>
  <c r="D45" i="31"/>
  <c r="E45" i="31"/>
  <c r="F45" i="31"/>
  <c r="G45" i="31"/>
  <c r="D47" i="31"/>
  <c r="E47" i="31"/>
  <c r="F47" i="31"/>
  <c r="G47" i="31"/>
  <c r="D49" i="31"/>
  <c r="E49" i="31"/>
  <c r="F49" i="31"/>
  <c r="G49" i="31"/>
  <c r="D50" i="31"/>
  <c r="E50" i="31"/>
  <c r="D51" i="31"/>
  <c r="E51" i="31"/>
  <c r="F51" i="31"/>
  <c r="G51" i="31"/>
  <c r="D52" i="31"/>
  <c r="E52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AN56" i="31"/>
  <c r="AO56" i="31"/>
  <c r="AP56" i="31"/>
  <c r="AQ56" i="31"/>
  <c r="AR56" i="31"/>
  <c r="AS56" i="31"/>
  <c r="AT56" i="31"/>
  <c r="AU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AN61" i="31"/>
  <c r="AO61" i="31"/>
  <c r="AP61" i="31"/>
  <c r="AQ61" i="31"/>
  <c r="AR61" i="31"/>
  <c r="AS61" i="31"/>
  <c r="AT61" i="31"/>
  <c r="AU61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AN66" i="31"/>
  <c r="AO66" i="31"/>
  <c r="AP66" i="31"/>
  <c r="AQ66" i="31"/>
  <c r="AR66" i="31"/>
  <c r="AS66" i="31"/>
  <c r="AT66" i="31"/>
  <c r="AU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AR72" i="31"/>
  <c r="AS72" i="31"/>
  <c r="AT72" i="31"/>
  <c r="AU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AL82" i="31"/>
  <c r="AM82" i="31"/>
  <c r="AN82" i="31"/>
  <c r="AO82" i="31"/>
  <c r="AP82" i="31"/>
  <c r="AQ82" i="31"/>
  <c r="AR82" i="31"/>
  <c r="AS82" i="31"/>
  <c r="AT82" i="31"/>
  <c r="AU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AT89" i="31"/>
  <c r="AU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J91" i="31"/>
  <c r="AK91" i="31"/>
  <c r="AL91" i="31"/>
  <c r="AM91" i="31"/>
  <c r="AN91" i="31"/>
  <c r="AO91" i="31"/>
  <c r="AP91" i="31"/>
  <c r="AQ91" i="31"/>
  <c r="AR91" i="31"/>
  <c r="AS91" i="31"/>
  <c r="AT91" i="31"/>
  <c r="AU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D12" i="6"/>
  <c r="E12" i="6"/>
  <c r="U12" i="6"/>
  <c r="D13" i="6"/>
  <c r="E13" i="6"/>
  <c r="D14" i="6"/>
  <c r="E14" i="6"/>
  <c r="D15" i="6"/>
  <c r="E15" i="6"/>
  <c r="G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G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D55" i="6"/>
  <c r="E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I64" i="6"/>
  <c r="U64" i="6"/>
  <c r="D65" i="6"/>
  <c r="E65" i="6"/>
  <c r="I65" i="6"/>
  <c r="U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S74" i="6"/>
  <c r="U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5" i="12"/>
  <c r="A5" i="24"/>
  <c r="H8" i="24"/>
  <c r="J8" i="24"/>
  <c r="L8" i="24"/>
  <c r="N8" i="24"/>
  <c r="P8" i="24"/>
  <c r="R8" i="24"/>
  <c r="T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AO11" i="24"/>
  <c r="AP11" i="24"/>
  <c r="AQ11" i="24"/>
  <c r="AR11" i="24"/>
  <c r="AS11" i="24"/>
  <c r="AT11" i="24"/>
  <c r="AU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AO12" i="24"/>
  <c r="AP12" i="24"/>
  <c r="AQ12" i="24"/>
  <c r="AR12" i="24"/>
  <c r="AS12" i="24"/>
  <c r="AT12" i="24"/>
  <c r="AU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AO13" i="24"/>
  <c r="AP13" i="24"/>
  <c r="AQ13" i="24"/>
  <c r="AR13" i="24"/>
  <c r="AS13" i="24"/>
  <c r="AT13" i="24"/>
  <c r="AU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AO14" i="24"/>
  <c r="AP14" i="24"/>
  <c r="AQ14" i="24"/>
  <c r="AR14" i="24"/>
  <c r="AS14" i="24"/>
  <c r="AT14" i="24"/>
  <c r="AU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AN15" i="24"/>
  <c r="AO15" i="24"/>
  <c r="AP15" i="24"/>
  <c r="AQ15" i="24"/>
  <c r="AR15" i="24"/>
  <c r="AS15" i="24"/>
  <c r="AT15" i="24"/>
  <c r="AU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AT16" i="24"/>
  <c r="AU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AO19" i="24"/>
  <c r="AP19" i="24"/>
  <c r="AQ19" i="24"/>
  <c r="AR19" i="24"/>
  <c r="AS19" i="24"/>
  <c r="AT19" i="24"/>
  <c r="AU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AN20" i="24"/>
  <c r="AO20" i="24"/>
  <c r="AP20" i="24"/>
  <c r="AQ20" i="24"/>
  <c r="AR20" i="24"/>
  <c r="AS20" i="24"/>
  <c r="AT20" i="24"/>
  <c r="AU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AR21" i="24"/>
  <c r="AS21" i="24"/>
  <c r="AT21" i="24"/>
  <c r="AU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AN22" i="24"/>
  <c r="AO22" i="24"/>
  <c r="AP22" i="24"/>
  <c r="AQ22" i="24"/>
  <c r="AR22" i="24"/>
  <c r="AS22" i="24"/>
  <c r="AT22" i="24"/>
  <c r="AU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AT23" i="24"/>
  <c r="AU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AN24" i="24"/>
  <c r="AO24" i="24"/>
  <c r="AP24" i="24"/>
  <c r="AQ24" i="24"/>
  <c r="AR24" i="24"/>
  <c r="AS24" i="24"/>
  <c r="AT24" i="24"/>
  <c r="AU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AN27" i="24"/>
  <c r="AO27" i="24"/>
  <c r="AP27" i="24"/>
  <c r="AQ27" i="24"/>
  <c r="AR27" i="24"/>
  <c r="AS27" i="24"/>
  <c r="AT27" i="24"/>
  <c r="AU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AT28" i="24"/>
  <c r="AU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AT29" i="24"/>
  <c r="AU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AT32" i="24"/>
  <c r="AU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AT33" i="24"/>
  <c r="AU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AT34" i="24"/>
  <c r="AU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AT35" i="24"/>
  <c r="AU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AT36" i="24"/>
  <c r="AU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AP40" i="24"/>
  <c r="AQ40" i="24"/>
  <c r="AR40" i="24"/>
  <c r="AS40" i="24"/>
  <c r="AT40" i="24"/>
  <c r="AU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AP41" i="24"/>
  <c r="AQ41" i="24"/>
  <c r="AR41" i="24"/>
  <c r="AS41" i="24"/>
  <c r="AT41" i="24"/>
  <c r="AU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AP42" i="24"/>
  <c r="AQ42" i="24"/>
  <c r="AR42" i="24"/>
  <c r="AS42" i="24"/>
  <c r="AT42" i="24"/>
  <c r="AU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AT43" i="24"/>
  <c r="AU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AT45" i="24"/>
  <c r="AU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AT47" i="24"/>
  <c r="AU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AT49" i="24"/>
  <c r="AU49" i="24"/>
  <c r="D50" i="24"/>
  <c r="E50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AN51" i="24"/>
  <c r="AO51" i="24"/>
  <c r="AP51" i="24"/>
  <c r="AQ51" i="24"/>
  <c r="AR51" i="24"/>
  <c r="AS51" i="24"/>
  <c r="AT51" i="24"/>
  <c r="AU51" i="24"/>
  <c r="D52" i="24"/>
  <c r="E52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AN54" i="24"/>
  <c r="AO54" i="24"/>
  <c r="AP54" i="24"/>
  <c r="AQ54" i="24"/>
  <c r="AR54" i="24"/>
  <c r="AS54" i="24"/>
  <c r="AT54" i="24"/>
  <c r="AU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AT55" i="24"/>
  <c r="AU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AT56" i="24"/>
  <c r="AU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AT59" i="24"/>
  <c r="AU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AT60" i="24"/>
  <c r="AU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AT61" i="24"/>
  <c r="AU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AT66" i="24"/>
  <c r="AU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AT70" i="24"/>
  <c r="AU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AT71" i="24"/>
  <c r="AU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AT72" i="24"/>
  <c r="AU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AT73" i="24"/>
  <c r="AU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AT74" i="24"/>
  <c r="AU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AT75" i="24"/>
  <c r="AU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AN76" i="24"/>
  <c r="AO76" i="24"/>
  <c r="AP76" i="24"/>
  <c r="AQ76" i="24"/>
  <c r="AR76" i="24"/>
  <c r="AS76" i="24"/>
  <c r="AT76" i="24"/>
  <c r="AU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AT77" i="24"/>
  <c r="AU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AP78" i="24"/>
  <c r="AQ78" i="24"/>
  <c r="AR78" i="24"/>
  <c r="AS78" i="24"/>
  <c r="AT78" i="24"/>
  <c r="AU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AT79" i="24"/>
  <c r="AU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AT80" i="24"/>
  <c r="AU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AT81" i="24"/>
  <c r="AU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AP82" i="24"/>
  <c r="AQ82" i="24"/>
  <c r="AR82" i="24"/>
  <c r="AS82" i="24"/>
  <c r="AT82" i="24"/>
  <c r="AU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L8" i="22"/>
  <c r="N8" i="22"/>
  <c r="P8" i="22"/>
  <c r="R8" i="22"/>
  <c r="T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AT11" i="22"/>
  <c r="AU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AT12" i="22"/>
  <c r="AU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AT13" i="22"/>
  <c r="AU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AT14" i="22"/>
  <c r="AU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AT15" i="22"/>
  <c r="AU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AT16" i="22"/>
  <c r="AU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AT19" i="22"/>
  <c r="AU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AT20" i="22"/>
  <c r="AU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AT21" i="22"/>
  <c r="AU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AT22" i="22"/>
  <c r="AU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AT23" i="22"/>
  <c r="AU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AT24" i="22"/>
  <c r="AU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AT27" i="22"/>
  <c r="AU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AT28" i="22"/>
  <c r="AU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AT40" i="22"/>
  <c r="AU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AT41" i="22"/>
  <c r="AU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AT42" i="22"/>
  <c r="AU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AT43" i="22"/>
  <c r="AU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AT45" i="22"/>
  <c r="AU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AT47" i="22"/>
  <c r="AU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AT49" i="22"/>
  <c r="AU49" i="22"/>
  <c r="D50" i="22"/>
  <c r="E50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AT51" i="22"/>
  <c r="AU51" i="22"/>
  <c r="D52" i="22"/>
  <c r="E52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AT54" i="22"/>
  <c r="AU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AT55" i="22"/>
  <c r="AU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AT56" i="22"/>
  <c r="AU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AT59" i="22"/>
  <c r="AU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AT60" i="22"/>
  <c r="AU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AT61" i="22"/>
  <c r="AU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AT64" i="22"/>
  <c r="AU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AT65" i="22"/>
  <c r="AU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AT66" i="22"/>
  <c r="AU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AT70" i="22"/>
  <c r="AU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AT71" i="22"/>
  <c r="AU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AT72" i="22"/>
  <c r="AU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AT73" i="22"/>
  <c r="AU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AT74" i="22"/>
  <c r="AU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AT75" i="22"/>
  <c r="AU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AT76" i="22"/>
  <c r="AU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AT77" i="22"/>
  <c r="AU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AT78" i="22"/>
  <c r="AU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AT79" i="22"/>
  <c r="AU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AT80" i="22"/>
  <c r="AU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AT81" i="22"/>
  <c r="AU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T82" i="22"/>
  <c r="AU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L8" i="23"/>
  <c r="N8" i="23"/>
  <c r="P8" i="23"/>
  <c r="R8" i="23"/>
  <c r="T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AT11" i="23"/>
  <c r="AU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AT12" i="23"/>
  <c r="AU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AT13" i="23"/>
  <c r="AU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AT14" i="23"/>
  <c r="AU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AT15" i="23"/>
  <c r="AU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AT16" i="23"/>
  <c r="AU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Q19" i="23"/>
  <c r="AR19" i="23"/>
  <c r="AS19" i="23"/>
  <c r="AT19" i="23"/>
  <c r="AU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AT20" i="23"/>
  <c r="AU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AT21" i="23"/>
  <c r="AU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AT22" i="23"/>
  <c r="AU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AT23" i="23"/>
  <c r="AU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AT24" i="23"/>
  <c r="AU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AT27" i="23"/>
  <c r="AU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AT28" i="23"/>
  <c r="AU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AT29" i="23"/>
  <c r="AU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AN32" i="23"/>
  <c r="AO32" i="23"/>
  <c r="AP32" i="23"/>
  <c r="AQ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AT34" i="23"/>
  <c r="AU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AT35" i="23"/>
  <c r="AU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AN36" i="23"/>
  <c r="AO36" i="23"/>
  <c r="AP36" i="23"/>
  <c r="AQ36" i="23"/>
  <c r="AR36" i="23"/>
  <c r="AS36" i="23"/>
  <c r="AT36" i="23"/>
  <c r="AU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AN40" i="23"/>
  <c r="AO40" i="23"/>
  <c r="AP40" i="23"/>
  <c r="AQ40" i="23"/>
  <c r="AR40" i="23"/>
  <c r="AS40" i="23"/>
  <c r="AT40" i="23"/>
  <c r="AU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AR41" i="23"/>
  <c r="AS41" i="23"/>
  <c r="AT41" i="23"/>
  <c r="AU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AN42" i="23"/>
  <c r="AO42" i="23"/>
  <c r="AP42" i="23"/>
  <c r="AQ42" i="23"/>
  <c r="AR42" i="23"/>
  <c r="AS42" i="23"/>
  <c r="AT42" i="23"/>
  <c r="AU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AN43" i="23"/>
  <c r="AO43" i="23"/>
  <c r="AP43" i="23"/>
  <c r="AQ43" i="23"/>
  <c r="AR43" i="23"/>
  <c r="AS43" i="23"/>
  <c r="AT43" i="23"/>
  <c r="AU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AT45" i="23"/>
  <c r="AU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AT47" i="23"/>
  <c r="AU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D50" i="23"/>
  <c r="E50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AT51" i="23"/>
  <c r="AU51" i="23"/>
  <c r="D52" i="23"/>
  <c r="E52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AT54" i="23"/>
  <c r="AU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AT55" i="23"/>
  <c r="AU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AT56" i="23"/>
  <c r="AU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AT59" i="23"/>
  <c r="AU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AT60" i="23"/>
  <c r="AU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AT61" i="23"/>
  <c r="AU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AT64" i="23"/>
  <c r="AU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AT65" i="23"/>
  <c r="AU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AT66" i="23"/>
  <c r="AU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AT70" i="23"/>
  <c r="AU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AN71" i="23"/>
  <c r="AO71" i="23"/>
  <c r="AP71" i="23"/>
  <c r="AQ71" i="23"/>
  <c r="AR71" i="23"/>
  <c r="AS71" i="23"/>
  <c r="AT71" i="23"/>
  <c r="AU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AT72" i="23"/>
  <c r="AU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AT73" i="23"/>
  <c r="AU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AT74" i="23"/>
  <c r="AU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AT75" i="23"/>
  <c r="AU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AT76" i="23"/>
  <c r="AU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AT77" i="23"/>
  <c r="AU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AT78" i="23"/>
  <c r="AU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AT79" i="23"/>
  <c r="AU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AT80" i="23"/>
  <c r="AU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AT81" i="23"/>
  <c r="AU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N82" i="23"/>
  <c r="AO82" i="23"/>
  <c r="AP82" i="23"/>
  <c r="AQ82" i="23"/>
  <c r="AR82" i="23"/>
  <c r="AS82" i="23"/>
  <c r="AT82" i="23"/>
  <c r="AU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L8" i="30"/>
  <c r="N8" i="30"/>
  <c r="P8" i="30"/>
  <c r="R8" i="30"/>
  <c r="T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AT24" i="30"/>
  <c r="AU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AT29" i="30"/>
  <c r="AU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AT36" i="30"/>
  <c r="AU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AL42" i="30"/>
  <c r="AM42" i="30"/>
  <c r="AN42" i="30"/>
  <c r="AO42" i="30"/>
  <c r="AP42" i="30"/>
  <c r="AQ42" i="30"/>
  <c r="AR42" i="30"/>
  <c r="AS42" i="30"/>
  <c r="AT42" i="30"/>
  <c r="AU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AL43" i="30"/>
  <c r="AM43" i="30"/>
  <c r="AN43" i="30"/>
  <c r="AO43" i="30"/>
  <c r="AP43" i="30"/>
  <c r="AQ43" i="30"/>
  <c r="AR43" i="30"/>
  <c r="AS43" i="30"/>
  <c r="AT43" i="30"/>
  <c r="AU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0" i="30"/>
  <c r="E50" i="30"/>
  <c r="D51" i="30"/>
  <c r="E51" i="30"/>
  <c r="F51" i="30"/>
  <c r="G51" i="30"/>
  <c r="D52" i="30"/>
  <c r="E52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AT56" i="30"/>
  <c r="AU56" i="30"/>
  <c r="D59" i="30"/>
  <c r="E59" i="30"/>
  <c r="F59" i="30"/>
  <c r="G59" i="30"/>
  <c r="D60" i="30"/>
  <c r="E60" i="30"/>
  <c r="F60" i="30"/>
  <c r="G60" i="30"/>
  <c r="O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AT61" i="30"/>
  <c r="AU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AT66" i="30"/>
  <c r="AU66" i="30"/>
  <c r="D70" i="30"/>
  <c r="E70" i="30"/>
  <c r="F70" i="30"/>
  <c r="G70" i="30"/>
  <c r="Y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AR72" i="30"/>
  <c r="AS72" i="30"/>
  <c r="AT72" i="30"/>
  <c r="AU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O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AA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AL82" i="30"/>
  <c r="AM82" i="30"/>
  <c r="AN82" i="30"/>
  <c r="AO82" i="30"/>
  <c r="AP82" i="30"/>
  <c r="AQ82" i="30"/>
  <c r="AR82" i="30"/>
  <c r="AS82" i="30"/>
  <c r="AT82" i="30"/>
  <c r="AU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G70" i="7"/>
  <c r="I70" i="7"/>
  <c r="S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E84" i="7"/>
  <c r="D86" i="7"/>
  <c r="E86" i="7"/>
  <c r="D87" i="7"/>
  <c r="E87" i="7"/>
  <c r="S87" i="7"/>
  <c r="T87" i="7"/>
  <c r="D88" i="7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M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L8" i="27"/>
  <c r="N8" i="27"/>
  <c r="P8" i="27"/>
  <c r="R8" i="27"/>
  <c r="T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AN11" i="27"/>
  <c r="AO11" i="27"/>
  <c r="AP11" i="27"/>
  <c r="AQ11" i="27"/>
  <c r="AR11" i="27"/>
  <c r="AS11" i="27"/>
  <c r="AT11" i="27"/>
  <c r="AU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AN12" i="27"/>
  <c r="AO12" i="27"/>
  <c r="AP12" i="27"/>
  <c r="AQ12" i="27"/>
  <c r="AR12" i="27"/>
  <c r="AS12" i="27"/>
  <c r="AT12" i="27"/>
  <c r="AU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AN13" i="27"/>
  <c r="AO13" i="27"/>
  <c r="AP13" i="27"/>
  <c r="AQ13" i="27"/>
  <c r="AR13" i="27"/>
  <c r="AS13" i="27"/>
  <c r="AT13" i="27"/>
  <c r="AU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AN14" i="27"/>
  <c r="AO14" i="27"/>
  <c r="AP14" i="27"/>
  <c r="AQ14" i="27"/>
  <c r="AR14" i="27"/>
  <c r="AS14" i="27"/>
  <c r="AT14" i="27"/>
  <c r="AU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AT15" i="27"/>
  <c r="AU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AN16" i="27"/>
  <c r="AO16" i="27"/>
  <c r="AP16" i="27"/>
  <c r="AQ16" i="27"/>
  <c r="AR16" i="27"/>
  <c r="AS16" i="27"/>
  <c r="AT16" i="27"/>
  <c r="AU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AN19" i="27"/>
  <c r="AO19" i="27"/>
  <c r="AP19" i="27"/>
  <c r="AQ19" i="27"/>
  <c r="AR19" i="27"/>
  <c r="AS19" i="27"/>
  <c r="AT19" i="27"/>
  <c r="AU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AM20" i="27"/>
  <c r="AN20" i="27"/>
  <c r="AO20" i="27"/>
  <c r="AP20" i="27"/>
  <c r="AQ20" i="27"/>
  <c r="AR20" i="27"/>
  <c r="AS20" i="27"/>
  <c r="AT20" i="27"/>
  <c r="AU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AR21" i="27"/>
  <c r="AS21" i="27"/>
  <c r="AT21" i="27"/>
  <c r="AU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AR22" i="27"/>
  <c r="AS22" i="27"/>
  <c r="AT22" i="27"/>
  <c r="AU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AM23" i="27"/>
  <c r="AN23" i="27"/>
  <c r="AO23" i="27"/>
  <c r="AP23" i="27"/>
  <c r="AQ23" i="27"/>
  <c r="AR23" i="27"/>
  <c r="AS23" i="27"/>
  <c r="AT23" i="27"/>
  <c r="AU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AR24" i="27"/>
  <c r="AS24" i="27"/>
  <c r="AT24" i="27"/>
  <c r="AU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AM27" i="27"/>
  <c r="AN27" i="27"/>
  <c r="AO27" i="27"/>
  <c r="AP27" i="27"/>
  <c r="AQ27" i="27"/>
  <c r="AR27" i="27"/>
  <c r="AS27" i="27"/>
  <c r="AT27" i="27"/>
  <c r="AU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AM28" i="27"/>
  <c r="AN28" i="27"/>
  <c r="AO28" i="27"/>
  <c r="AP28" i="27"/>
  <c r="AQ28" i="27"/>
  <c r="AR28" i="27"/>
  <c r="AS28" i="27"/>
  <c r="AT28" i="27"/>
  <c r="AU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AM29" i="27"/>
  <c r="AN29" i="27"/>
  <c r="AO29" i="27"/>
  <c r="AP29" i="27"/>
  <c r="AQ29" i="27"/>
  <c r="AR29" i="27"/>
  <c r="AS29" i="27"/>
  <c r="AT29" i="27"/>
  <c r="AU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AM32" i="27"/>
  <c r="AN32" i="27"/>
  <c r="AO32" i="27"/>
  <c r="AP32" i="27"/>
  <c r="AQ32" i="27"/>
  <c r="AR32" i="27"/>
  <c r="AS32" i="27"/>
  <c r="AT32" i="27"/>
  <c r="AU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AM33" i="27"/>
  <c r="AN33" i="27"/>
  <c r="AO33" i="27"/>
  <c r="AP33" i="27"/>
  <c r="AQ33" i="27"/>
  <c r="AR33" i="27"/>
  <c r="AS33" i="27"/>
  <c r="AT33" i="27"/>
  <c r="AU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AN34" i="27"/>
  <c r="AO34" i="27"/>
  <c r="AP34" i="27"/>
  <c r="AQ34" i="27"/>
  <c r="AR34" i="27"/>
  <c r="AS34" i="27"/>
  <c r="AT34" i="27"/>
  <c r="AU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AM35" i="27"/>
  <c r="AN35" i="27"/>
  <c r="AO35" i="27"/>
  <c r="AP35" i="27"/>
  <c r="AQ35" i="27"/>
  <c r="AR35" i="27"/>
  <c r="AS35" i="27"/>
  <c r="AT35" i="27"/>
  <c r="AU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AL36" i="27"/>
  <c r="AM36" i="27"/>
  <c r="AN36" i="27"/>
  <c r="AO36" i="27"/>
  <c r="AP36" i="27"/>
  <c r="AQ36" i="27"/>
  <c r="AR36" i="27"/>
  <c r="AS36" i="27"/>
  <c r="AT36" i="27"/>
  <c r="AU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AN40" i="27"/>
  <c r="AO40" i="27"/>
  <c r="AP40" i="27"/>
  <c r="AQ40" i="27"/>
  <c r="AR40" i="27"/>
  <c r="AS40" i="27"/>
  <c r="AT40" i="27"/>
  <c r="AU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AL41" i="27"/>
  <c r="AM41" i="27"/>
  <c r="AN41" i="27"/>
  <c r="AO41" i="27"/>
  <c r="AP41" i="27"/>
  <c r="AQ41" i="27"/>
  <c r="AR41" i="27"/>
  <c r="AS41" i="27"/>
  <c r="AT41" i="27"/>
  <c r="AU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AL42" i="27"/>
  <c r="AM42" i="27"/>
  <c r="AN42" i="27"/>
  <c r="AO42" i="27"/>
  <c r="AP42" i="27"/>
  <c r="AQ42" i="27"/>
  <c r="AR42" i="27"/>
  <c r="AS42" i="27"/>
  <c r="AT42" i="27"/>
  <c r="AU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AN43" i="27"/>
  <c r="AO43" i="27"/>
  <c r="AP43" i="27"/>
  <c r="AQ43" i="27"/>
  <c r="AR43" i="27"/>
  <c r="AS43" i="27"/>
  <c r="AT43" i="27"/>
  <c r="AU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AN45" i="27"/>
  <c r="AO45" i="27"/>
  <c r="AP45" i="27"/>
  <c r="AQ45" i="27"/>
  <c r="AR45" i="27"/>
  <c r="AS45" i="27"/>
  <c r="AT45" i="27"/>
  <c r="AU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AN47" i="27"/>
  <c r="AO47" i="27"/>
  <c r="AP47" i="27"/>
  <c r="AQ47" i="27"/>
  <c r="AR47" i="27"/>
  <c r="AS47" i="27"/>
  <c r="AT47" i="27"/>
  <c r="AU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AL49" i="27"/>
  <c r="AM49" i="27"/>
  <c r="AN49" i="27"/>
  <c r="AO49" i="27"/>
  <c r="AP49" i="27"/>
  <c r="AQ49" i="27"/>
  <c r="AR49" i="27"/>
  <c r="AS49" i="27"/>
  <c r="AT49" i="27"/>
  <c r="AU49" i="27"/>
  <c r="D50" i="27"/>
  <c r="E50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AL51" i="27"/>
  <c r="AM51" i="27"/>
  <c r="AN51" i="27"/>
  <c r="AO51" i="27"/>
  <c r="AP51" i="27"/>
  <c r="AQ51" i="27"/>
  <c r="AR51" i="27"/>
  <c r="AS51" i="27"/>
  <c r="AT51" i="27"/>
  <c r="AU51" i="27"/>
  <c r="D52" i="27"/>
  <c r="E52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AN54" i="27"/>
  <c r="AO54" i="27"/>
  <c r="AP54" i="27"/>
  <c r="AQ54" i="27"/>
  <c r="AR54" i="27"/>
  <c r="AS54" i="27"/>
  <c r="AT54" i="27"/>
  <c r="AU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AN55" i="27"/>
  <c r="AO55" i="27"/>
  <c r="AP55" i="27"/>
  <c r="AQ55" i="27"/>
  <c r="AR55" i="27"/>
  <c r="AS55" i="27"/>
  <c r="AT55" i="27"/>
  <c r="AU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AN56" i="27"/>
  <c r="AO56" i="27"/>
  <c r="AP56" i="27"/>
  <c r="AQ56" i="27"/>
  <c r="AR56" i="27"/>
  <c r="AS56" i="27"/>
  <c r="AT56" i="27"/>
  <c r="AU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AL59" i="27"/>
  <c r="AM59" i="27"/>
  <c r="AN59" i="27"/>
  <c r="AO59" i="27"/>
  <c r="AP59" i="27"/>
  <c r="AQ59" i="27"/>
  <c r="AR59" i="27"/>
  <c r="AS59" i="27"/>
  <c r="AT59" i="27"/>
  <c r="AU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AN60" i="27"/>
  <c r="AO60" i="27"/>
  <c r="AP60" i="27"/>
  <c r="AQ60" i="27"/>
  <c r="AR60" i="27"/>
  <c r="AS60" i="27"/>
  <c r="AT60" i="27"/>
  <c r="AU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AN61" i="27"/>
  <c r="AO61" i="27"/>
  <c r="AP61" i="27"/>
  <c r="AQ61" i="27"/>
  <c r="AR61" i="27"/>
  <c r="AS61" i="27"/>
  <c r="AT61" i="27"/>
  <c r="AU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AL64" i="27"/>
  <c r="AM64" i="27"/>
  <c r="AN64" i="27"/>
  <c r="AO64" i="27"/>
  <c r="AP64" i="27"/>
  <c r="AQ64" i="27"/>
  <c r="AR64" i="27"/>
  <c r="AS64" i="27"/>
  <c r="AT64" i="27"/>
  <c r="AU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AN65" i="27"/>
  <c r="AO65" i="27"/>
  <c r="AP65" i="27"/>
  <c r="AQ65" i="27"/>
  <c r="AR65" i="27"/>
  <c r="AS65" i="27"/>
  <c r="AT65" i="27"/>
  <c r="AU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AL66" i="27"/>
  <c r="AM66" i="27"/>
  <c r="AN66" i="27"/>
  <c r="AO66" i="27"/>
  <c r="AP66" i="27"/>
  <c r="AQ66" i="27"/>
  <c r="AR66" i="27"/>
  <c r="AS66" i="27"/>
  <c r="AT66" i="27"/>
  <c r="AU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AN70" i="27"/>
  <c r="AO70" i="27"/>
  <c r="AP70" i="27"/>
  <c r="AQ70" i="27"/>
  <c r="AR70" i="27"/>
  <c r="AS70" i="27"/>
  <c r="AT70" i="27"/>
  <c r="AU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AL71" i="27"/>
  <c r="AM71" i="27"/>
  <c r="AN71" i="27"/>
  <c r="AO71" i="27"/>
  <c r="AP71" i="27"/>
  <c r="AQ71" i="27"/>
  <c r="AR71" i="27"/>
  <c r="AS71" i="27"/>
  <c r="AT71" i="27"/>
  <c r="AU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AL72" i="27"/>
  <c r="AM72" i="27"/>
  <c r="AN72" i="27"/>
  <c r="AO72" i="27"/>
  <c r="AP72" i="27"/>
  <c r="AQ72" i="27"/>
  <c r="AR72" i="27"/>
  <c r="AS72" i="27"/>
  <c r="AT72" i="27"/>
  <c r="AU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AN73" i="27"/>
  <c r="AO73" i="27"/>
  <c r="AP73" i="27"/>
  <c r="AQ73" i="27"/>
  <c r="AR73" i="27"/>
  <c r="AS73" i="27"/>
  <c r="AT73" i="27"/>
  <c r="AU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AN74" i="27"/>
  <c r="AO74" i="27"/>
  <c r="AP74" i="27"/>
  <c r="AQ74" i="27"/>
  <c r="AR74" i="27"/>
  <c r="AS74" i="27"/>
  <c r="AT74" i="27"/>
  <c r="AU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AN75" i="27"/>
  <c r="AO75" i="27"/>
  <c r="AP75" i="27"/>
  <c r="AQ75" i="27"/>
  <c r="AR75" i="27"/>
  <c r="AS75" i="27"/>
  <c r="AT75" i="27"/>
  <c r="AU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AN76" i="27"/>
  <c r="AO76" i="27"/>
  <c r="AP76" i="27"/>
  <c r="AQ76" i="27"/>
  <c r="AR76" i="27"/>
  <c r="AS76" i="27"/>
  <c r="AT76" i="27"/>
  <c r="AU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AN77" i="27"/>
  <c r="AO77" i="27"/>
  <c r="AP77" i="27"/>
  <c r="AQ77" i="27"/>
  <c r="AR77" i="27"/>
  <c r="AS77" i="27"/>
  <c r="AT77" i="27"/>
  <c r="AU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AN78" i="27"/>
  <c r="AO78" i="27"/>
  <c r="AP78" i="27"/>
  <c r="AQ78" i="27"/>
  <c r="AR78" i="27"/>
  <c r="AS78" i="27"/>
  <c r="AT78" i="27"/>
  <c r="AU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AN79" i="27"/>
  <c r="AO79" i="27"/>
  <c r="AP79" i="27"/>
  <c r="AQ79" i="27"/>
  <c r="AR79" i="27"/>
  <c r="AS79" i="27"/>
  <c r="AT79" i="27"/>
  <c r="AU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AL80" i="27"/>
  <c r="AM80" i="27"/>
  <c r="AN80" i="27"/>
  <c r="AO80" i="27"/>
  <c r="AP80" i="27"/>
  <c r="AQ80" i="27"/>
  <c r="AR80" i="27"/>
  <c r="AS80" i="27"/>
  <c r="AT80" i="27"/>
  <c r="AU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AL81" i="27"/>
  <c r="AM81" i="27"/>
  <c r="AN81" i="27"/>
  <c r="AO81" i="27"/>
  <c r="AP81" i="27"/>
  <c r="AQ81" i="27"/>
  <c r="AR81" i="27"/>
  <c r="AS81" i="27"/>
  <c r="AT81" i="27"/>
  <c r="AU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N82" i="27"/>
  <c r="AO82" i="27"/>
  <c r="AP82" i="27"/>
  <c r="AQ82" i="27"/>
  <c r="AR82" i="27"/>
  <c r="AS82" i="27"/>
  <c r="AT82" i="27"/>
  <c r="AU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AL86" i="27"/>
  <c r="AM86" i="27"/>
  <c r="AN86" i="27"/>
  <c r="AO86" i="27"/>
  <c r="AP86" i="27"/>
  <c r="AQ86" i="27"/>
  <c r="AR86" i="27"/>
  <c r="AS86" i="27"/>
  <c r="AT86" i="27"/>
  <c r="AU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AR87" i="27"/>
  <c r="AS87" i="27"/>
  <c r="AT87" i="27"/>
  <c r="AU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AR88" i="27"/>
  <c r="AS88" i="27"/>
  <c r="AT88" i="27"/>
  <c r="AU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AL89" i="27"/>
  <c r="AM89" i="27"/>
  <c r="AN89" i="27"/>
  <c r="AO89" i="27"/>
  <c r="AP89" i="27"/>
  <c r="AQ89" i="27"/>
  <c r="AR89" i="27"/>
  <c r="AS89" i="27"/>
  <c r="AT89" i="27"/>
  <c r="AU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L91" i="27"/>
  <c r="AM91" i="27"/>
  <c r="AN91" i="27"/>
  <c r="AO91" i="27"/>
  <c r="AP91" i="27"/>
  <c r="AQ91" i="27"/>
  <c r="AR91" i="27"/>
  <c r="AS91" i="27"/>
  <c r="AT91" i="27"/>
  <c r="AU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K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K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L8" i="25"/>
  <c r="N8" i="25"/>
  <c r="P8" i="25"/>
  <c r="R8" i="25"/>
  <c r="T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AU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AT12" i="25"/>
  <c r="AU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AT13" i="25"/>
  <c r="AU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AT14" i="25"/>
  <c r="AU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AT15" i="25"/>
  <c r="AU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AT16" i="25"/>
  <c r="AU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O19" i="25"/>
  <c r="AR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F20" i="25"/>
  <c r="AH20" i="25"/>
  <c r="AJ20" i="25"/>
  <c r="AL20" i="25"/>
  <c r="AN20" i="25"/>
  <c r="AP20" i="25"/>
  <c r="AR20" i="25"/>
  <c r="AT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AT21" i="25"/>
  <c r="AU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AT22" i="25"/>
  <c r="AU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AT23" i="25"/>
  <c r="AU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AN24" i="25"/>
  <c r="AO24" i="25"/>
  <c r="AP24" i="25"/>
  <c r="AQ24" i="25"/>
  <c r="AR24" i="25"/>
  <c r="AS24" i="25"/>
  <c r="AT24" i="25"/>
  <c r="AU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AN27" i="25"/>
  <c r="AO27" i="25"/>
  <c r="AP27" i="25"/>
  <c r="AQ27" i="25"/>
  <c r="AR27" i="25"/>
  <c r="AT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AN28" i="25"/>
  <c r="AO28" i="25"/>
  <c r="AP28" i="25"/>
  <c r="AQ28" i="25"/>
  <c r="AR28" i="25"/>
  <c r="AT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AN29" i="25"/>
  <c r="AO29" i="25"/>
  <c r="AP29" i="25"/>
  <c r="AQ29" i="25"/>
  <c r="AR29" i="25"/>
  <c r="AS29" i="25"/>
  <c r="AT29" i="25"/>
  <c r="AU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AN32" i="25"/>
  <c r="AO32" i="25"/>
  <c r="AP32" i="25"/>
  <c r="AQ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S33" i="25"/>
  <c r="AT33" i="25"/>
  <c r="AU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S34" i="25"/>
  <c r="AT34" i="25"/>
  <c r="AU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AT35" i="25"/>
  <c r="AU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S36" i="25"/>
  <c r="AT36" i="25"/>
  <c r="AU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AN40" i="25"/>
  <c r="AO40" i="25"/>
  <c r="AP40" i="25"/>
  <c r="AQ40" i="25"/>
  <c r="AR40" i="25"/>
  <c r="AS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AN41" i="25"/>
  <c r="AO41" i="25"/>
  <c r="AP41" i="25"/>
  <c r="AQ41" i="25"/>
  <c r="AR41" i="25"/>
  <c r="AS41" i="25"/>
  <c r="AT41" i="25"/>
  <c r="AU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AT42" i="25"/>
  <c r="AU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AT43" i="25"/>
  <c r="AU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AT45" i="25"/>
  <c r="AU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AT47" i="25"/>
  <c r="AU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AN49" i="25"/>
  <c r="AO49" i="25"/>
  <c r="AP49" i="25"/>
  <c r="AQ49" i="25"/>
  <c r="D50" i="25"/>
  <c r="E50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AN51" i="25"/>
  <c r="AO51" i="25"/>
  <c r="AP51" i="25"/>
  <c r="AQ51" i="25"/>
  <c r="AR51" i="25"/>
  <c r="AS51" i="25"/>
  <c r="D52" i="25"/>
  <c r="E52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L54" i="25"/>
  <c r="AM54" i="25"/>
  <c r="AN54" i="25"/>
  <c r="AO54" i="25"/>
  <c r="AP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L55" i="25"/>
  <c r="AM55" i="25"/>
  <c r="AN55" i="25"/>
  <c r="AO55" i="25"/>
  <c r="AP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AR56" i="25"/>
  <c r="AS56" i="25"/>
  <c r="AT56" i="25"/>
  <c r="AU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AL59" i="25"/>
  <c r="AM59" i="25"/>
  <c r="AN59" i="25"/>
  <c r="AO59" i="25"/>
  <c r="AP59" i="25"/>
  <c r="AQ59" i="25"/>
  <c r="AR59" i="25"/>
  <c r="AS59" i="25"/>
  <c r="AT59" i="25"/>
  <c r="AU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AL60" i="25"/>
  <c r="AM60" i="25"/>
  <c r="AN60" i="25"/>
  <c r="AO60" i="25"/>
  <c r="AP60" i="25"/>
  <c r="AQ60" i="25"/>
  <c r="AR60" i="25"/>
  <c r="AS60" i="25"/>
  <c r="AT60" i="25"/>
  <c r="AU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AN61" i="25"/>
  <c r="AO61" i="25"/>
  <c r="AP61" i="25"/>
  <c r="AQ61" i="25"/>
  <c r="AR61" i="25"/>
  <c r="AS61" i="25"/>
  <c r="AT61" i="25"/>
  <c r="AU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AN64" i="25"/>
  <c r="AO64" i="25"/>
  <c r="AP64" i="25"/>
  <c r="AQ64" i="25"/>
  <c r="AR64" i="25"/>
  <c r="AS64" i="25"/>
  <c r="AT64" i="25"/>
  <c r="AU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AL65" i="25"/>
  <c r="AM65" i="25"/>
  <c r="AN65" i="25"/>
  <c r="AO65" i="25"/>
  <c r="AP65" i="25"/>
  <c r="AQ65" i="25"/>
  <c r="AR65" i="25"/>
  <c r="AS65" i="25"/>
  <c r="AT65" i="25"/>
  <c r="AU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AN66" i="25"/>
  <c r="AO66" i="25"/>
  <c r="AP66" i="25"/>
  <c r="AQ66" i="25"/>
  <c r="AR66" i="25"/>
  <c r="AS66" i="25"/>
  <c r="AT66" i="25"/>
  <c r="AU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AN70" i="25"/>
  <c r="AO70" i="25"/>
  <c r="AP70" i="25"/>
  <c r="AQ70" i="25"/>
  <c r="AR70" i="25"/>
  <c r="AS70" i="25"/>
  <c r="AT70" i="25"/>
  <c r="AU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AN71" i="25"/>
  <c r="AO71" i="25"/>
  <c r="AP71" i="25"/>
  <c r="AQ71" i="25"/>
  <c r="AR71" i="25"/>
  <c r="AS71" i="25"/>
  <c r="AT71" i="25"/>
  <c r="AU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AN72" i="25"/>
  <c r="AO72" i="25"/>
  <c r="AP72" i="25"/>
  <c r="AQ72" i="25"/>
  <c r="AR72" i="25"/>
  <c r="AS72" i="25"/>
  <c r="AT72" i="25"/>
  <c r="AU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AN73" i="25"/>
  <c r="AO73" i="25"/>
  <c r="AP73" i="25"/>
  <c r="AQ73" i="25"/>
  <c r="AR73" i="25"/>
  <c r="AS73" i="25"/>
  <c r="AT73" i="25"/>
  <c r="AU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AL74" i="25"/>
  <c r="AM74" i="25"/>
  <c r="AN74" i="25"/>
  <c r="AO74" i="25"/>
  <c r="AP74" i="25"/>
  <c r="AQ74" i="25"/>
  <c r="AR74" i="25"/>
  <c r="AS74" i="25"/>
  <c r="AT74" i="25"/>
  <c r="AU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AN75" i="25"/>
  <c r="AO75" i="25"/>
  <c r="AP75" i="25"/>
  <c r="AQ75" i="25"/>
  <c r="AR75" i="25"/>
  <c r="AS75" i="25"/>
  <c r="AT75" i="25"/>
  <c r="AU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L76" i="25"/>
  <c r="AM76" i="25"/>
  <c r="AN76" i="25"/>
  <c r="AO76" i="25"/>
  <c r="AP76" i="25"/>
  <c r="AQ76" i="25"/>
  <c r="AR76" i="25"/>
  <c r="AS76" i="25"/>
  <c r="AT76" i="25"/>
  <c r="AU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AL77" i="25"/>
  <c r="AM77" i="25"/>
  <c r="AN77" i="25"/>
  <c r="AO77" i="25"/>
  <c r="AP77" i="25"/>
  <c r="AQ77" i="25"/>
  <c r="AR77" i="25"/>
  <c r="AS77" i="25"/>
  <c r="AT77" i="25"/>
  <c r="AU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R78" i="25"/>
  <c r="AS78" i="25"/>
  <c r="AT78" i="25"/>
  <c r="AU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AL79" i="25"/>
  <c r="AM79" i="25"/>
  <c r="AN79" i="25"/>
  <c r="AO79" i="25"/>
  <c r="AP79" i="25"/>
  <c r="AQ79" i="25"/>
  <c r="AR79" i="25"/>
  <c r="AS79" i="25"/>
  <c r="AT79" i="25"/>
  <c r="AU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AL80" i="25"/>
  <c r="AM80" i="25"/>
  <c r="AN80" i="25"/>
  <c r="AO80" i="25"/>
  <c r="AP80" i="25"/>
  <c r="AQ80" i="25"/>
  <c r="AR80" i="25"/>
  <c r="AS80" i="25"/>
  <c r="AT80" i="25"/>
  <c r="AU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AL81" i="25"/>
  <c r="AM81" i="25"/>
  <c r="AN81" i="25"/>
  <c r="AO81" i="25"/>
  <c r="AP81" i="25"/>
  <c r="AQ81" i="25"/>
  <c r="AR81" i="25"/>
  <c r="AS81" i="25"/>
  <c r="AT81" i="25"/>
  <c r="AU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AL82" i="25"/>
  <c r="AM82" i="25"/>
  <c r="AN82" i="25"/>
  <c r="AO82" i="25"/>
  <c r="AP82" i="25"/>
  <c r="AQ82" i="25"/>
  <c r="AR82" i="25"/>
  <c r="AS82" i="25"/>
  <c r="AT82" i="25"/>
  <c r="AU82" i="25"/>
  <c r="K84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AT89" i="25"/>
  <c r="AU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L91" i="25"/>
  <c r="AM91" i="25"/>
  <c r="AN91" i="25"/>
  <c r="AO91" i="25"/>
  <c r="AP91" i="25"/>
  <c r="AQ91" i="25"/>
  <c r="AR91" i="25"/>
  <c r="AS91" i="25"/>
  <c r="AT91" i="25"/>
  <c r="AU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K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K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L8" i="26"/>
  <c r="N8" i="26"/>
  <c r="P8" i="26"/>
  <c r="R8" i="26"/>
  <c r="T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U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AT15" i="26"/>
  <c r="AU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AT16" i="26"/>
  <c r="AU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AT19" i="26"/>
  <c r="AU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AT20" i="26"/>
  <c r="AU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AT21" i="26"/>
  <c r="AU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AT22" i="26"/>
  <c r="AU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U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U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AT27" i="26"/>
  <c r="AU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AT28" i="26"/>
  <c r="AU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AT29" i="26"/>
  <c r="AU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AT33" i="26"/>
  <c r="AU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AT34" i="26"/>
  <c r="AU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AT35" i="26"/>
  <c r="AU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AT36" i="26"/>
  <c r="AU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U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AT41" i="26"/>
  <c r="AU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AT42" i="26"/>
  <c r="AU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AT43" i="26"/>
  <c r="AU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AT45" i="26"/>
  <c r="AU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U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AR49" i="26"/>
  <c r="AS49" i="26"/>
  <c r="AT49" i="26"/>
  <c r="AU49" i="26"/>
  <c r="D50" i="26"/>
  <c r="E50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D52" i="26"/>
  <c r="E52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U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U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U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AT59" i="26"/>
  <c r="AU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AR60" i="26"/>
  <c r="AS60" i="26"/>
  <c r="AT60" i="26"/>
  <c r="AU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AT61" i="26"/>
  <c r="AU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AT64" i="26"/>
  <c r="AU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AT65" i="26"/>
  <c r="AU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AL66" i="26"/>
  <c r="AM66" i="26"/>
  <c r="AN66" i="26"/>
  <c r="AO66" i="26"/>
  <c r="AP66" i="26"/>
  <c r="AQ66" i="26"/>
  <c r="AR66" i="26"/>
  <c r="AS66" i="26"/>
  <c r="AT66" i="26"/>
  <c r="AU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AT70" i="26"/>
  <c r="AU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AT71" i="26"/>
  <c r="AU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AT72" i="26"/>
  <c r="AU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AT73" i="26"/>
  <c r="AU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AR74" i="26"/>
  <c r="AS74" i="26"/>
  <c r="AT74" i="26"/>
  <c r="AU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AR75" i="26"/>
  <c r="AS75" i="26"/>
  <c r="AT75" i="26"/>
  <c r="AU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AR76" i="26"/>
  <c r="AS76" i="26"/>
  <c r="AT76" i="26"/>
  <c r="AU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AT77" i="26"/>
  <c r="AU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AR78" i="26"/>
  <c r="AS78" i="26"/>
  <c r="AT78" i="26"/>
  <c r="AU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AT79" i="26"/>
  <c r="AU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Q80" i="26"/>
  <c r="AR80" i="26"/>
  <c r="AS80" i="26"/>
  <c r="AT80" i="26"/>
  <c r="AU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AR81" i="26"/>
  <c r="AS81" i="26"/>
  <c r="AT81" i="26"/>
  <c r="AU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AL82" i="26"/>
  <c r="AM82" i="26"/>
  <c r="AN82" i="26"/>
  <c r="AO82" i="26"/>
  <c r="AP82" i="26"/>
  <c r="AQ82" i="26"/>
  <c r="AR82" i="26"/>
  <c r="AS82" i="26"/>
  <c r="AT82" i="26"/>
  <c r="AU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AK86" i="26"/>
  <c r="AM86" i="26"/>
  <c r="AO86" i="26"/>
  <c r="AQ86" i="26"/>
  <c r="AS86" i="26"/>
  <c r="AU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AK87" i="26"/>
  <c r="AM87" i="26"/>
  <c r="AO87" i="26"/>
  <c r="AQ87" i="26"/>
  <c r="AS87" i="26"/>
  <c r="AU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AK88" i="26"/>
  <c r="AM88" i="26"/>
  <c r="AO88" i="26"/>
  <c r="AQ88" i="26"/>
  <c r="AS88" i="26"/>
  <c r="AU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AK90" i="26"/>
  <c r="AM90" i="26"/>
  <c r="AO90" i="26"/>
  <c r="AQ90" i="26"/>
  <c r="AS90" i="26"/>
  <c r="AU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AK91" i="26"/>
  <c r="AM91" i="26"/>
  <c r="AO91" i="26"/>
  <c r="AQ91" i="26"/>
  <c r="AS91" i="26"/>
  <c r="AU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L8" i="28"/>
  <c r="N8" i="28"/>
  <c r="P8" i="28"/>
  <c r="R8" i="28"/>
  <c r="T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AP11" i="28"/>
  <c r="AQ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T12" i="28"/>
  <c r="AU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AU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AT14" i="28"/>
  <c r="AU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AT15" i="28"/>
  <c r="AU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AT16" i="28"/>
  <c r="AU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AP19" i="28"/>
  <c r="AQ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F20" i="28"/>
  <c r="AH20" i="28"/>
  <c r="AJ20" i="28"/>
  <c r="AL20" i="28"/>
  <c r="AN20" i="28"/>
  <c r="AP20" i="28"/>
  <c r="AR20" i="28"/>
  <c r="AT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AT21" i="28"/>
  <c r="AU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AT22" i="28"/>
  <c r="AU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AT23" i="28"/>
  <c r="AU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AT24" i="28"/>
  <c r="AU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AT27" i="28"/>
  <c r="AU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AT28" i="28"/>
  <c r="AU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AT29" i="28"/>
  <c r="AU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AT32" i="28"/>
  <c r="AU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AT33" i="28"/>
  <c r="AU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AT36" i="28"/>
  <c r="AU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AT39" i="28"/>
  <c r="AU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AT40" i="28"/>
  <c r="AU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AT41" i="28"/>
  <c r="AU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AT42" i="28"/>
  <c r="AU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AT43" i="28"/>
  <c r="AU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AT45" i="28"/>
  <c r="AU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AT47" i="28"/>
  <c r="AU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AT49" i="28"/>
  <c r="AU49" i="28"/>
  <c r="D50" i="28"/>
  <c r="E50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AT51" i="28"/>
  <c r="AU51" i="28"/>
  <c r="D52" i="28"/>
  <c r="E52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AT54" i="28"/>
  <c r="AU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AT55" i="28"/>
  <c r="AU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AT56" i="28"/>
  <c r="AU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AT59" i="28"/>
  <c r="AU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AT60" i="28"/>
  <c r="AU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AN61" i="28"/>
  <c r="AO61" i="28"/>
  <c r="AP61" i="28"/>
  <c r="AQ61" i="28"/>
  <c r="AR61" i="28"/>
  <c r="AS61" i="28"/>
  <c r="AT61" i="28"/>
  <c r="AU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AR64" i="28"/>
  <c r="AS64" i="28"/>
  <c r="AT64" i="28"/>
  <c r="AU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AT65" i="28"/>
  <c r="AU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AR66" i="28"/>
  <c r="AS66" i="28"/>
  <c r="AT66" i="28"/>
  <c r="AU66" i="28"/>
  <c r="D70" i="28"/>
  <c r="E70" i="28"/>
  <c r="F70" i="28"/>
  <c r="G70" i="28"/>
  <c r="H70" i="28"/>
  <c r="I70" i="28"/>
  <c r="J70" i="28"/>
  <c r="K70" i="28"/>
  <c r="L70" i="28"/>
  <c r="M70" i="28"/>
  <c r="N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AN70" i="28"/>
  <c r="AO70" i="28"/>
  <c r="AP70" i="28"/>
  <c r="AQ70" i="28"/>
  <c r="AR70" i="28"/>
  <c r="AS70" i="28"/>
  <c r="AT70" i="28"/>
  <c r="AU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AR71" i="28"/>
  <c r="AS71" i="28"/>
  <c r="AT71" i="28"/>
  <c r="AU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AN72" i="28"/>
  <c r="AO72" i="28"/>
  <c r="AP72" i="28"/>
  <c r="AQ72" i="28"/>
  <c r="AR72" i="28"/>
  <c r="AS72" i="28"/>
  <c r="AT72" i="28"/>
  <c r="AU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AT73" i="28"/>
  <c r="AU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AT74" i="28"/>
  <c r="AU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AT75" i="28"/>
  <c r="AU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AT76" i="28"/>
  <c r="AU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AT77" i="28"/>
  <c r="AU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AT78" i="28"/>
  <c r="AU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AT79" i="28"/>
  <c r="AU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AT80" i="28"/>
  <c r="AU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AT81" i="28"/>
  <c r="AU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N82" i="28"/>
  <c r="AO82" i="28"/>
  <c r="AP82" i="28"/>
  <c r="AQ82" i="28"/>
  <c r="AR82" i="28"/>
  <c r="AS82" i="28"/>
  <c r="AT82" i="28"/>
  <c r="AU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I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supported by East Summary of Fl. To Act. Var. Page from M. Sanchez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176228 IS ONTARIO MTM THAT WAS RECLASSES TO THAT REGION.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-680000 is weather liquidation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AM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
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O74" authorId="0" shapeId="0">
      <text>
        <r>
          <rPr>
            <b/>
            <sz val="8"/>
            <color indexed="81"/>
            <rFont val="Tahoma"/>
          </rPr>
          <t>jlittle:
MTM, Liq and orig clean-up per p. love</t>
        </r>
      </text>
    </comment>
    <comment ref="Q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April per P. Love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Matrix</t>
        </r>
      </text>
    </commen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 February Matrix, possibly prepay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to March
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O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 reclass from 9901 per P. Love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O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Asset group transfers to Texas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34561 is Acct 4081-700 not in Matrix but booked to GL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transfer with 9903 per cathy d.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AE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O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reclass from asset group.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across production mths resulting from change in COI</t>
        </r>
      </text>
    </comment>
    <comment ref="O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Ad valorem from asset group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</commentList>
</comments>
</file>

<file path=xl/comments11.xml><?xml version="1.0" encoding="utf-8"?>
<comments xmlns="http://schemas.openxmlformats.org/spreadsheetml/2006/main">
  <authors>
    <author>jlittle</author>
  </authors>
  <commentLis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Plug that should be reversed in 9904</t>
        </r>
      </text>
    </comment>
  </commentList>
</comments>
</file>

<file path=xl/comments12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  <comment ref="I648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Contained -50000 from Feb matrix</t>
        </r>
      </text>
    </comment>
  </commentList>
</comments>
</file>

<file path=xl/sharedStrings.xml><?xml version="1.0" encoding="utf-8"?>
<sst xmlns="http://schemas.openxmlformats.org/spreadsheetml/2006/main" count="5378" uniqueCount="209">
  <si>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</si>
  <si>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</si>
  <si>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</si>
  <si>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</si>
  <si>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</si>
  <si>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</si>
  <si>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</si>
  <si>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</si>
  <si>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</si>
  <si>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</si>
  <si>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</si>
  <si>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</si>
  <si>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</si>
  <si>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</si>
  <si>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</si>
  <si>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</si>
  <si>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</si>
  <si>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</si>
  <si>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</si>
  <si>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</si>
  <si>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</si>
  <si>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</si>
  <si>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</si>
  <si>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</si>
  <si>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</si>
  <si>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</si>
  <si>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</si>
  <si>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</si>
  <si>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</si>
  <si>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</si>
  <si>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</si>
  <si>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</si>
  <si>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</si>
  <si>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</si>
  <si>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</si>
  <si>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</si>
  <si>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</si>
  <si>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</si>
  <si>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</si>
  <si>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</si>
  <si>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</si>
  <si>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</si>
  <si>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</si>
  <si>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</si>
  <si>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</si>
  <si>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</si>
  <si>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</si>
  <si>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</si>
  <si>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</si>
  <si>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</si>
  <si>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</si>
  <si>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</si>
  <si>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</si>
  <si>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</si>
  <si>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</si>
  <si>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</si>
  <si>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</si>
  <si>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</si>
  <si>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</si>
  <si>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</si>
  <si>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</si>
  <si>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</si>
  <si>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</si>
  <si>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</si>
  <si>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</si>
  <si>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</si>
  <si>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</si>
  <si>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</si>
  <si>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</si>
  <si>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</si>
  <si>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</si>
  <si>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</si>
  <si>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</si>
  <si>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</si>
  <si>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</si>
  <si>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</si>
  <si>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</si>
  <si>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</si>
  <si>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</si>
  <si>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</si>
  <si>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</si>
  <si>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</si>
  <si>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</si>
  <si>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</si>
  <si>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</si>
  <si>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</si>
  <si>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</si>
  <si>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</si>
  <si>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</si>
  <si>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</si>
  <si>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</si>
  <si>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</si>
  <si>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</si>
  <si>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</si>
  <si>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</si>
  <si>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</si>
  <si>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</si>
  <si>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</si>
  <si>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</si>
  <si>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</si>
  <si>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</si>
  <si>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</si>
  <si>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</si>
  <si>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</si>
  <si>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</si>
  <si>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</si>
  <si>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</si>
  <si>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</si>
  <si>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</si>
  <si>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</si>
  <si>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</si>
  <si>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</si>
  <si>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</si>
  <si>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</si>
  <si>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</si>
  <si>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</si>
  <si>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</si>
  <si>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</si>
  <si>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</si>
  <si>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</si>
  <si>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</si>
  <si>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</si>
  <si>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</si>
  <si>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</si>
  <si>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</si>
  <si>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</si>
  <si>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</si>
  <si>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</si>
  <si>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</si>
  <si>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</si>
  <si>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</si>
  <si>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</si>
  <si>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</si>
  <si>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</si>
  <si>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</si>
  <si>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</si>
  <si>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</si>
  <si>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</si>
  <si>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</si>
  <si>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</si>
  <si>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</si>
  <si>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</si>
  <si>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</si>
  <si>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</si>
  <si>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</si>
  <si>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</si>
  <si>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</si>
  <si>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</si>
  <si>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</si>
  <si>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</si>
  <si>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</si>
  <si>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</si>
  <si>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</si>
  <si>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</si>
  <si>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</si>
  <si>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</si>
  <si>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</si>
  <si>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</si>
  <si>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</si>
  <si>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</si>
  <si>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</si>
  <si>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</si>
  <si>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</si>
  <si>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</si>
  <si>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</si>
  <si>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</si>
  <si>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</si>
  <si>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</si>
  <si>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</si>
  <si>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</si>
  <si>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</si>
  <si>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</si>
  <si>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</si>
  <si>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</si>
  <si>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</si>
  <si>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</si>
  <si>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</si>
  <si>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</si>
  <si>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</si>
  <si>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February</t>
  </si>
  <si>
    <t>Ontario</t>
  </si>
  <si>
    <t>9902V</t>
  </si>
  <si>
    <t>9902A</t>
  </si>
  <si>
    <t>REGION:  ONTARIO</t>
  </si>
  <si>
    <t>March</t>
  </si>
  <si>
    <t>PRODUCTION MONTH: 9902</t>
  </si>
  <si>
    <t>April</t>
  </si>
  <si>
    <t>May</t>
  </si>
  <si>
    <t>FT-Ontario</t>
  </si>
  <si>
    <t>Current Month MTM</t>
  </si>
  <si>
    <t>TOTAL FIRM TRADING</t>
  </si>
  <si>
    <t>TOTAL GL</t>
  </si>
  <si>
    <t>FT-All Regions</t>
  </si>
  <si>
    <t>FT-East</t>
  </si>
  <si>
    <t>TOTAL NGPL</t>
  </si>
  <si>
    <t>FT-South East</t>
  </si>
  <si>
    <t>FT-South Texas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</si>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</sst>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26" fillId="0" borderId="1" xfId="1" applyNumberFormat="1" applyFont="1" applyFill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165" fontId="1" fillId="0" borderId="0" xfId="1" applyNumberFormat="1" applyFont="1" applyBorder="1"/>
    <xf numFmtId="165" fontId="0" fillId="0" borderId="0" xfId="1" applyNumberFormat="1" applyFont="1" applyBorder="1"/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20" fillId="5" borderId="1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3/9903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3437374.7800000012</v>
          </cell>
        </row>
        <row r="42">
          <cell r="C42">
            <v>1212611.9100000015</v>
          </cell>
          <cell r="G42">
            <v>-12076.089999998454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0">
          <cell r="B40">
            <v>128748</v>
          </cell>
          <cell r="C40">
            <v>-783712</v>
          </cell>
          <cell r="D40">
            <v>0</v>
          </cell>
          <cell r="E40">
            <v>0</v>
          </cell>
          <cell r="F40">
            <v>668991</v>
          </cell>
          <cell r="G40">
            <v>0</v>
          </cell>
          <cell r="H40">
            <v>-303651</v>
          </cell>
          <cell r="I40">
            <v>0</v>
          </cell>
          <cell r="J40">
            <v>0</v>
          </cell>
          <cell r="K40">
            <v>0</v>
          </cell>
          <cell r="L40">
            <v>-270169</v>
          </cell>
          <cell r="M40">
            <v>1480113</v>
          </cell>
          <cell r="O40">
            <v>304368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NE-FLSH"/>
      <sheetName val="SE-EGM-FLSH"/>
      <sheetName val="SE-LRC-FLSH"/>
      <sheetName val="SE-CON-FLSH"/>
      <sheetName val="EAST-CON-FLSH"/>
      <sheetName val="TX-EGM-FLSH"/>
      <sheetName val="TX-HPL-FLSH"/>
      <sheetName val="TX-CON-FLSH"/>
      <sheetName val="WE-FLSH"/>
      <sheetName val="STG_FLSH"/>
      <sheetName val="ONT_FLSH"/>
      <sheetName val="BGC_FLSH"/>
      <sheetName val="CE_GL"/>
      <sheetName val="NE_GL"/>
      <sheetName val="SE-EGM-GL"/>
      <sheetName val="SE-LRC-GL"/>
      <sheetName val="SE-CON-GL "/>
      <sheetName val="EAST-CON-GL"/>
      <sheetName val="TX-EGM-GL"/>
      <sheetName val="TX-HPL-GL "/>
      <sheetName val="TX-CON-GL "/>
      <sheetName val="WE-GL "/>
      <sheetName val="BGC_GL"/>
      <sheetName val="STG_GL"/>
      <sheetName val="ONT_GL "/>
      <sheetName val="CE-VAR"/>
      <sheetName val="NE-VAR"/>
      <sheetName val="SE-EGM-VAR"/>
      <sheetName val="SE-LRC-VAR"/>
      <sheetName val="SE-CON-VAR"/>
      <sheetName val="EAST-CON-VAR"/>
      <sheetName val="TX-EGM-VAR"/>
      <sheetName val="TX-HPL-VAR "/>
      <sheetName val="TX-CON-VAR"/>
      <sheetName val="WE-VAR"/>
      <sheetName val="STG_VAR"/>
      <sheetName val="ONT_VAR"/>
      <sheetName val="BGC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6">
          <cell r="L86">
            <v>0</v>
          </cell>
        </row>
        <row r="87">
          <cell r="L87">
            <v>0</v>
          </cell>
        </row>
        <row r="88">
          <cell r="L88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2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topLeftCell="A4" workbookViewId="0">
      <selection activeCell="B12" sqref="B12"/>
    </sheetView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7" zoomScale="75" workbookViewId="0">
      <selection activeCell="B96" sqref="B96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185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6">
        <f>'CE-FLSH'!$M$82</f>
        <v>322839.7495299885</v>
      </c>
      <c r="C11" s="60">
        <f>CE_GL!$E$82</f>
        <v>128748.29999999469</v>
      </c>
      <c r="D11" s="108">
        <f t="shared" ref="D11:D19" si="0">C11-B11</f>
        <v>-194091.44952999381</v>
      </c>
      <c r="E11" s="31"/>
      <c r="F11" s="31">
        <f>CE_GL!G82</f>
        <v>-10838915.51</v>
      </c>
      <c r="G11" s="31"/>
      <c r="H11" s="31"/>
    </row>
    <row r="12" spans="1:8" x14ac:dyDescent="0.25">
      <c r="A12" s="102" t="s">
        <v>15</v>
      </c>
      <c r="B12" s="146">
        <v>0</v>
      </c>
      <c r="C12" s="60">
        <v>0</v>
      </c>
      <c r="D12" s="108">
        <f>C12-B12</f>
        <v>0</v>
      </c>
      <c r="E12" s="31"/>
      <c r="F12" s="31">
        <f>NE_GL!G82</f>
        <v>-12636073.490000002</v>
      </c>
      <c r="G12" s="31"/>
      <c r="H12" s="31"/>
    </row>
    <row r="13" spans="1:8" x14ac:dyDescent="0.25">
      <c r="A13" s="102" t="s">
        <v>171</v>
      </c>
      <c r="B13" s="145">
        <f>'SE-EGM-FLSH'!$M$82+'NE-FLSH'!M82</f>
        <v>1177405.9056469535</v>
      </c>
      <c r="C13" s="60">
        <f>'SE-EGM-GL'!$E$82+NE_GL!E82</f>
        <v>-1231936.1329999436</v>
      </c>
      <c r="D13" s="108">
        <f t="shared" si="0"/>
        <v>-2409342.0386468973</v>
      </c>
      <c r="E13" s="31"/>
      <c r="F13" s="31">
        <f>'SE-EGM-GL'!G82</f>
        <v>0</v>
      </c>
      <c r="G13" s="31"/>
      <c r="H13" s="31"/>
    </row>
    <row r="14" spans="1:8" x14ac:dyDescent="0.25">
      <c r="A14" s="102" t="s">
        <v>172</v>
      </c>
      <c r="B14" s="145">
        <f>'SE-LRC-FLSH'!$M$82</f>
        <v>-2396094.6487551928</v>
      </c>
      <c r="C14" s="60">
        <f>'SE-LRC-GL'!$E$82</f>
        <v>591543.99399999948</v>
      </c>
      <c r="D14" s="108">
        <f t="shared" si="0"/>
        <v>2987638.6427551922</v>
      </c>
      <c r="E14" s="31"/>
      <c r="F14" s="31">
        <f>'SE-LRC-GL'!G82</f>
        <v>-1135706.29</v>
      </c>
      <c r="G14" s="31"/>
      <c r="H14" s="31"/>
    </row>
    <row r="15" spans="1:8" x14ac:dyDescent="0.25">
      <c r="A15" s="102" t="s">
        <v>195</v>
      </c>
      <c r="B15" s="145">
        <f>+'NE-FLSH'!M89</f>
        <v>0</v>
      </c>
      <c r="C15" s="60">
        <f>+NE_GL!E89</f>
        <v>-6906.04</v>
      </c>
      <c r="D15" s="108">
        <f>C15-B15</f>
        <v>-6906.04</v>
      </c>
      <c r="E15" s="31"/>
      <c r="F15" s="31">
        <f>'SE-LRC-GL'!G83</f>
        <v>0</v>
      </c>
      <c r="G15" s="31"/>
      <c r="H15" s="31"/>
    </row>
    <row r="16" spans="1:8" x14ac:dyDescent="0.25">
      <c r="A16" s="102" t="s">
        <v>18</v>
      </c>
      <c r="B16" s="145">
        <f>'TX-EGM-FLSH'!$M$82</f>
        <v>1426789.3441239614</v>
      </c>
      <c r="C16" s="60">
        <f>'TX-EGM-GL'!$E$82</f>
        <v>65406.283999991923</v>
      </c>
      <c r="D16" s="108">
        <f t="shared" si="0"/>
        <v>-1361383.0601239696</v>
      </c>
      <c r="E16" s="31"/>
      <c r="F16" s="31">
        <f>'TX-EGM-GL'!G82</f>
        <v>-10883330.880000001</v>
      </c>
      <c r="G16" s="31"/>
      <c r="H16" s="31"/>
    </row>
    <row r="17" spans="1:8" x14ac:dyDescent="0.25">
      <c r="A17" s="102" t="s">
        <v>19</v>
      </c>
      <c r="B17" s="145">
        <f>'TX-HPL-FLSH'!$M$82</f>
        <v>-1199085.2955339644</v>
      </c>
      <c r="C17" s="60">
        <f>'TX-HPL-GL '!$E$82</f>
        <v>-536554.61180000554</v>
      </c>
      <c r="D17" s="108">
        <f t="shared" si="0"/>
        <v>662530.68373395887</v>
      </c>
      <c r="E17" s="31"/>
      <c r="F17" s="31">
        <f>'TX-HPL-GL '!G82</f>
        <v>-1707952.03</v>
      </c>
      <c r="G17" s="31"/>
      <c r="H17" s="31"/>
    </row>
    <row r="18" spans="1:8" x14ac:dyDescent="0.25">
      <c r="A18" s="102" t="s">
        <v>196</v>
      </c>
      <c r="B18" s="145">
        <f>'TX-EGM-FLSH'!$M$89</f>
        <v>19041</v>
      </c>
      <c r="C18" s="60">
        <f>'TX-EGM-GL'!$E$89</f>
        <v>18997.5</v>
      </c>
      <c r="D18" s="108">
        <f>C18-B18</f>
        <v>-43.5</v>
      </c>
      <c r="E18" s="31"/>
      <c r="F18" s="31">
        <f>'TX-HPL-GL '!G83</f>
        <v>0</v>
      </c>
      <c r="G18" s="31"/>
      <c r="H18" s="31"/>
    </row>
    <row r="19" spans="1:8" x14ac:dyDescent="0.25">
      <c r="A19" s="102" t="s">
        <v>20</v>
      </c>
      <c r="B19" s="145">
        <f>'WE-FLSH'!$M$82</f>
        <v>44566.674363455735</v>
      </c>
      <c r="C19" s="60">
        <f>'WE-GL '!$E$82</f>
        <v>-270168.81600002619</v>
      </c>
      <c r="D19" s="108">
        <f t="shared" si="0"/>
        <v>-314735.49036348192</v>
      </c>
      <c r="E19" s="31"/>
      <c r="F19" s="31">
        <f>'WE-GL '!G82</f>
        <v>1017534.4700000001</v>
      </c>
      <c r="G19" s="31"/>
      <c r="H19" s="31"/>
    </row>
    <row r="20" spans="1:8" x14ac:dyDescent="0.25">
      <c r="A20" s="102" t="s">
        <v>21</v>
      </c>
      <c r="B20" s="145">
        <f>STG_FLSH!$M$82</f>
        <v>164000</v>
      </c>
      <c r="C20" s="60">
        <f>STG_GL!$E$82</f>
        <v>1480112.6600000001</v>
      </c>
      <c r="D20" s="108">
        <f>C20-B20</f>
        <v>1316112.6600000001</v>
      </c>
      <c r="E20" s="31"/>
      <c r="F20" s="31">
        <f>STG_GL!G82</f>
        <v>7037468.6600000001</v>
      </c>
      <c r="G20" s="31"/>
      <c r="H20" s="31"/>
    </row>
    <row r="21" spans="1:8" x14ac:dyDescent="0.25">
      <c r="A21" s="102" t="s">
        <v>180</v>
      </c>
      <c r="B21" s="145">
        <f>ONT_FLSH!$M$82</f>
        <v>176228</v>
      </c>
      <c r="C21" s="60">
        <f>'ONT_GL '!$E$82</f>
        <v>175238</v>
      </c>
      <c r="D21" s="108">
        <f>C21-B21</f>
        <v>-990</v>
      </c>
      <c r="E21" s="31"/>
      <c r="F21" s="31">
        <f>'ONT_GL '!G82</f>
        <v>176228</v>
      </c>
      <c r="G21" s="31"/>
      <c r="H21" s="31"/>
    </row>
    <row r="22" spans="1:8" x14ac:dyDescent="0.25">
      <c r="A22" s="102" t="s">
        <v>188</v>
      </c>
      <c r="B22" s="145">
        <f>ONT_FLSH!$M$89</f>
        <v>129130</v>
      </c>
      <c r="C22" s="60">
        <f>'ONT_GL '!$E$89</f>
        <v>129130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5">
      <c r="A23" s="171" t="s">
        <v>176</v>
      </c>
      <c r="B23" s="145">
        <f>+BGC_FLSH!M82</f>
        <v>79691</v>
      </c>
      <c r="C23" s="60">
        <f>+BGC_GL!E82</f>
        <v>668990.5100000042</v>
      </c>
      <c r="D23" s="108">
        <f>C23-B23</f>
        <v>589299.5100000042</v>
      </c>
      <c r="E23" s="31"/>
      <c r="F23" s="31">
        <f>+BGC_GL!G82</f>
        <v>-113999</v>
      </c>
      <c r="G23" s="31"/>
      <c r="H23" s="31"/>
    </row>
    <row r="24" spans="1:8" ht="21.75" customHeight="1" thickBot="1" x14ac:dyDescent="0.3">
      <c r="A24" s="102" t="s">
        <v>10</v>
      </c>
      <c r="B24" s="61">
        <f>SUM(B11:B23)</f>
        <v>-55488.270624798024</v>
      </c>
      <c r="C24" s="61">
        <f>SUM(C11:C23)</f>
        <v>1212601.6472000151</v>
      </c>
      <c r="D24" s="109">
        <f>SUM(D11:D23)</f>
        <v>1268089.9178248127</v>
      </c>
      <c r="E24" s="31"/>
      <c r="F24" s="61">
        <f>SUM(F11:F23)</f>
        <v>-29084746.070000004</v>
      </c>
      <c r="G24" s="31"/>
      <c r="H24" s="31"/>
    </row>
    <row r="25" spans="1:8" ht="21" customHeight="1" thickBot="1" x14ac:dyDescent="0.3">
      <c r="A25" s="103" t="s">
        <v>23</v>
      </c>
      <c r="B25" s="104">
        <f>TOTAL!$E$82</f>
        <v>-203659.27062478647</v>
      </c>
      <c r="C25" s="104">
        <f>TOTAL!$G$91</f>
        <v>1212601.6472001062</v>
      </c>
      <c r="D25" s="110">
        <f>TOTAL!$I$91</f>
        <v>1268089.917824816</v>
      </c>
      <c r="E25" s="31"/>
      <c r="F25" s="31">
        <f>'TIE-OUT'!E82+RECLASS!E82</f>
        <v>-29084746.07</v>
      </c>
      <c r="G25" s="31"/>
      <c r="H25" s="31"/>
    </row>
    <row r="26" spans="1:8" x14ac:dyDescent="0.25">
      <c r="B26" s="45"/>
      <c r="C26" s="45"/>
      <c r="D26" s="45"/>
      <c r="E26" s="45"/>
      <c r="F26" s="45"/>
      <c r="G26" s="45"/>
      <c r="H26" s="45"/>
    </row>
    <row r="27" spans="1:8" x14ac:dyDescent="0.25">
      <c r="B27" s="45">
        <f>+B24-B25</f>
        <v>148170.99999998845</v>
      </c>
      <c r="C27" s="45">
        <f>+C24-C25</f>
        <v>-9.1036781668663025E-8</v>
      </c>
      <c r="D27" s="45"/>
      <c r="E27" s="45"/>
      <c r="F27" s="45">
        <f>+F24-F25</f>
        <v>0</v>
      </c>
      <c r="G27" s="45"/>
      <c r="H27" s="45"/>
    </row>
    <row r="28" spans="1:8" ht="13.8" thickBot="1" x14ac:dyDescent="0.3"/>
    <row r="29" spans="1:8" ht="18.600000000000001" thickBot="1" x14ac:dyDescent="0.4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5">
      <c r="A30" s="102" t="s">
        <v>14</v>
      </c>
      <c r="B30" s="146">
        <f>+'[2]ST Warroom 99'!$B$40</f>
        <v>128748</v>
      </c>
      <c r="C30" s="178">
        <f>C11</f>
        <v>128748.29999999469</v>
      </c>
      <c r="D30" s="108">
        <f t="shared" ref="D30:D37" si="1">C30-B30</f>
        <v>0.29999999469146132</v>
      </c>
    </row>
    <row r="31" spans="1:8" x14ac:dyDescent="0.25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5">
      <c r="A32" s="102" t="s">
        <v>173</v>
      </c>
      <c r="B32" s="145">
        <f>+'[2]ST Warroom 99'!$C$40+'[2]ST Warroom 99'!$D$40+'[2]ST Warroom 99'!$E$40+'[2]ST Warroom 99'!$G$40</f>
        <v>-783712</v>
      </c>
      <c r="C32" s="178">
        <f>C13+C14+C15</f>
        <v>-647298.17899994412</v>
      </c>
      <c r="D32" s="108">
        <f t="shared" si="1"/>
        <v>136413.82100005588</v>
      </c>
    </row>
    <row r="33" spans="1:4" x14ac:dyDescent="0.25">
      <c r="A33" s="102" t="s">
        <v>167</v>
      </c>
      <c r="B33" s="145">
        <f>+'[2]ST Warroom 99'!$H$40+'[2]ST Warroom 99'!$I$40+'[2]ST Warroom 99'!$J$40+'[2]ST Warroom 99'!$K$40</f>
        <v>-303651</v>
      </c>
      <c r="C33" s="60">
        <f>C16+C17+C18</f>
        <v>-452150.82780001359</v>
      </c>
      <c r="D33" s="108">
        <f t="shared" si="1"/>
        <v>-148499.82780001359</v>
      </c>
    </row>
    <row r="34" spans="1:4" x14ac:dyDescent="0.25">
      <c r="A34" s="102" t="s">
        <v>20</v>
      </c>
      <c r="B34" s="145">
        <f>+'[2]ST Warroom 99'!$L$40</f>
        <v>-270169</v>
      </c>
      <c r="C34" s="178">
        <f>C19</f>
        <v>-270168.81600002619</v>
      </c>
      <c r="D34" s="108">
        <f t="shared" si="1"/>
        <v>0.18399997381493449</v>
      </c>
    </row>
    <row r="35" spans="1:4" x14ac:dyDescent="0.25">
      <c r="A35" s="102" t="s">
        <v>21</v>
      </c>
      <c r="B35" s="145">
        <f>+'[2]ST Warroom 99'!$M$40</f>
        <v>1480113</v>
      </c>
      <c r="C35" s="60">
        <f>C20</f>
        <v>1480112.6600000001</v>
      </c>
      <c r="D35" s="108">
        <f t="shared" si="1"/>
        <v>-0.33999999985098839</v>
      </c>
    </row>
    <row r="36" spans="1:4" x14ac:dyDescent="0.25">
      <c r="A36" s="102" t="s">
        <v>180</v>
      </c>
      <c r="B36" s="145">
        <f>+'[2]ST Warroom 99'!$O$40</f>
        <v>304368</v>
      </c>
      <c r="C36" s="178">
        <f>+C21+C22</f>
        <v>304368</v>
      </c>
      <c r="D36" s="108">
        <f t="shared" si="1"/>
        <v>0</v>
      </c>
    </row>
    <row r="37" spans="1:4" x14ac:dyDescent="0.25">
      <c r="A37" s="171" t="s">
        <v>176</v>
      </c>
      <c r="B37" s="145">
        <f>+'[2]ST Warroom 99'!$F$40</f>
        <v>668991</v>
      </c>
      <c r="C37" s="178">
        <f>C23</f>
        <v>668990.5100000042</v>
      </c>
      <c r="D37" s="108">
        <f t="shared" si="1"/>
        <v>-0.48999999579973519</v>
      </c>
    </row>
    <row r="38" spans="1:4" ht="13.8" thickBot="1" x14ac:dyDescent="0.3">
      <c r="A38" s="102" t="s">
        <v>10</v>
      </c>
      <c r="B38" s="61">
        <f>SUM(B30:B37)</f>
        <v>1224688</v>
      </c>
      <c r="C38" s="61">
        <f>SUM(C30:C37)</f>
        <v>1212601.6472000151</v>
      </c>
      <c r="D38" s="109">
        <f>SUM(D30:D37)</f>
        <v>-12086.352799984859</v>
      </c>
    </row>
    <row r="39" spans="1:4" ht="13.8" thickBot="1" x14ac:dyDescent="0.3">
      <c r="A39" s="103" t="s">
        <v>168</v>
      </c>
      <c r="B39" s="104">
        <f>+B38</f>
        <v>1224688</v>
      </c>
      <c r="C39" s="104">
        <f>TOTAL!$G$91</f>
        <v>1212601.6472001062</v>
      </c>
      <c r="D39" s="110">
        <f>C39-B39</f>
        <v>-12086.352799893823</v>
      </c>
    </row>
    <row r="41" spans="1:4" x14ac:dyDescent="0.25">
      <c r="C41" s="45">
        <f>C39-[1]OAvsACT!$C$42</f>
        <v>-10.262799895368516</v>
      </c>
      <c r="D41" s="163">
        <f>-D39+[1]OAvsACT!$G$42</f>
        <v>10.262799895368516</v>
      </c>
    </row>
    <row r="42" spans="1:4" x14ac:dyDescent="0.25">
      <c r="C42" s="45"/>
      <c r="D42" s="164"/>
    </row>
    <row r="43" spans="1:4" x14ac:dyDescent="0.25">
      <c r="C43" s="45"/>
    </row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/>
    <row r="71" spans="3:3" hidden="1" x14ac:dyDescent="0.25">
      <c r="C71" s="2"/>
    </row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8" spans="1:4" ht="13.8" thickBot="1" x14ac:dyDescent="0.3"/>
    <row r="99" spans="1:4" ht="18.600000000000001" thickBot="1" x14ac:dyDescent="0.4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5">
      <c r="A100" s="102" t="s">
        <v>14</v>
      </c>
      <c r="B100" s="146">
        <f>'CE-FLSH'!$M$82</f>
        <v>322839.7495299885</v>
      </c>
      <c r="C100" s="60">
        <f>CE_GL!$E$82</f>
        <v>128748.29999999469</v>
      </c>
      <c r="D100" s="108">
        <f t="shared" ref="D100:D109" si="2">C100-B100</f>
        <v>-194091.44952999381</v>
      </c>
    </row>
    <row r="101" spans="1:4" x14ac:dyDescent="0.25">
      <c r="A101" s="102" t="s">
        <v>15</v>
      </c>
      <c r="B101" s="146">
        <f>'NE-FLSH'!$M$82</f>
        <v>1177405.9056469535</v>
      </c>
      <c r="C101" s="60">
        <f>NE_GL!$E$82</f>
        <v>-1231936.1329999436</v>
      </c>
      <c r="D101" s="108">
        <f t="shared" si="2"/>
        <v>-2409342.0386468973</v>
      </c>
    </row>
    <row r="102" spans="1:4" x14ac:dyDescent="0.25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5">
      <c r="A103" s="102" t="s">
        <v>17</v>
      </c>
      <c r="B103" s="145">
        <f>'SE-LRC-FLSH'!$M$82</f>
        <v>-2396094.6487551928</v>
      </c>
      <c r="C103" s="60">
        <f>'SE-LRC-GL'!$E$82</f>
        <v>591543.99399999948</v>
      </c>
      <c r="D103" s="108">
        <f t="shared" si="2"/>
        <v>2987638.6427551922</v>
      </c>
    </row>
    <row r="104" spans="1:4" x14ac:dyDescent="0.25">
      <c r="A104" s="102" t="s">
        <v>18</v>
      </c>
      <c r="B104" s="145">
        <f>'TX-EGM-FLSH'!$M$82</f>
        <v>1426789.3441239614</v>
      </c>
      <c r="C104" s="60">
        <f>'TX-EGM-GL'!$E$82</f>
        <v>65406.283999991923</v>
      </c>
      <c r="D104" s="108">
        <f t="shared" si="2"/>
        <v>-1361383.0601239696</v>
      </c>
    </row>
    <row r="105" spans="1:4" x14ac:dyDescent="0.25">
      <c r="A105" s="102" t="s">
        <v>19</v>
      </c>
      <c r="B105" s="145">
        <f>'TX-HPL-FLSH'!$M$82</f>
        <v>-1199085.2955339644</v>
      </c>
      <c r="C105" s="60">
        <f>'TX-HPL-GL '!$E$82</f>
        <v>-536554.61180000554</v>
      </c>
      <c r="D105" s="108">
        <f t="shared" si="2"/>
        <v>662530.68373395887</v>
      </c>
    </row>
    <row r="106" spans="1:4" x14ac:dyDescent="0.25">
      <c r="A106" s="102" t="s">
        <v>20</v>
      </c>
      <c r="B106" s="145">
        <f>'WE-FLSH'!$M$82</f>
        <v>44566.674363455735</v>
      </c>
      <c r="C106" s="60">
        <f>'WE-GL '!$E$82</f>
        <v>-270168.81600002619</v>
      </c>
      <c r="D106" s="108">
        <f t="shared" si="2"/>
        <v>-314735.49036348192</v>
      </c>
    </row>
    <row r="107" spans="1:4" x14ac:dyDescent="0.25">
      <c r="A107" s="102" t="s">
        <v>21</v>
      </c>
      <c r="B107" s="145">
        <f>STG_FLSH!$M$82</f>
        <v>164000</v>
      </c>
      <c r="C107" s="60">
        <f>STG_GL!$E$82</f>
        <v>1480112.6600000001</v>
      </c>
      <c r="D107" s="108">
        <f t="shared" si="2"/>
        <v>1316112.6600000001</v>
      </c>
    </row>
    <row r="108" spans="1:4" x14ac:dyDescent="0.25">
      <c r="A108" s="102" t="s">
        <v>22</v>
      </c>
      <c r="B108" s="145">
        <f>ONT_FLSH!$M$82</f>
        <v>176228</v>
      </c>
      <c r="C108" s="60">
        <f>'ONT_GL '!$E$82</f>
        <v>175238</v>
      </c>
      <c r="D108" s="108">
        <f t="shared" si="2"/>
        <v>-990</v>
      </c>
    </row>
    <row r="109" spans="1:4" x14ac:dyDescent="0.25">
      <c r="A109" s="102" t="s">
        <v>175</v>
      </c>
      <c r="B109" s="145">
        <f>BGC_FLSH!$M$82</f>
        <v>79691</v>
      </c>
      <c r="C109" s="60">
        <f>BGC_GL!$E$82</f>
        <v>668990.5100000042</v>
      </c>
      <c r="D109" s="108">
        <f t="shared" si="2"/>
        <v>589299.5100000042</v>
      </c>
    </row>
    <row r="110" spans="1:4" ht="13.8" thickBot="1" x14ac:dyDescent="0.3">
      <c r="A110" s="102" t="s">
        <v>10</v>
      </c>
      <c r="B110" s="61">
        <f>SUM(B100:B109)</f>
        <v>-203659.27062479802</v>
      </c>
      <c r="C110" s="61">
        <f>SUM(C100:C109)</f>
        <v>1071380.1872000152</v>
      </c>
      <c r="D110" s="109">
        <f>SUM(D100:D109)</f>
        <v>1275039.4578248127</v>
      </c>
    </row>
    <row r="111" spans="1:4" ht="13.8" thickBot="1" x14ac:dyDescent="0.3">
      <c r="A111" s="103" t="s">
        <v>23</v>
      </c>
      <c r="B111" s="104">
        <f>TOTAL!$E$82</f>
        <v>-203659.27062478647</v>
      </c>
      <c r="C111" s="104">
        <f>TOTAL!$G$82</f>
        <v>1071380.1872001062</v>
      </c>
      <c r="D111" s="110">
        <f>TOTAL!$I$82</f>
        <v>1275039.457824816</v>
      </c>
    </row>
    <row r="112" spans="1:4" x14ac:dyDescent="0.25">
      <c r="B112" s="45"/>
      <c r="C112" s="45"/>
      <c r="D112" s="45"/>
    </row>
    <row r="113" spans="1:4" x14ac:dyDescent="0.25">
      <c r="B113" s="45">
        <f>+B110-B111</f>
        <v>-1.155422069132328E-8</v>
      </c>
      <c r="C113" s="45">
        <f>+C110-C111</f>
        <v>-9.1036781668663025E-8</v>
      </c>
      <c r="D113" s="45"/>
    </row>
    <row r="114" spans="1:4" ht="13.8" thickBot="1" x14ac:dyDescent="0.3"/>
    <row r="115" spans="1:4" ht="18.600000000000001" thickBot="1" x14ac:dyDescent="0.4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5">
      <c r="A116" s="102" t="s">
        <v>14</v>
      </c>
      <c r="B116" s="146">
        <f>'[1]ST Warroom 97&amp;98'!$B$89</f>
        <v>0</v>
      </c>
      <c r="C116" s="60">
        <f>C100</f>
        <v>128748.29999999469</v>
      </c>
      <c r="D116" s="108">
        <f t="shared" ref="D116:D123" si="3">C116-B116</f>
        <v>128748.29999999469</v>
      </c>
    </row>
    <row r="117" spans="1:4" x14ac:dyDescent="0.25">
      <c r="A117" s="102" t="s">
        <v>15</v>
      </c>
      <c r="B117" s="146">
        <f>'[1]ST Warroom 97&amp;98'!$C$89</f>
        <v>0</v>
      </c>
      <c r="C117" s="60">
        <f>C101</f>
        <v>-1231936.1329999436</v>
      </c>
      <c r="D117" s="108">
        <f t="shared" si="3"/>
        <v>-1231936.1329999436</v>
      </c>
    </row>
    <row r="118" spans="1:4" x14ac:dyDescent="0.25">
      <c r="A118" s="102" t="s">
        <v>166</v>
      </c>
      <c r="B118" s="145">
        <f>'[1]ST Warroom 97&amp;98'!$E$89</f>
        <v>0</v>
      </c>
      <c r="C118" s="60">
        <f>C102+C103</f>
        <v>591543.99399999948</v>
      </c>
      <c r="D118" s="108">
        <f t="shared" si="3"/>
        <v>591543.99399999948</v>
      </c>
    </row>
    <row r="119" spans="1:4" x14ac:dyDescent="0.25">
      <c r="A119" s="102" t="s">
        <v>167</v>
      </c>
      <c r="B119" s="145">
        <f>'[1]ST Warroom 97&amp;98'!$F$89</f>
        <v>0</v>
      </c>
      <c r="C119" s="60">
        <f>C104+C105</f>
        <v>-471148.32780001359</v>
      </c>
      <c r="D119" s="108">
        <f t="shared" si="3"/>
        <v>-471148.32780001359</v>
      </c>
    </row>
    <row r="120" spans="1:4" x14ac:dyDescent="0.25">
      <c r="A120" s="102" t="s">
        <v>20</v>
      </c>
      <c r="B120" s="145">
        <f>'[1]ST Warroom 97&amp;98'!$G$89</f>
        <v>0</v>
      </c>
      <c r="C120" s="60">
        <f>C106</f>
        <v>-270168.81600002619</v>
      </c>
      <c r="D120" s="108">
        <f t="shared" si="3"/>
        <v>-270168.81600002619</v>
      </c>
    </row>
    <row r="121" spans="1:4" x14ac:dyDescent="0.25">
      <c r="A121" s="102" t="s">
        <v>21</v>
      </c>
      <c r="B121" s="145">
        <f>'[1]ST Warroom 97&amp;98'!$H$89</f>
        <v>0</v>
      </c>
      <c r="C121" s="60">
        <f>C107</f>
        <v>1480112.6600000001</v>
      </c>
      <c r="D121" s="108">
        <f t="shared" si="3"/>
        <v>1480112.6600000001</v>
      </c>
    </row>
    <row r="122" spans="1:4" x14ac:dyDescent="0.25">
      <c r="A122" s="102" t="s">
        <v>22</v>
      </c>
      <c r="B122" s="145">
        <f>'[1]ST Warroom 97&amp;98'!$I$89</f>
        <v>0</v>
      </c>
      <c r="C122" s="60">
        <f>C108</f>
        <v>175238</v>
      </c>
      <c r="D122" s="108">
        <f t="shared" si="3"/>
        <v>175238</v>
      </c>
    </row>
    <row r="123" spans="1:4" x14ac:dyDescent="0.25">
      <c r="A123" s="102" t="s">
        <v>175</v>
      </c>
      <c r="B123" s="145">
        <f>'[1]ST Warroom 97&amp;98'!$D$89</f>
        <v>0</v>
      </c>
      <c r="C123" s="60">
        <f>C109</f>
        <v>668990.5100000042</v>
      </c>
      <c r="D123" s="108">
        <f t="shared" si="3"/>
        <v>668990.5100000042</v>
      </c>
    </row>
    <row r="124" spans="1:4" ht="13.8" thickBot="1" x14ac:dyDescent="0.3">
      <c r="A124" s="102" t="s">
        <v>10</v>
      </c>
      <c r="B124" s="61">
        <f>SUM(B116:B123)</f>
        <v>0</v>
      </c>
      <c r="C124" s="61">
        <f>SUM(C116:C123)</f>
        <v>1071380.1872000152</v>
      </c>
      <c r="D124" s="109">
        <f>SUM(D116:D123)</f>
        <v>1071380.1872000152</v>
      </c>
    </row>
    <row r="125" spans="1:4" ht="13.8" thickBot="1" x14ac:dyDescent="0.3">
      <c r="A125" s="103" t="s">
        <v>168</v>
      </c>
      <c r="B125" s="104">
        <f>'[1]ST Warroom 97&amp;98'!$M$89</f>
        <v>0</v>
      </c>
      <c r="C125" s="104">
        <f>TOTAL!$G$82</f>
        <v>1071380.1872001062</v>
      </c>
      <c r="D125" s="110">
        <f>C125-B125</f>
        <v>1071380.1872001062</v>
      </c>
    </row>
    <row r="127" spans="1:4" x14ac:dyDescent="0.25">
      <c r="C127" s="45">
        <f>C125-[1]OAvsACT!$C$39</f>
        <v>-27040644.592799895</v>
      </c>
      <c r="D127" s="163">
        <f>-D125+[1]OAvsACT!$G$39</f>
        <v>2365994.592799895</v>
      </c>
    </row>
    <row r="129" spans="4:4" x14ac:dyDescent="0.25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E10" sqref="E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217141654</v>
      </c>
      <c r="E11" s="65">
        <f>STG_VAR!E11+ONT_VAR!E11+'CE-VAR'!E11+'NE-VAR'!E11+'SE-EGM-VAR'!E11+'SE-LRC-VAR'!E11+'TX-EGM-VAR'!E11+'TX-HPL-VAR '!E11+'WE-VAR'!E11+BGC_VAR!E11</f>
        <v>382953123</v>
      </c>
      <c r="F11" s="65">
        <f>STG_VAR!F11+ONT_VAR!F11+'CE-VAR'!F11+'NE-VAR'!F11+'SE-EGM-VAR'!F11+'SE-LRC-VAR'!F11+'TX-EGM-VAR'!F11+'TX-HPL-VAR '!F11+'WE-VAR'!F11+BGC_VAR!F11</f>
        <v>224817399</v>
      </c>
      <c r="G11" s="65">
        <f>STG_VAR!G11+ONT_VAR!G11+'CE-VAR'!G11+'NE-VAR'!G11+'SE-EGM-VAR'!G11+'SE-LRC-VAR'!G11+'TX-EGM-VAR'!G11+'TX-HPL-VAR '!G11+'WE-VAR'!G11+BGC_VAR!G11</f>
        <v>461306324.76000005</v>
      </c>
      <c r="H11" s="60">
        <f>F11-D11</f>
        <v>7675745</v>
      </c>
      <c r="I11" s="38">
        <f>G11-E11</f>
        <v>78353201.76000005</v>
      </c>
    </row>
    <row r="12" spans="1:22" x14ac:dyDescent="0.25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-32726386.609999999</v>
      </c>
      <c r="H12" s="60">
        <f>F12-D12</f>
        <v>0</v>
      </c>
      <c r="I12" s="38">
        <f>G12-E12</f>
        <v>-32726386.609999999</v>
      </c>
    </row>
    <row r="13" spans="1:22" x14ac:dyDescent="0.25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110061683</v>
      </c>
      <c r="E13" s="65">
        <f>STG_VAR!E13+ONT_VAR!E13+'CE-VAR'!E13+'NE-VAR'!E13+'SE-EGM-VAR'!E13+'SE-LRC-VAR'!E13+'TX-EGM-VAR'!E13+'TX-HPL-VAR '!E13+'WE-VAR'!E13+BGC_VAR!E13</f>
        <v>203122265.00000003</v>
      </c>
      <c r="F13" s="65">
        <f>STG_VAR!F13+ONT_VAR!F13+'CE-VAR'!F13+'NE-VAR'!F13+'SE-EGM-VAR'!F13+'SE-LRC-VAR'!F13+'TX-EGM-VAR'!F13+'TX-HPL-VAR '!F13+'WE-VAR'!F13+BGC_VAR!F13</f>
        <v>94278264</v>
      </c>
      <c r="G13" s="65">
        <f>STG_VAR!G13+ONT_VAR!G13+'CE-VAR'!G13+'NE-VAR'!G13+'SE-EGM-VAR'!G13+'SE-LRC-VAR'!G13+'TX-EGM-VAR'!G13+'TX-HPL-VAR '!G13+'WE-VAR'!G13+BGC_VAR!G13</f>
        <v>169226781</v>
      </c>
      <c r="H13" s="60">
        <f t="shared" ref="H13:I15" si="0">F13-D13</f>
        <v>-15783419</v>
      </c>
      <c r="I13" s="38">
        <f t="shared" si="0"/>
        <v>-33895484.00000003</v>
      </c>
    </row>
    <row r="14" spans="1:22" x14ac:dyDescent="0.25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88910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-3043675.7</v>
      </c>
      <c r="H15" s="60">
        <f t="shared" si="0"/>
        <v>0</v>
      </c>
      <c r="I15" s="38">
        <f t="shared" si="0"/>
        <v>-3163675.7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327203337</v>
      </c>
      <c r="E16" s="39">
        <f t="shared" si="1"/>
        <v>586284298</v>
      </c>
      <c r="F16" s="61">
        <f t="shared" si="1"/>
        <v>319095663</v>
      </c>
      <c r="G16" s="39">
        <f t="shared" si="1"/>
        <v>594763043.45000005</v>
      </c>
      <c r="H16" s="61">
        <f t="shared" si="1"/>
        <v>-8107674</v>
      </c>
      <c r="I16" s="39">
        <f t="shared" si="1"/>
        <v>8478745.4500000216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-202519823</v>
      </c>
      <c r="E19" s="65">
        <f>STG_VAR!E19+ONT_VAR!E19+'CE-VAR'!E19+'NE-VAR'!E19+'SE-EGM-VAR'!E19+'SE-LRC-VAR'!E19+'TX-EGM-VAR'!E19+'TX-HPL-VAR '!E19+'WE-VAR'!E19+BGC_VAR!E19</f>
        <v>-356950884</v>
      </c>
      <c r="F19" s="65">
        <f>STG_VAR!F19+ONT_VAR!F19+'CE-VAR'!F19+'NE-VAR'!F19+'SE-EGM-VAR'!F19+'SE-LRC-VAR'!F19+'TX-EGM-VAR'!F19+'TX-HPL-VAR '!F19+'WE-VAR'!F19+BGC_VAR!F19</f>
        <v>-207602425</v>
      </c>
      <c r="G19" s="65">
        <f>STG_VAR!G19+ONT_VAR!G19+'CE-VAR'!G19+'NE-VAR'!G19+'SE-EGM-VAR'!G19+'SE-LRC-VAR'!G19+'TX-EGM-VAR'!G19+'TX-HPL-VAR '!G19+'WE-VAR'!G19+BGC_VAR!G19</f>
        <v>-373225503.94999999</v>
      </c>
      <c r="H19" s="60">
        <f>F19-D19</f>
        <v>-5082602</v>
      </c>
      <c r="I19" s="38">
        <f>G19-E19</f>
        <v>-16274619.949999988</v>
      </c>
    </row>
    <row r="20" spans="1:9" x14ac:dyDescent="0.25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4143337.8099999996</v>
      </c>
      <c r="H20" s="60">
        <f>F20-D20</f>
        <v>0</v>
      </c>
      <c r="I20" s="38">
        <f>G20-E20</f>
        <v>4143337.8099999996</v>
      </c>
    </row>
    <row r="21" spans="1:9" x14ac:dyDescent="0.25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-119842400</v>
      </c>
      <c r="E21" s="65">
        <f>STG_VAR!E21+ONT_VAR!E21+'CE-VAR'!E21+'NE-VAR'!E21+'SE-EGM-VAR'!E21+'SE-LRC-VAR'!E21+'TX-EGM-VAR'!E21+'TX-HPL-VAR '!E21+'WE-VAR'!E21+BGC_VAR!E21</f>
        <v>-220598653</v>
      </c>
      <c r="F21" s="65">
        <f>STG_VAR!F21+ONT_VAR!F21+'CE-VAR'!F21+'NE-VAR'!F21+'SE-EGM-VAR'!F21+'SE-LRC-VAR'!F21+'TX-EGM-VAR'!F21+'TX-HPL-VAR '!F21+'WE-VAR'!F21+BGC_VAR!F21</f>
        <v>-94278264</v>
      </c>
      <c r="G21" s="65">
        <f>STG_VAR!G21+ONT_VAR!G21+'CE-VAR'!G21+'NE-VAR'!G21+'SE-EGM-VAR'!G21+'SE-LRC-VAR'!G21+'TX-EGM-VAR'!G21+'TX-HPL-VAR '!G21+'WE-VAR'!G21+BGC_VAR!G21</f>
        <v>-175252734</v>
      </c>
      <c r="H21" s="60">
        <f t="shared" ref="H21:I23" si="2">F21-D21</f>
        <v>25564136</v>
      </c>
      <c r="I21" s="38">
        <f t="shared" si="2"/>
        <v>45345919</v>
      </c>
    </row>
    <row r="22" spans="1:9" x14ac:dyDescent="0.25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1529245</v>
      </c>
      <c r="E23" s="65">
        <f>STG_VAR!E23+ONT_VAR!E23+'CE-VAR'!E23+'NE-VAR'!E23+'SE-EGM-VAR'!E23+'SE-LRC-VAR'!E23+'TX-EGM-VAR'!E23+'TX-HPL-VAR '!E23+'WE-VAR'!E23+BGC_VAR!E23</f>
        <v>2691919</v>
      </c>
      <c r="F23" s="65">
        <f>STG_VAR!F23+ONT_VAR!F23+'CE-VAR'!F23+'NE-VAR'!F23+'SE-EGM-VAR'!F23+'SE-LRC-VAR'!F23+'TX-EGM-VAR'!F23+'TX-HPL-VAR '!F23+'WE-VAR'!F23+BGC_VAR!F23</f>
        <v>1391845</v>
      </c>
      <c r="G23" s="65">
        <f>STG_VAR!G23+ONT_VAR!G23+'CE-VAR'!G23+'NE-VAR'!G23+'SE-EGM-VAR'!G23+'SE-LRC-VAR'!G23+'TX-EGM-VAR'!G23+'TX-HPL-VAR '!G23+'WE-VAR'!G23+BGC_VAR!G23</f>
        <v>2459315.3710000003</v>
      </c>
      <c r="H23" s="60">
        <f t="shared" si="2"/>
        <v>-137400</v>
      </c>
      <c r="I23" s="38">
        <f t="shared" si="2"/>
        <v>-232603.62899999972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-320832978</v>
      </c>
      <c r="E24" s="39">
        <f t="shared" si="3"/>
        <v>-574857618</v>
      </c>
      <c r="F24" s="61">
        <f t="shared" si="3"/>
        <v>-300488844</v>
      </c>
      <c r="G24" s="39">
        <f t="shared" si="3"/>
        <v>-541875584.76899993</v>
      </c>
      <c r="H24" s="61">
        <f t="shared" si="3"/>
        <v>20344134</v>
      </c>
      <c r="I24" s="39">
        <f t="shared" si="3"/>
        <v>32982033.23100001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31921840</v>
      </c>
      <c r="E27" s="65">
        <f>STG_VAR!E27+ONT_VAR!E27+'CE-VAR'!E27+'NE-VAR'!E27+'SE-EGM-VAR'!E27+'SE-LRC-VAR'!E27+'TX-EGM-VAR'!E27+'TX-HPL-VAR '!E27+'WE-VAR'!E27+BGC_VAR!E27</f>
        <v>55893609</v>
      </c>
      <c r="F27" s="65">
        <f>STG_VAR!F27+ONT_VAR!F27+'CE-VAR'!F27+'NE-VAR'!F27+'SE-EGM-VAR'!F27+'SE-LRC-VAR'!F27+'TX-EGM-VAR'!F27+'TX-HPL-VAR '!F27+'WE-VAR'!F27+BGC_VAR!F27</f>
        <v>25434473</v>
      </c>
      <c r="G27" s="65">
        <f>STG_VAR!G27+ONT_VAR!G27+'CE-VAR'!G27+'NE-VAR'!G27+'SE-EGM-VAR'!G27+'SE-LRC-VAR'!G27+'TX-EGM-VAR'!G27+'TX-HPL-VAR '!G27+'WE-VAR'!G27+BGC_VAR!G27</f>
        <v>45255623.306699991</v>
      </c>
      <c r="H27" s="60">
        <f>F27-D27</f>
        <v>-6487367</v>
      </c>
      <c r="I27" s="38">
        <f>G27-E27</f>
        <v>-10637985.693300009</v>
      </c>
    </row>
    <row r="28" spans="1:9" x14ac:dyDescent="0.25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-31921840</v>
      </c>
      <c r="E28" s="65">
        <f>STG_VAR!E28+ONT_VAR!E28+'CE-VAR'!E28+'NE-VAR'!E28+'SE-EGM-VAR'!E28+'SE-LRC-VAR'!E28+'TX-EGM-VAR'!E28+'TX-HPL-VAR '!E28+'WE-VAR'!E28+BGC_VAR!E28</f>
        <v>-55893609</v>
      </c>
      <c r="F28" s="65">
        <f>STG_VAR!F28+ONT_VAR!F28+'CE-VAR'!F28+'NE-VAR'!F28+'SE-EGM-VAR'!F28+'SE-LRC-VAR'!F28+'TX-EGM-VAR'!F28+'TX-HPL-VAR '!F28+'WE-VAR'!F28+BGC_VAR!F28</f>
        <v>-36458294</v>
      </c>
      <c r="G28" s="65">
        <f>STG_VAR!G28+ONT_VAR!G28+'CE-VAR'!G28+'NE-VAR'!G28+'SE-EGM-VAR'!G28+'SE-LRC-VAR'!G28+'TX-EGM-VAR'!G28+'TX-HPL-VAR '!G28+'WE-VAR'!G28+BGC_VAR!G28</f>
        <v>-64795403.757500008</v>
      </c>
      <c r="H28" s="60">
        <f>F28-D28</f>
        <v>-4536454</v>
      </c>
      <c r="I28" s="38">
        <f>G28-E28</f>
        <v>-8901794.7575000077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-11023821</v>
      </c>
      <c r="G29" s="70">
        <f t="shared" si="4"/>
        <v>-19539780.450800017</v>
      </c>
      <c r="H29" s="69">
        <f t="shared" si="4"/>
        <v>-11023821</v>
      </c>
      <c r="I29" s="70">
        <f t="shared" si="4"/>
        <v>-19539780.450800017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3534312</v>
      </c>
      <c r="E32" s="65">
        <f>STG_VAR!E32+ONT_VAR!E32+'CE-VAR'!E32+'NE-VAR'!E32+'SE-EGM-VAR'!E32+'SE-LRC-VAR'!E32+'TX-EGM-VAR'!E32+'TX-HPL-VAR '!E32+'WE-VAR'!E32+BGC_VAR!E32</f>
        <v>6472250</v>
      </c>
      <c r="F32" s="65">
        <f>STG_VAR!F32+ONT_VAR!F32+'CE-VAR'!F32+'NE-VAR'!F32+'SE-EGM-VAR'!F32+'SE-LRC-VAR'!F32+'TX-EGM-VAR'!F32+'TX-HPL-VAR '!F32+'WE-VAR'!F32+BGC_VAR!F32</f>
        <v>168876</v>
      </c>
      <c r="G32" s="65">
        <f>STG_VAR!G32+ONT_VAR!G32+'CE-VAR'!G32+'NE-VAR'!G32+'SE-EGM-VAR'!G32+'SE-LRC-VAR'!G32+'TX-EGM-VAR'!G32+'TX-HPL-VAR '!G32+'WE-VAR'!G32+BGC_VAR!G32</f>
        <v>256289.5459999998</v>
      </c>
      <c r="H32" s="60">
        <f>F32-D32</f>
        <v>-3365436</v>
      </c>
      <c r="I32" s="38">
        <f>G32-E32</f>
        <v>-6215960.4539999999</v>
      </c>
    </row>
    <row r="33" spans="1:9" x14ac:dyDescent="0.25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-3712483</v>
      </c>
      <c r="E33" s="65">
        <f>STG_VAR!E33+ONT_VAR!E33+'CE-VAR'!E33+'NE-VAR'!E33+'SE-EGM-VAR'!E33+'SE-LRC-VAR'!E33+'TX-EGM-VAR'!E33+'TX-HPL-VAR '!E33+'WE-VAR'!E33+BGC_VAR!E33</f>
        <v>-6690039.4910483323</v>
      </c>
      <c r="F33" s="65">
        <f>STG_VAR!F33+ONT_VAR!F33+'CE-VAR'!F33+'NE-VAR'!F33+'SE-EGM-VAR'!F33+'SE-LRC-VAR'!F33+'TX-EGM-VAR'!F33+'TX-HPL-VAR '!F33+'WE-VAR'!F33+BGC_VAR!F33</f>
        <v>-166827</v>
      </c>
      <c r="G33" s="65">
        <f>STG_VAR!G33+ONT_VAR!G33+'CE-VAR'!G33+'NE-VAR'!G33+'SE-EGM-VAR'!G33+'SE-LRC-VAR'!G33+'TX-EGM-VAR'!G33+'TX-HPL-VAR '!G33+'WE-VAR'!G33+BGC_VAR!G33</f>
        <v>-305021.16000000003</v>
      </c>
      <c r="H33" s="60">
        <f t="shared" ref="H33:I35" si="5">F33-D33</f>
        <v>3545656</v>
      </c>
      <c r="I33" s="38">
        <f t="shared" si="5"/>
        <v>6385018.3310483322</v>
      </c>
    </row>
    <row r="34" spans="1:9" x14ac:dyDescent="0.25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497396</v>
      </c>
      <c r="E34" s="65">
        <f>STG_VAR!E34+ONT_VAR!E34+'CE-VAR'!E34+'NE-VAR'!E34+'SE-EGM-VAR'!E34+'SE-LRC-VAR'!E34+'TX-EGM-VAR'!E34+'TX-HPL-VAR '!E34+'WE-VAR'!E34+BGC_VAR!E34</f>
        <v>873705</v>
      </c>
      <c r="F34" s="65">
        <f>STG_VAR!F34+ONT_VAR!F34+'CE-VAR'!F34+'NE-VAR'!F34+'SE-EGM-VAR'!F34+'SE-LRC-VAR'!F34+'TX-EGM-VAR'!F34+'TX-HPL-VAR '!F34+'WE-VAR'!F34+BGC_VAR!F34</f>
        <v>419443</v>
      </c>
      <c r="G34" s="65">
        <f>STG_VAR!G34+ONT_VAR!G34+'CE-VAR'!G34+'NE-VAR'!G34+'SE-EGM-VAR'!G34+'SE-LRC-VAR'!G34+'TX-EGM-VAR'!G34+'TX-HPL-VAR '!G34+'WE-VAR'!G34+BGC_VAR!G34</f>
        <v>705654.17999999993</v>
      </c>
      <c r="H34" s="60">
        <f t="shared" si="5"/>
        <v>-77953</v>
      </c>
      <c r="I34" s="38">
        <f t="shared" si="5"/>
        <v>-168050.82000000007</v>
      </c>
    </row>
    <row r="35" spans="1:9" x14ac:dyDescent="0.25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-248298</v>
      </c>
      <c r="E35" s="65">
        <f>STG_VAR!E35+ONT_VAR!E35+'CE-VAR'!E35+'NE-VAR'!E35+'SE-EGM-VAR'!E35+'SE-LRC-VAR'!E35+'TX-EGM-VAR'!E35+'TX-HPL-VAR '!E35+'WE-VAR'!E35+BGC_VAR!E35</f>
        <v>-438477</v>
      </c>
      <c r="F35" s="65">
        <f>STG_VAR!F35+ONT_VAR!F35+'CE-VAR'!F35+'NE-VAR'!F35+'SE-EGM-VAR'!F35+'SE-LRC-VAR'!F35+'TX-EGM-VAR'!F35+'TX-HPL-VAR '!F35+'WE-VAR'!F35+BGC_VAR!F35</f>
        <v>-136514</v>
      </c>
      <c r="G35" s="65">
        <f>STG_VAR!G35+ONT_VAR!G35+'CE-VAR'!G35+'NE-VAR'!G35+'SE-EGM-VAR'!G35+'SE-LRC-VAR'!G35+'TX-EGM-VAR'!G35+'TX-HPL-VAR '!G35+'WE-VAR'!G35+BGC_VAR!G35</f>
        <v>444755.12</v>
      </c>
      <c r="H35" s="60">
        <f t="shared" si="5"/>
        <v>111784</v>
      </c>
      <c r="I35" s="38">
        <f t="shared" si="5"/>
        <v>883232.12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70927</v>
      </c>
      <c r="E36" s="39">
        <f t="shared" si="6"/>
        <v>217438.5089516677</v>
      </c>
      <c r="F36" s="61">
        <f t="shared" si="6"/>
        <v>284978</v>
      </c>
      <c r="G36" s="39">
        <f t="shared" si="6"/>
        <v>1101677.6859999998</v>
      </c>
      <c r="H36" s="61">
        <f t="shared" si="6"/>
        <v>214051</v>
      </c>
      <c r="I36" s="39">
        <f t="shared" si="6"/>
        <v>884239.17704833217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5026078</v>
      </c>
      <c r="E39" s="65">
        <f>STG_VAR!E39+ONT_VAR!E39+'CE-VAR'!E39+'NE-VAR'!E39+'SE-EGM-VAR'!E39+'SE-LRC-VAR'!E39+'TX-EGM-VAR'!E39+'TX-HPL-VAR '!E39+'WE-VAR'!E39+BGC_VAR!E39</f>
        <v>9112638</v>
      </c>
      <c r="F39" s="65">
        <f>STG_VAR!F39+ONT_VAR!F39+'CE-VAR'!F39+'NE-VAR'!F39+'SE-EGM-VAR'!F39+'SE-LRC-VAR'!F39+'TX-EGM-VAR'!F39+'TX-HPL-VAR '!F39+'WE-VAR'!F39+BGC_VAR!F39</f>
        <v>4173685</v>
      </c>
      <c r="G39" s="65">
        <f>STG_VAR!G39+ONT_VAR!G39+'CE-VAR'!G39+'NE-VAR'!G39+'SE-EGM-VAR'!G39+'SE-LRC-VAR'!G39+'TX-EGM-VAR'!G39+'TX-HPL-VAR '!G39+'WE-VAR'!G39+BGC_VAR!G39</f>
        <v>7529019.7799999993</v>
      </c>
      <c r="H39" s="60">
        <f t="shared" ref="H39:I41" si="7">F39-D39</f>
        <v>-852393</v>
      </c>
      <c r="I39" s="38">
        <f t="shared" si="7"/>
        <v>-1583618.2200000007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-11411604</v>
      </c>
      <c r="E40" s="65">
        <f>STG_VAR!E40+ONT_VAR!E40+'CE-VAR'!E40+'NE-VAR'!E40+'SE-EGM-VAR'!E40+'SE-LRC-VAR'!E40+'TX-EGM-VAR'!E40+'TX-HPL-VAR '!E40+'WE-VAR'!E40+BGC_VAR!E40</f>
        <v>-13549180</v>
      </c>
      <c r="F40" s="65">
        <f>STG_VAR!F40+ONT_VAR!F40+'CE-VAR'!F40+'NE-VAR'!F40+'SE-EGM-VAR'!F40+'SE-LRC-VAR'!F40+'TX-EGM-VAR'!F40+'TX-HPL-VAR '!F40+'WE-VAR'!F40+BGC_VAR!F40</f>
        <v>-12509863</v>
      </c>
      <c r="G40" s="65">
        <f>STG_VAR!G40+ONT_VAR!G40+'CE-VAR'!G40+'NE-VAR'!G40+'SE-EGM-VAR'!G40+'SE-LRC-VAR'!G40+'TX-EGM-VAR'!G40+'TX-HPL-VAR '!G40+'WE-VAR'!G40+BGC_VAR!G40</f>
        <v>-25100404.789999999</v>
      </c>
      <c r="H40" s="60">
        <f t="shared" si="7"/>
        <v>-1098259</v>
      </c>
      <c r="I40" s="38">
        <f t="shared" si="7"/>
        <v>-11551224.789999999</v>
      </c>
    </row>
    <row r="41" spans="1:9" x14ac:dyDescent="0.25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20947</v>
      </c>
      <c r="H41" s="60">
        <f t="shared" si="7"/>
        <v>0</v>
      </c>
      <c r="I41" s="38">
        <f t="shared" si="7"/>
        <v>20947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-11411604</v>
      </c>
      <c r="E42" s="70">
        <f t="shared" si="8"/>
        <v>-13549180</v>
      </c>
      <c r="F42" s="69">
        <f t="shared" si="8"/>
        <v>-12509863</v>
      </c>
      <c r="G42" s="70">
        <f t="shared" si="8"/>
        <v>-25079457.789999999</v>
      </c>
      <c r="H42" s="69">
        <f t="shared" si="8"/>
        <v>-1098259</v>
      </c>
      <c r="I42" s="70">
        <f t="shared" si="8"/>
        <v>-11530277.789999999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-6385526</v>
      </c>
      <c r="E43" s="39">
        <f t="shared" si="9"/>
        <v>-4436542</v>
      </c>
      <c r="F43" s="61">
        <f t="shared" si="9"/>
        <v>-8336178</v>
      </c>
      <c r="G43" s="39">
        <f t="shared" si="9"/>
        <v>-17550438.009999998</v>
      </c>
      <c r="H43" s="61">
        <f t="shared" si="9"/>
        <v>-1950652</v>
      </c>
      <c r="I43" s="39">
        <f t="shared" si="9"/>
        <v>-13113896.01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5865</v>
      </c>
      <c r="G45" s="65">
        <f>STG_VAR!G45+ONT_VAR!G45+'CE-VAR'!G45+'NE-VAR'!G45+'SE-EGM-VAR'!G45+'SE-LRC-VAR'!G45+'TX-EGM-VAR'!G45+'TX-HPL-VAR '!G45+'WE-VAR'!G45+BGC_VAR!G45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6920.1200000000135</v>
      </c>
      <c r="H47" s="60">
        <f>F47-D47</f>
        <v>0</v>
      </c>
      <c r="I47" s="38">
        <f>G47-E47</f>
        <v>6920.1200000000135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462312</v>
      </c>
      <c r="G49" s="65">
        <f>STG_VAR!G49+ONT_VAR!G49+'CE-VAR'!G49+'NE-VAR'!G49+'SE-EGM-VAR'!G49+'SE-LRC-VAR'!G49+'TX-EGM-VAR'!G49+'TX-HPL-VAR '!G49+'WE-VAR'!G49+BGC_VAR!G49</f>
        <v>818033.65199999895</v>
      </c>
      <c r="H49" s="60">
        <f>F49-D49</f>
        <v>462312</v>
      </c>
      <c r="I49" s="38">
        <f>G49-E49</f>
        <v>818033.65199999895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-1529189</v>
      </c>
      <c r="E51" s="65">
        <f>STG_VAR!E51+ONT_VAR!E51+'CE-VAR'!E51+'NE-VAR'!E51+'SE-EGM-VAR'!E51+'SE-LRC-VAR'!E51+'TX-EGM-VAR'!E51+'TX-HPL-VAR '!E51+'WE-VAR'!E51+BGC_VAR!E51</f>
        <v>-2743877</v>
      </c>
      <c r="F51" s="65">
        <f>STG_VAR!F51+ONT_VAR!F51+'CE-VAR'!F51+'NE-VAR'!F51+'SE-EGM-VAR'!F51+'SE-LRC-VAR'!F51+'TX-EGM-VAR'!F51+'TX-HPL-VAR '!F51+'WE-VAR'!F51+BGC_VAR!F51</f>
        <v>-1419550</v>
      </c>
      <c r="G51" s="65">
        <f>STG_VAR!G51+ONT_VAR!G51+'CE-VAR'!G51+'NE-VAR'!G51+'SE-EGM-VAR'!G51+'SE-LRC-VAR'!G51+'TX-EGM-VAR'!G51+'TX-HPL-VAR '!G51+'WE-VAR'!G51+BGC_VAR!G51</f>
        <v>-2613765.0810000002</v>
      </c>
      <c r="H51" s="60">
        <f>F51-D51</f>
        <v>109639</v>
      </c>
      <c r="I51" s="38">
        <f>G51-E51</f>
        <v>130111.91899999976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-2785523</v>
      </c>
      <c r="F54" s="65">
        <f>STG_VAR!F54+ONT_VAR!F54+'CE-VAR'!F54+'NE-VAR'!F54+'SE-EGM-VAR'!F54+'SE-LRC-VAR'!F54+'TX-EGM-VAR'!F54+'TX-HPL-VAR '!F54+'WE-VAR'!F54+BGC_VAR!F54</f>
        <v>-34854740</v>
      </c>
      <c r="G54" s="65">
        <f>STG_VAR!G54+ONT_VAR!G54+'CE-VAR'!G54+'NE-VAR'!G54+'SE-EGM-VAR'!G54+'SE-LRC-VAR'!G54+'TX-EGM-VAR'!G54+'TX-HPL-VAR '!G54+'WE-VAR'!G54+BGC_VAR!G54</f>
        <v>-832372.02999999991</v>
      </c>
      <c r="H54" s="60">
        <f>F54-D54</f>
        <v>-34854740</v>
      </c>
      <c r="I54" s="38">
        <f>G54-E54</f>
        <v>1953150.9700000002</v>
      </c>
    </row>
    <row r="55" spans="1:9" x14ac:dyDescent="0.25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-20441585</v>
      </c>
      <c r="F55" s="65">
        <f>STG_VAR!F55+ONT_VAR!F55+'CE-VAR'!F55+'NE-VAR'!F55+'SE-EGM-VAR'!F55+'SE-LRC-VAR'!F55+'TX-EGM-VAR'!F55+'TX-HPL-VAR '!F55+'WE-VAR'!F55+BGC_VAR!F55</f>
        <v>-2517</v>
      </c>
      <c r="G55" s="65">
        <f>STG_VAR!G55+ONT_VAR!G55+'CE-VAR'!G55+'NE-VAR'!G55+'SE-EGM-VAR'!G55+'SE-LRC-VAR'!G55+'TX-EGM-VAR'!G55+'TX-HPL-VAR '!G55+'WE-VAR'!G55+BGC_VAR!G55</f>
        <v>-19960928.070000004</v>
      </c>
      <c r="H55" s="60">
        <f>F55-D55</f>
        <v>-2517</v>
      </c>
      <c r="I55" s="38">
        <f>G55-E55</f>
        <v>480656.92999999598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-23227108</v>
      </c>
      <c r="F56" s="61">
        <f t="shared" si="10"/>
        <v>-34857257</v>
      </c>
      <c r="G56" s="39">
        <f t="shared" si="10"/>
        <v>-20793300.100000005</v>
      </c>
      <c r="H56" s="61">
        <f t="shared" si="10"/>
        <v>-34857257</v>
      </c>
      <c r="I56" s="39">
        <f t="shared" si="10"/>
        <v>2433807.8999999962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3300445</v>
      </c>
      <c r="G59" s="65">
        <f>STG_VAR!G59+ONT_VAR!G59+'CE-VAR'!G59+'NE-VAR'!G59+'SE-EGM-VAR'!G59+'SE-LRC-VAR'!G59+'TX-EGM-VAR'!G59+'TX-HPL-VAR '!G59+'WE-VAR'!G59+BGC_VAR!G59</f>
        <v>123754.12999999989</v>
      </c>
      <c r="H59" s="60">
        <f>F59-D59</f>
        <v>3300445</v>
      </c>
      <c r="I59" s="38">
        <f>G59-E59</f>
        <v>123754.12999999989</v>
      </c>
    </row>
    <row r="60" spans="1:9" x14ac:dyDescent="0.25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808927</v>
      </c>
      <c r="H60" s="60">
        <f>F60-D60</f>
        <v>0</v>
      </c>
      <c r="I60" s="38">
        <f>G60-E60</f>
        <v>808927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3300445</v>
      </c>
      <c r="G61" s="70">
        <f t="shared" si="11"/>
        <v>932681.12999999989</v>
      </c>
      <c r="H61" s="69">
        <f t="shared" si="11"/>
        <v>3300445</v>
      </c>
      <c r="I61" s="70">
        <f t="shared" si="11"/>
        <v>932681.12999999989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158915.965</v>
      </c>
      <c r="F64" s="65">
        <f>STG_VAR!F64+ONT_VAR!F64+'CE-VAR'!F64+'NE-VAR'!F64+'SE-EGM-VAR'!F64+'SE-LRC-VAR'!F64+'TX-EGM-VAR'!F64+'TX-HPL-VAR '!F64+'WE-VAR'!F64+BGC_VAR!F64</f>
        <v>-88620815</v>
      </c>
      <c r="G64" s="65">
        <f>STG_VAR!G64+ONT_VAR!G64+'CE-VAR'!G64+'NE-VAR'!G64+'SE-EGM-VAR'!G64+'SE-LRC-VAR'!G64+'TX-EGM-VAR'!G64+'TX-HPL-VAR '!G64+'WE-VAR'!G64+BGC_VAR!G64</f>
        <v>-4999269.5199999996</v>
      </c>
      <c r="H64" s="60">
        <f>F64-D64</f>
        <v>-88620815</v>
      </c>
      <c r="I64" s="38">
        <f>G64-E64</f>
        <v>-5158185.4849999994</v>
      </c>
    </row>
    <row r="65" spans="1:9" x14ac:dyDescent="0.25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19865068</v>
      </c>
      <c r="G65" s="65">
        <f>STG_VAR!G65+ONT_VAR!G65+'CE-VAR'!G65+'NE-VAR'!G65+'SE-EGM-VAR'!G65+'SE-LRC-VAR'!G65+'TX-EGM-VAR'!G65+'TX-HPL-VAR '!G65+'WE-VAR'!G65+BGC_VAR!G65</f>
        <v>3202409.35</v>
      </c>
      <c r="H65" s="60">
        <f>F65-D65</f>
        <v>19865068</v>
      </c>
      <c r="I65" s="38">
        <f>G65-E65</f>
        <v>3202409.35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-68755747</v>
      </c>
      <c r="G66" s="39">
        <f t="shared" si="12"/>
        <v>-1796860.1699999995</v>
      </c>
      <c r="H66" s="61">
        <f t="shared" si="12"/>
        <v>-68755747</v>
      </c>
      <c r="I66" s="39">
        <f t="shared" si="12"/>
        <v>-1955776.1349999993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-22153.955000000919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-2834560.4600000009</v>
      </c>
      <c r="H70" s="60">
        <f>F70-D70</f>
        <v>0</v>
      </c>
      <c r="I70" s="38">
        <f>G70-E70</f>
        <v>-2812406.5049999999</v>
      </c>
    </row>
    <row r="71" spans="1:9" x14ac:dyDescent="0.25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2581823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-2581823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2559669.044999999</v>
      </c>
      <c r="F72" s="69">
        <f t="shared" si="13"/>
        <v>0</v>
      </c>
      <c r="G72" s="70">
        <f t="shared" si="13"/>
        <v>-2834560.4600000009</v>
      </c>
      <c r="H72" s="69">
        <f t="shared" si="13"/>
        <v>0</v>
      </c>
      <c r="I72" s="70">
        <f t="shared" si="13"/>
        <v>-5394229.5049999999</v>
      </c>
    </row>
    <row r="73" spans="1:9" x14ac:dyDescent="0.25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130406.08542352938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14164264.220000001</v>
      </c>
      <c r="H74" s="60">
        <f t="shared" ref="H74:I79" si="14">F74-D74</f>
        <v>0</v>
      </c>
      <c r="I74" s="38">
        <f t="shared" si="14"/>
        <v>14033858.134576472</v>
      </c>
    </row>
    <row r="75" spans="1:9" x14ac:dyDescent="0.25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171537.95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171700</v>
      </c>
      <c r="H75" s="60">
        <f t="shared" si="14"/>
        <v>0</v>
      </c>
      <c r="I75" s="38">
        <f t="shared" si="14"/>
        <v>162.04999999998836</v>
      </c>
    </row>
    <row r="76" spans="1:9" x14ac:dyDescent="0.25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-8405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-188897.62</v>
      </c>
      <c r="H76" s="60">
        <f t="shared" si="14"/>
        <v>0</v>
      </c>
      <c r="I76" s="38">
        <f t="shared" si="14"/>
        <v>-180492.62</v>
      </c>
    </row>
    <row r="77" spans="1:9" x14ac:dyDescent="0.25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-1261726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-4310392</v>
      </c>
      <c r="H77" s="60">
        <f t="shared" si="14"/>
        <v>0</v>
      </c>
      <c r="I77" s="38">
        <f t="shared" si="14"/>
        <v>-3048666</v>
      </c>
    </row>
    <row r="78" spans="1:9" x14ac:dyDescent="0.25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23732.945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18138591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-18138591</v>
      </c>
    </row>
    <row r="80" spans="1:9" x14ac:dyDescent="0.25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164679.23000000001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-164679.23000000001</v>
      </c>
    </row>
    <row r="81" spans="1:9" x14ac:dyDescent="0.25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-1517652</v>
      </c>
      <c r="F81" s="65">
        <f>STG_VAR!F81+ONT_VAR!F81+'CE-VAR'!F81+'NE-VAR'!F81+'SE-EGM-VAR'!F81+'SE-LRC-VAR'!F81+'TX-EGM-VAR'!F81+'TX-HPL-VAR '!F81+'WE-VAR'!F81+BGC_VAR!F81</f>
        <v>-25993375</v>
      </c>
      <c r="G81" s="65">
        <f>STG_VAR!G81+ONT_VAR!G81+'CE-VAR'!G81+'NE-VAR'!G81+'SE-EGM-VAR'!G81+'SE-LRC-VAR'!G81+'TX-EGM-VAR'!G81+'TX-HPL-VAR '!G81+'WE-VAR'!G81+BGC_VAR!G81</f>
        <v>606612.72000000009</v>
      </c>
      <c r="H81" s="60">
        <f>F81-D81</f>
        <v>-25993375</v>
      </c>
      <c r="I81" s="38">
        <f>G81-E81</f>
        <v>2124264.7200000002</v>
      </c>
    </row>
    <row r="82" spans="1:9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55760</v>
      </c>
      <c r="E82" s="93">
        <f>SUM(E72:E81)+E16+E24+E29+E36+E43+E45+E47+E49+E51+E56+E61+E66</f>
        <v>-203659.27062478647</v>
      </c>
      <c r="F82" s="92">
        <f>F16+F24+F29+F36+F43+F45+F47+F49</f>
        <v>-25</v>
      </c>
      <c r="G82" s="93">
        <f>SUM(G72:G81)+G16+G24+G29+G36+G43+G45+G47+G49+G51+G56+G61+G66</f>
        <v>1071380.1872001062</v>
      </c>
      <c r="H82" s="92">
        <f>H16+H24+H29+H36+H43+H45+H47+H49</f>
        <v>-55785</v>
      </c>
      <c r="I82" s="93">
        <f>SUM(I72:I81)+I16+I24+I29+I36+I43+I45+I47+I49+I51+I56+I61+I66</f>
        <v>1275039.457824816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192</v>
      </c>
      <c r="B85" s="3"/>
      <c r="F85" s="31"/>
      <c r="G85" s="31"/>
      <c r="H85" s="31"/>
      <c r="I85" s="31"/>
    </row>
    <row r="86" spans="1:9" x14ac:dyDescent="0.25">
      <c r="A86" s="183"/>
      <c r="B86" s="3"/>
      <c r="C86" s="10" t="s">
        <v>189</v>
      </c>
      <c r="D86" s="184">
        <f>STG_VAR!D86+ONT_VAR!D86+'CE-VAR'!D86+'NE-VAR'!D86+'SE-EGM-VAR'!D86+'SE-LRC-VAR'!D86+'TX-EGM-VAR'!D86+'TX-HPL-VAR '!D86+'WE-VAR'!D86+BGC_VAR!D86</f>
        <v>0</v>
      </c>
      <c r="E86" s="184">
        <f>STG_VAR!E86+ONT_VAR!E86+'CE-VAR'!E86+'NE-VAR'!E86+'SE-EGM-VAR'!E86+'SE-LRC-VAR'!E86+'TX-EGM-VAR'!E86+'TX-HPL-VAR '!E86+'WE-VAR'!E86+BGC_VAR!E86</f>
        <v>196727</v>
      </c>
      <c r="F86" s="184">
        <f>STG_VAR!F86+ONT_VAR!F86+'CE-VAR'!F86+'NE-VAR'!F86+'SE-EGM-VAR'!F86+'SE-LRC-VAR'!F86+'TX-EGM-VAR'!F86+'TX-HPL-VAR '!F86+'WE-VAR'!F86+BGC_VAR!F86</f>
        <v>0</v>
      </c>
      <c r="G86" s="184">
        <f>STG_VAR!G86+ONT_VAR!G86+'CE-VAR'!G86+'NE-VAR'!G86+'SE-EGM-VAR'!G86+'SE-LRC-VAR'!G86+'TX-EGM-VAR'!G86+'TX-HPL-VAR '!G86+'WE-VAR'!G86+BGC_VAR!G86</f>
        <v>192870.46000000002</v>
      </c>
      <c r="H86" s="184">
        <f t="shared" ref="H86:I88" si="15">F86-D86</f>
        <v>0</v>
      </c>
      <c r="I86" s="184">
        <f t="shared" si="15"/>
        <v>-3856.539999999979</v>
      </c>
    </row>
    <row r="87" spans="1:9" x14ac:dyDescent="0.25">
      <c r="A87" s="183"/>
      <c r="B87" s="3"/>
      <c r="C87" s="10" t="s">
        <v>75</v>
      </c>
      <c r="D87" s="185">
        <f>STG_VAR!D87+ONT_VAR!D87+'CE-VAR'!D87+'NE-VAR'!D87+'SE-EGM-VAR'!D87+'SE-LRC-VAR'!D87+'TX-EGM-VAR'!D87+'TX-HPL-VAR '!D87+'WE-VAR'!D87+BGC_VAR!D87</f>
        <v>0</v>
      </c>
      <c r="E87" s="185">
        <f>STG_VAR!E87+ONT_VAR!E87+'CE-VAR'!E87+'NE-VAR'!E87+'SE-EGM-VAR'!E87+'SE-LRC-VAR'!E87+'TX-EGM-VAR'!E87+'TX-HPL-VAR '!E87+'WE-VAR'!E87+BGC_VAR!E87</f>
        <v>0</v>
      </c>
      <c r="F87" s="185">
        <f>STG_VAR!F87+ONT_VAR!F87+'CE-VAR'!F87+'NE-VAR'!F87+'SE-EGM-VAR'!F87+'SE-LRC-VAR'!F87+'TX-EGM-VAR'!F87+'TX-HPL-VAR '!F87+'WE-VAR'!F87+BGC_VAR!F87</f>
        <v>0</v>
      </c>
      <c r="G87" s="185">
        <f>STG_VAR!G87+ONT_VAR!G87+'CE-VAR'!G87+'NE-VAR'!G87+'SE-EGM-VAR'!G87+'SE-LRC-VAR'!G87+'TX-EGM-VAR'!G87+'TX-HPL-VAR '!G87+'WE-VAR'!G87+BGC_VAR!G87</f>
        <v>0</v>
      </c>
      <c r="H87" s="185">
        <f t="shared" si="15"/>
        <v>0</v>
      </c>
      <c r="I87" s="185">
        <f t="shared" si="15"/>
        <v>0</v>
      </c>
    </row>
    <row r="88" spans="1:9" x14ac:dyDescent="0.25">
      <c r="A88" s="183"/>
      <c r="B88" s="3"/>
      <c r="C88" s="10" t="s">
        <v>76</v>
      </c>
      <c r="D88" s="186">
        <f>STG_VAR!D88+ONT_VAR!D88+'CE-VAR'!D88+'NE-VAR'!D88+'SE-EGM-VAR'!D88+'SE-LRC-VAR'!D88+'TX-EGM-VAR'!D88+'TX-HPL-VAR '!D88+'WE-VAR'!D88+BGC_VAR!D88</f>
        <v>0</v>
      </c>
      <c r="E88" s="186">
        <f>STG_VAR!E88+ONT_VAR!E88+'CE-VAR'!E88+'NE-VAR'!E88+'SE-EGM-VAR'!E88+'SE-LRC-VAR'!E88+'TX-EGM-VAR'!E88+'TX-HPL-VAR '!E88+'WE-VAR'!E88+BGC_VAR!E88</f>
        <v>-48556</v>
      </c>
      <c r="F88" s="186">
        <f>STG_VAR!F88+ONT_VAR!F88+'CE-VAR'!F88+'NE-VAR'!F88+'SE-EGM-VAR'!F88+'SE-LRC-VAR'!F88+'TX-EGM-VAR'!F88+'TX-HPL-VAR '!F88+'WE-VAR'!F88+BGC_VAR!F88</f>
        <v>0</v>
      </c>
      <c r="G88" s="186">
        <f>STG_VAR!G88+ONT_VAR!G88+'CE-VAR'!G88+'NE-VAR'!G88+'SE-EGM-VAR'!G88+'SE-LRC-VAR'!G88+'TX-EGM-VAR'!G88+'TX-HPL-VAR '!G88+'WE-VAR'!G88+BGC_VAR!G88</f>
        <v>-51649</v>
      </c>
      <c r="H88" s="186">
        <f t="shared" si="15"/>
        <v>0</v>
      </c>
      <c r="I88" s="186">
        <f t="shared" si="15"/>
        <v>-3093</v>
      </c>
    </row>
    <row r="89" spans="1:9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148171</v>
      </c>
      <c r="F89" s="190">
        <f t="shared" si="16"/>
        <v>0</v>
      </c>
      <c r="G89" s="190">
        <f t="shared" si="16"/>
        <v>141221.46000000002</v>
      </c>
      <c r="H89" s="190">
        <f t="shared" si="16"/>
        <v>0</v>
      </c>
      <c r="I89" s="190">
        <f t="shared" si="16"/>
        <v>-6949.539999999979</v>
      </c>
    </row>
    <row r="90" spans="1:9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5">
      <c r="A91" s="187"/>
      <c r="B91" s="188"/>
      <c r="C91" s="189" t="s">
        <v>191</v>
      </c>
      <c r="D91" s="190">
        <f t="shared" ref="D91:I91" si="17">+D82+D89</f>
        <v>55760</v>
      </c>
      <c r="E91" s="190">
        <f t="shared" si="17"/>
        <v>-55488.27062478647</v>
      </c>
      <c r="F91" s="190">
        <f t="shared" si="17"/>
        <v>-25</v>
      </c>
      <c r="G91" s="190">
        <f t="shared" si="17"/>
        <v>1212601.6472001062</v>
      </c>
      <c r="H91" s="190">
        <f t="shared" si="17"/>
        <v>-55785</v>
      </c>
      <c r="I91" s="190">
        <f t="shared" si="17"/>
        <v>1268089.917824816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64" activePane="bottomRight" state="frozen"/>
      <selection activeCell="D10" sqref="D10"/>
      <selection pane="topRight" activeCell="D10" sqref="D10"/>
      <selection pane="bottomLeft" activeCell="D10" sqref="D10"/>
      <selection pane="bottomRight" activeCell="U74" sqref="U74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9902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22</v>
      </c>
      <c r="W8" s="27"/>
      <c r="X8" s="26" t="s">
        <v>123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-1959305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-2025520</v>
      </c>
      <c r="T12" s="60"/>
      <c r="U12" s="38">
        <f>42215+24000</f>
        <v>66215</v>
      </c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-3043675.7</v>
      </c>
      <c r="F15" s="60"/>
      <c r="G15" s="38">
        <f>-637573.26-758928-987027-235669.68-424477.76</f>
        <v>-3043675.7</v>
      </c>
      <c r="H15" s="60"/>
      <c r="I15" s="38">
        <v>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-5002980.7</v>
      </c>
      <c r="F16" s="61">
        <f t="shared" si="1"/>
        <v>0</v>
      </c>
      <c r="G16" s="39">
        <f t="shared" si="1"/>
        <v>-3043675.7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-2025520</v>
      </c>
      <c r="T16" s="61">
        <f t="shared" si="2"/>
        <v>0</v>
      </c>
      <c r="U16" s="39">
        <f t="shared" si="2"/>
        <v>66215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1411504.76</v>
      </c>
      <c r="F19" s="60"/>
      <c r="G19" s="38">
        <f>424477.76+987027</f>
        <v>1411504.76</v>
      </c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1411504.76</v>
      </c>
      <c r="F24" s="61">
        <f t="shared" si="4"/>
        <v>0</v>
      </c>
      <c r="G24" s="39">
        <f t="shared" si="4"/>
        <v>1411504.76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117344</v>
      </c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v>-117344</v>
      </c>
      <c r="V41" s="60"/>
      <c r="W41" s="38"/>
      <c r="X41" s="60"/>
      <c r="Y41" s="38"/>
    </row>
    <row r="42" spans="1:25" x14ac:dyDescent="0.25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117344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 t="shared" si="13"/>
        <v>0</v>
      </c>
      <c r="U42" s="39">
        <f t="shared" si="13"/>
        <v>-117344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117344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 t="shared" si="15"/>
        <v>0</v>
      </c>
      <c r="U43" s="39">
        <f t="shared" si="15"/>
        <v>-117344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1632170.94</v>
      </c>
      <c r="F55" s="60"/>
      <c r="G55" s="38">
        <v>235669.68</v>
      </c>
      <c r="H55" s="60"/>
      <c r="I55" s="38">
        <v>637573.26</v>
      </c>
      <c r="J55" s="60"/>
      <c r="K55" s="38"/>
      <c r="L55" s="60"/>
      <c r="M55" s="38"/>
      <c r="N55" s="60"/>
      <c r="O55" s="38">
        <v>758928</v>
      </c>
      <c r="P55" s="60"/>
      <c r="Q55" s="38"/>
      <c r="R55" s="60"/>
      <c r="S55" s="38"/>
      <c r="T55" s="60"/>
      <c r="U55" s="38"/>
      <c r="V55" s="60"/>
      <c r="W55" s="38"/>
      <c r="X55" s="60"/>
      <c r="Y55" s="38"/>
    </row>
    <row r="56" spans="1:25" x14ac:dyDescent="0.25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1632170.94</v>
      </c>
      <c r="F56" s="61">
        <f t="shared" si="16"/>
        <v>0</v>
      </c>
      <c r="G56" s="39">
        <f t="shared" si="16"/>
        <v>235669.68</v>
      </c>
      <c r="H56" s="61">
        <f t="shared" si="16"/>
        <v>0</v>
      </c>
      <c r="I56" s="39">
        <f t="shared" si="16"/>
        <v>637573.26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758928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f>27083</f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>
        <v>40393</v>
      </c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>
        <v>-40393</v>
      </c>
    </row>
    <row r="71" spans="1:25" x14ac:dyDescent="0.25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40393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-40393</v>
      </c>
    </row>
    <row r="73" spans="1:25" x14ac:dyDescent="0.25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1959305</v>
      </c>
      <c r="F74" s="60"/>
      <c r="G74" s="38">
        <f>214350-145662</f>
        <v>68688</v>
      </c>
      <c r="H74" s="60"/>
      <c r="I74" s="38">
        <f>113999+480000</f>
        <v>593999</v>
      </c>
      <c r="J74" s="60"/>
      <c r="K74" s="38"/>
      <c r="L74" s="60"/>
      <c r="M74" s="38"/>
      <c r="N74" s="60"/>
      <c r="O74" s="38">
        <v>47210</v>
      </c>
      <c r="P74" s="60"/>
      <c r="Q74" s="38">
        <v>987000</v>
      </c>
      <c r="R74" s="60"/>
      <c r="S74" s="38">
        <f>2025520-987000-86800-98300</f>
        <v>853420</v>
      </c>
      <c r="T74" s="60"/>
      <c r="U74" s="38">
        <f>987000-214350-480000+86800-47210-42215-24000-987000+145662+98300</f>
        <v>-477013</v>
      </c>
      <c r="V74" s="60"/>
      <c r="W74" s="38"/>
      <c r="X74" s="60"/>
      <c r="Y74" s="38">
        <v>-113999</v>
      </c>
    </row>
    <row r="75" spans="1:25" x14ac:dyDescent="0.25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>
        <v>-240000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240000</v>
      </c>
      <c r="V77" s="60"/>
      <c r="W77" s="38"/>
      <c r="X77" s="60"/>
      <c r="Y77" s="38"/>
    </row>
    <row r="78" spans="1:25" x14ac:dyDescent="0.25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-2.3283064365386963E-10</v>
      </c>
      <c r="F82" s="92">
        <f>F16+F24+F29+F36+F43+F45+F47+F49</f>
        <v>0</v>
      </c>
      <c r="G82" s="93">
        <f>SUM(G72:G81)+G16+G24+G29+G36+G43+G45+G47+G49+G51+G56+G61+G66</f>
        <v>-1327813.2600000002</v>
      </c>
      <c r="H82" s="92">
        <f>H16+H24+H29+H36+H43+H45+H47+H49</f>
        <v>0</v>
      </c>
      <c r="I82" s="93">
        <f>SUM(I72:I81)+I16+I24+I29+I36+I43+I45+I47+I49+I51+I56+I61+I66</f>
        <v>766392.26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806138</v>
      </c>
      <c r="P82" s="92">
        <f>P16+P24+P29+P36+P43+P45+P47+P49</f>
        <v>0</v>
      </c>
      <c r="Q82" s="93">
        <f>SUM(Q72:Q81)+Q16+Q24+Q29+Q36+Q43+Q45+Q47+Q49+Q51+Q56+Q61+Q66</f>
        <v>987000</v>
      </c>
      <c r="R82" s="92">
        <f>R16+R24+R29+R36+R43+R45+R47+R49</f>
        <v>0</v>
      </c>
      <c r="S82" s="93">
        <f>SUM(S72:S81)+S16+S24+S29+S36+S43+S45+S47+S49+S51+S56+S61+S66</f>
        <v>-1078800</v>
      </c>
      <c r="T82" s="92">
        <f>T16+T24+T29+T36+T43+T45+T47+T49</f>
        <v>0</v>
      </c>
      <c r="U82" s="93">
        <f>SUM(U72:U81)+U16+U24+U29+U36+U43+U45+U47+U49+U51+U56+U61+U66</f>
        <v>1475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-154392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P53" activePane="bottomRight" state="frozen"/>
      <selection activeCell="D10" sqref="D10"/>
      <selection pane="topRight" activeCell="D10" sqref="D10"/>
      <selection pane="bottomLeft" activeCell="D10" sqref="D10"/>
      <selection pane="bottomRight" activeCell="U65" sqref="U65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56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9902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180</v>
      </c>
      <c r="W8" s="27"/>
      <c r="X8" s="26" t="s">
        <v>175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-30767081.609999999</v>
      </c>
      <c r="F12" s="65"/>
      <c r="G12" s="38">
        <f>-9567067.87-395127</f>
        <v>-9962194.8699999992</v>
      </c>
      <c r="H12" s="65"/>
      <c r="I12" s="38">
        <f>-96854.9-10497809.21</f>
        <v>-10594664.110000001</v>
      </c>
      <c r="J12" s="65"/>
      <c r="K12" s="38">
        <v>0</v>
      </c>
      <c r="L12" s="65"/>
      <c r="M12" s="38">
        <v>0</v>
      </c>
      <c r="N12" s="65"/>
      <c r="O12" s="38">
        <f>-1109771.51-5147.91</f>
        <v>-1114919.42</v>
      </c>
      <c r="P12" s="65"/>
      <c r="Q12" s="38">
        <f>-2285408.19-87571.79</f>
        <v>-2372979.98</v>
      </c>
      <c r="R12" s="65"/>
      <c r="S12" s="38">
        <f>-6589260.2-133063.03</f>
        <v>-6722323.2300000004</v>
      </c>
      <c r="T12" s="65"/>
      <c r="U12" s="38">
        <v>0</v>
      </c>
      <c r="V12" s="65"/>
      <c r="W12" s="38">
        <v>0</v>
      </c>
      <c r="X12" s="65"/>
      <c r="Y12" s="38">
        <v>0</v>
      </c>
    </row>
    <row r="13" spans="1:25" x14ac:dyDescent="0.25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-30767081.609999999</v>
      </c>
      <c r="F16" s="61">
        <f t="shared" si="1"/>
        <v>0</v>
      </c>
      <c r="G16" s="39">
        <f t="shared" si="1"/>
        <v>-9962194.8699999992</v>
      </c>
      <c r="H16" s="61">
        <f t="shared" si="1"/>
        <v>0</v>
      </c>
      <c r="I16" s="39">
        <f t="shared" si="1"/>
        <v>-10594664.110000001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-1114919.42</v>
      </c>
      <c r="P16" s="61">
        <f t="shared" si="1"/>
        <v>0</v>
      </c>
      <c r="Q16" s="39">
        <f t="shared" si="1"/>
        <v>-2372979.98</v>
      </c>
      <c r="R16" s="61">
        <f t="shared" si="1"/>
        <v>0</v>
      </c>
      <c r="S16" s="39">
        <f t="shared" si="1"/>
        <v>-6722323.2300000004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4082699.7899999996</v>
      </c>
      <c r="F20" s="65"/>
      <c r="G20" s="38">
        <f>279781-65904.12</f>
        <v>213876.88</v>
      </c>
      <c r="H20" s="65"/>
      <c r="I20" s="38">
        <f>175997.78+3600972.5</f>
        <v>3776970.28</v>
      </c>
      <c r="J20" s="65"/>
      <c r="K20" s="38">
        <v>-1135706.29</v>
      </c>
      <c r="L20" s="65"/>
      <c r="M20" s="38">
        <v>0</v>
      </c>
      <c r="N20" s="65"/>
      <c r="O20" s="38">
        <f>46200+152664.66</f>
        <v>198864.66</v>
      </c>
      <c r="P20" s="65"/>
      <c r="Q20" s="38">
        <f>985.54+497042.41</f>
        <v>498027.94999999995</v>
      </c>
      <c r="R20" s="65"/>
      <c r="S20" s="38">
        <f>99469.86+431196.45</f>
        <v>530666.31000000006</v>
      </c>
      <c r="T20" s="65"/>
      <c r="U20" s="38">
        <v>0</v>
      </c>
      <c r="V20" s="65"/>
      <c r="W20" s="38">
        <v>0</v>
      </c>
      <c r="X20" s="65"/>
      <c r="Y20" s="38">
        <v>0</v>
      </c>
    </row>
    <row r="21" spans="1:25" x14ac:dyDescent="0.25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4082699.7899999996</v>
      </c>
      <c r="F24" s="61">
        <f t="shared" si="3"/>
        <v>0</v>
      </c>
      <c r="G24" s="39">
        <f t="shared" si="3"/>
        <v>213876.88</v>
      </c>
      <c r="H24" s="61">
        <f t="shared" si="3"/>
        <v>0</v>
      </c>
      <c r="I24" s="39">
        <f t="shared" si="3"/>
        <v>3776970.28</v>
      </c>
      <c r="J24" s="61">
        <f t="shared" si="3"/>
        <v>0</v>
      </c>
      <c r="K24" s="39">
        <f t="shared" si="3"/>
        <v>-1135706.29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198864.66</v>
      </c>
      <c r="P24" s="61">
        <f t="shared" si="3"/>
        <v>0</v>
      </c>
      <c r="Q24" s="39">
        <f t="shared" si="3"/>
        <v>498027.94999999995</v>
      </c>
      <c r="R24" s="61">
        <f t="shared" si="3"/>
        <v>0</v>
      </c>
      <c r="S24" s="39">
        <f t="shared" si="3"/>
        <v>530666.31000000006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-7580834.4600000009</v>
      </c>
      <c r="F70" s="60"/>
      <c r="G70" s="38">
        <f>1188829-176228</f>
        <v>1012601</v>
      </c>
      <c r="H70" s="60"/>
      <c r="I70" s="38">
        <f>-9309757+6906.04</f>
        <v>-9302850.9600000009</v>
      </c>
      <c r="J70" s="60"/>
      <c r="K70" s="38">
        <v>0</v>
      </c>
      <c r="L70" s="60"/>
      <c r="M70" s="38">
        <v>0</v>
      </c>
      <c r="N70" s="60"/>
      <c r="O70" s="38">
        <v>594969</v>
      </c>
      <c r="P70" s="60"/>
      <c r="Q70" s="38">
        <v>0</v>
      </c>
      <c r="R70" s="60"/>
      <c r="S70" s="38">
        <f>-72418-67597.5</f>
        <v>-140015.5</v>
      </c>
      <c r="T70" s="60"/>
      <c r="U70" s="38">
        <v>37841</v>
      </c>
      <c r="V70" s="60"/>
      <c r="W70" s="38">
        <v>176228</v>
      </c>
      <c r="X70" s="60"/>
      <c r="Y70" s="38">
        <v>40393</v>
      </c>
    </row>
    <row r="71" spans="1:25" x14ac:dyDescent="0.25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5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-7580834.4600000009</v>
      </c>
      <c r="F72" s="61">
        <f t="shared" si="13"/>
        <v>0</v>
      </c>
      <c r="G72" s="39">
        <f t="shared" si="13"/>
        <v>1012601</v>
      </c>
      <c r="H72" s="61">
        <f t="shared" si="13"/>
        <v>0</v>
      </c>
      <c r="I72" s="39">
        <f t="shared" si="13"/>
        <v>-9302850.9600000009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594969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-140015.5</v>
      </c>
      <c r="T72" s="61">
        <f t="shared" si="13"/>
        <v>0</v>
      </c>
      <c r="U72" s="39">
        <f t="shared" si="13"/>
        <v>37841</v>
      </c>
      <c r="V72" s="61">
        <f t="shared" si="13"/>
        <v>0</v>
      </c>
      <c r="W72" s="39">
        <f t="shared" si="13"/>
        <v>176228</v>
      </c>
      <c r="X72" s="61">
        <f t="shared" si="13"/>
        <v>0</v>
      </c>
      <c r="Y72" s="39">
        <f t="shared" si="13"/>
        <v>40393</v>
      </c>
    </row>
    <row r="73" spans="1:25" x14ac:dyDescent="0.25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9762579.2100000009</v>
      </c>
      <c r="F74" s="65"/>
      <c r="G74" s="66">
        <v>-832585.26</v>
      </c>
      <c r="H74" s="65"/>
      <c r="I74" s="66">
        <f>1789970.24+3975686.78-27068.98</f>
        <v>5738588.0399999991</v>
      </c>
      <c r="J74" s="65"/>
      <c r="K74" s="66">
        <v>0</v>
      </c>
      <c r="L74" s="65"/>
      <c r="M74" s="66">
        <v>0</v>
      </c>
      <c r="N74" s="65"/>
      <c r="O74" s="66">
        <v>487082.23</v>
      </c>
      <c r="P74" s="65"/>
      <c r="Q74" s="66">
        <v>0</v>
      </c>
      <c r="R74" s="65"/>
      <c r="S74" s="66">
        <f>-2845658.46-680000</f>
        <v>-3525658.46</v>
      </c>
      <c r="T74" s="65"/>
      <c r="U74" s="66">
        <v>7895152.6600000001</v>
      </c>
      <c r="V74" s="65"/>
      <c r="W74" s="66">
        <v>0</v>
      </c>
      <c r="X74" s="65"/>
      <c r="Y74" s="66">
        <v>0</v>
      </c>
    </row>
    <row r="75" spans="1:25" x14ac:dyDescent="0.25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171700</v>
      </c>
      <c r="F75" s="65"/>
      <c r="G75" s="38">
        <v>57200</v>
      </c>
      <c r="H75" s="65"/>
      <c r="I75" s="38">
        <v>16300</v>
      </c>
      <c r="J75" s="65"/>
      <c r="K75" s="38">
        <v>0</v>
      </c>
      <c r="L75" s="65"/>
      <c r="M75" s="38">
        <v>0</v>
      </c>
      <c r="N75" s="65"/>
      <c r="O75" s="38">
        <v>45400</v>
      </c>
      <c r="P75" s="65"/>
      <c r="Q75" s="38">
        <v>0</v>
      </c>
      <c r="R75" s="65"/>
      <c r="S75" s="38">
        <f>4200+48600</f>
        <v>52800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0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-4753809</v>
      </c>
      <c r="F77" s="65"/>
      <c r="G77" s="38"/>
      <c r="H77" s="65"/>
      <c r="I77" s="38">
        <v>-3036809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-29084746.07</v>
      </c>
      <c r="F82" s="92">
        <f>F16+F24+F29+F36+F43+F45+F47+F49</f>
        <v>0</v>
      </c>
      <c r="G82" s="93">
        <f>SUM(G72:G81)+G16+G24+G29+G36+G43+G45+G47+G49+G51+G56+G61+G66</f>
        <v>-9511102.2499999981</v>
      </c>
      <c r="H82" s="92">
        <f>H16+H24+H29+H36+H43+H45+H47+H49</f>
        <v>0</v>
      </c>
      <c r="I82" s="93">
        <f>SUM(I72:I81)+I16+I24+I29+I36+I43+I45+I47+I49+I51+I56+I61+I66</f>
        <v>-13402465.750000002</v>
      </c>
      <c r="J82" s="92">
        <f>J16+J24+J29+J36+J43+J45+J47+J49</f>
        <v>0</v>
      </c>
      <c r="K82" s="93">
        <f>SUM(K72:K81)+K16+K24+K29+K36+K43+K45+K47+K49+K51+K56+K61+K66</f>
        <v>-1135706.29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211396.47000000006</v>
      </c>
      <c r="P82" s="92">
        <f>P16+P24+P29+P36+P43+P45+P47+P49</f>
        <v>0</v>
      </c>
      <c r="Q82" s="93">
        <f>SUM(Q72:Q81)+Q16+Q24+Q29+Q36+Q43+Q45+Q47+Q49+Q51+Q56+Q61+Q66</f>
        <v>-2694952.0300000003</v>
      </c>
      <c r="R82" s="92">
        <f>R16+R24+R29+R36+R43+R45+R47+R49</f>
        <v>0</v>
      </c>
      <c r="S82" s="93">
        <f>SUM(S72:S81)+S16+S24+S29+S36+S43+S45+S47+S49+S51+S56+S61+S66</f>
        <v>-9804530.8800000008</v>
      </c>
      <c r="T82" s="92">
        <f>T16+T24+T29+T36+T43+T45+T47+T49</f>
        <v>0</v>
      </c>
      <c r="U82" s="93">
        <f>SUM(U72:U81)+U16+U24+U29+U36+U43+U45+U47+U49+U51+U56+U61+U66</f>
        <v>7035993.6600000001</v>
      </c>
      <c r="V82" s="92">
        <f>V16+V24+V29+V36+V43+V45+V47+V49</f>
        <v>0</v>
      </c>
      <c r="W82" s="93">
        <f>SUM(W72:W81)+W16+W24+W29+W36+W43+W45+W47+W49+W51+W56+W61+W66</f>
        <v>176228</v>
      </c>
      <c r="X82" s="92">
        <f>X16+X24+X29+X36+X43+X45+X47+X49</f>
        <v>0</v>
      </c>
      <c r="Y82" s="93">
        <f>SUM(Y72:Y81)+Y16+Y24+Y29+Y36+Y43+Y45+Y47+Y49+Y51+Y56+Y61+Y66</f>
        <v>40393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E84" s="156">
        <f>+E12+E20+E74</f>
        <v>-16921802.609999999</v>
      </c>
      <c r="M84" s="45"/>
    </row>
    <row r="85" spans="1:26" x14ac:dyDescent="0.25">
      <c r="A85" s="4" t="s">
        <v>197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5">
      <c r="A86" s="183"/>
      <c r="C86" s="10" t="s">
        <v>189</v>
      </c>
      <c r="D86" s="184">
        <f t="shared" ref="D86:E88" si="16">F86+H86+J86+L86+N86+P86+R86+T86+V86+X86</f>
        <v>0</v>
      </c>
      <c r="E86" s="184">
        <f t="shared" si="16"/>
        <v>60691.46</v>
      </c>
      <c r="F86" s="184"/>
      <c r="G86" s="184"/>
      <c r="H86" s="184"/>
      <c r="I86" s="184">
        <v>-6906.04</v>
      </c>
      <c r="J86" s="184"/>
      <c r="K86" s="184"/>
      <c r="L86" s="184"/>
      <c r="M86" s="184"/>
      <c r="N86" s="184"/>
      <c r="O86" s="184"/>
      <c r="P86" s="184"/>
      <c r="Q86" s="184"/>
      <c r="R86" s="184"/>
      <c r="S86" s="184">
        <v>67597.5</v>
      </c>
      <c r="T86" s="184"/>
      <c r="U86" s="184"/>
      <c r="V86" s="184"/>
      <c r="W86" s="184">
        <v>0</v>
      </c>
      <c r="X86" s="184"/>
      <c r="Y86" s="184"/>
    </row>
    <row r="87" spans="1:26" s="3" customFormat="1" x14ac:dyDescent="0.25">
      <c r="A87" s="183"/>
      <c r="C87" s="10" t="s">
        <v>75</v>
      </c>
      <c r="D87" s="185">
        <f t="shared" si="16"/>
        <v>0</v>
      </c>
      <c r="E87" s="185">
        <f t="shared" si="16"/>
        <v>0</v>
      </c>
      <c r="F87" s="185">
        <v>0</v>
      </c>
      <c r="G87" s="185"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f>U87+W87+Y87+AA87+AC87+AE87+AG87+AI87+AK87+AM87</f>
        <v>0</v>
      </c>
      <c r="T87" s="185">
        <f>V87+X87+Z87+AB87+AD87+AF87+AH87+AJ87+AL87+AN87</f>
        <v>0</v>
      </c>
      <c r="U87" s="185"/>
      <c r="V87" s="185"/>
      <c r="W87" s="185"/>
      <c r="X87" s="185"/>
      <c r="Y87" s="185"/>
    </row>
    <row r="88" spans="1:26" s="3" customFormat="1" x14ac:dyDescent="0.25">
      <c r="A88" s="183"/>
      <c r="C88" s="10" t="s">
        <v>76</v>
      </c>
      <c r="D88" s="186">
        <f t="shared" si="16"/>
        <v>0</v>
      </c>
      <c r="E88" s="186">
        <f t="shared" si="16"/>
        <v>-48600</v>
      </c>
      <c r="F88" s="186">
        <v>0</v>
      </c>
      <c r="G88" s="186"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-48600</v>
      </c>
      <c r="T88" s="186">
        <f>V88+X88+Z88+AB88+AD88+AF88+AH88+AJ88+AL88+AN88</f>
        <v>0</v>
      </c>
      <c r="U88" s="186"/>
      <c r="V88" s="186"/>
      <c r="W88" s="186"/>
      <c r="X88" s="186"/>
      <c r="Y88" s="186"/>
    </row>
    <row r="89" spans="1:26" s="149" customFormat="1" ht="20.25" customHeight="1" x14ac:dyDescent="0.25">
      <c r="A89" s="187"/>
      <c r="B89" s="188"/>
      <c r="C89" s="201" t="s">
        <v>198</v>
      </c>
      <c r="D89" s="190">
        <f>SUM(D86:D88)</f>
        <v>0</v>
      </c>
      <c r="E89" s="190">
        <f t="shared" ref="E89:Y89" si="17">SUM(E86:E88)</f>
        <v>12091.46</v>
      </c>
      <c r="F89" s="190">
        <f t="shared" si="17"/>
        <v>0</v>
      </c>
      <c r="G89" s="190">
        <f t="shared" si="17"/>
        <v>0</v>
      </c>
      <c r="H89" s="190">
        <f t="shared" si="17"/>
        <v>0</v>
      </c>
      <c r="I89" s="190">
        <f t="shared" si="17"/>
        <v>-6906.04</v>
      </c>
      <c r="J89" s="190">
        <f t="shared" si="17"/>
        <v>0</v>
      </c>
      <c r="K89" s="190">
        <f t="shared" si="17"/>
        <v>0</v>
      </c>
      <c r="L89" s="190">
        <f t="shared" si="17"/>
        <v>0</v>
      </c>
      <c r="M89" s="190">
        <f t="shared" si="17"/>
        <v>0</v>
      </c>
      <c r="N89" s="190">
        <f t="shared" si="17"/>
        <v>0</v>
      </c>
      <c r="O89" s="190">
        <f t="shared" si="17"/>
        <v>0</v>
      </c>
      <c r="P89" s="190">
        <f t="shared" si="17"/>
        <v>0</v>
      </c>
      <c r="Q89" s="190">
        <f t="shared" si="17"/>
        <v>0</v>
      </c>
      <c r="R89" s="190">
        <f t="shared" si="17"/>
        <v>0</v>
      </c>
      <c r="S89" s="190">
        <f t="shared" si="17"/>
        <v>18997.5</v>
      </c>
      <c r="T89" s="190">
        <f t="shared" si="17"/>
        <v>0</v>
      </c>
      <c r="U89" s="190">
        <f t="shared" si="17"/>
        <v>0</v>
      </c>
      <c r="V89" s="190">
        <f t="shared" si="17"/>
        <v>0</v>
      </c>
      <c r="W89" s="190">
        <f t="shared" si="17"/>
        <v>0</v>
      </c>
      <c r="X89" s="190">
        <f t="shared" si="17"/>
        <v>0</v>
      </c>
      <c r="Y89" s="190">
        <f t="shared" si="17"/>
        <v>0</v>
      </c>
    </row>
    <row r="90" spans="1:26" x14ac:dyDescent="0.25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5">
      <c r="A91" s="187"/>
      <c r="B91" s="188"/>
      <c r="C91" s="189" t="s">
        <v>199</v>
      </c>
      <c r="D91" s="190">
        <f>+D82+D89</f>
        <v>0</v>
      </c>
      <c r="E91" s="190">
        <f t="shared" ref="E91:Y91" si="18">+E82+E89</f>
        <v>-29072654.609999999</v>
      </c>
      <c r="F91" s="190">
        <f t="shared" si="18"/>
        <v>0</v>
      </c>
      <c r="G91" s="190">
        <f t="shared" si="18"/>
        <v>-9511102.2499999981</v>
      </c>
      <c r="H91" s="190">
        <f t="shared" si="18"/>
        <v>0</v>
      </c>
      <c r="I91" s="190">
        <f t="shared" si="18"/>
        <v>-13409371.790000001</v>
      </c>
      <c r="J91" s="190">
        <f t="shared" si="18"/>
        <v>0</v>
      </c>
      <c r="K91" s="190">
        <f t="shared" si="18"/>
        <v>-1135706.29</v>
      </c>
      <c r="L91" s="190">
        <f t="shared" si="18"/>
        <v>0</v>
      </c>
      <c r="M91" s="190">
        <f t="shared" si="18"/>
        <v>0</v>
      </c>
      <c r="N91" s="190">
        <f t="shared" si="18"/>
        <v>0</v>
      </c>
      <c r="O91" s="190">
        <f t="shared" si="18"/>
        <v>211396.47000000006</v>
      </c>
      <c r="P91" s="190">
        <f t="shared" si="18"/>
        <v>0</v>
      </c>
      <c r="Q91" s="190">
        <f t="shared" si="18"/>
        <v>-2694952.0300000003</v>
      </c>
      <c r="R91" s="190">
        <f t="shared" si="18"/>
        <v>0</v>
      </c>
      <c r="S91" s="190">
        <f t="shared" si="18"/>
        <v>-9785533.3800000008</v>
      </c>
      <c r="T91" s="190">
        <f t="shared" si="18"/>
        <v>0</v>
      </c>
      <c r="U91" s="190">
        <f t="shared" si="18"/>
        <v>7035993.6600000001</v>
      </c>
      <c r="V91" s="190">
        <f t="shared" si="18"/>
        <v>0</v>
      </c>
      <c r="W91" s="190">
        <f t="shared" si="18"/>
        <v>176228</v>
      </c>
      <c r="X91" s="190">
        <f t="shared" si="18"/>
        <v>0</v>
      </c>
      <c r="Y91" s="190">
        <f t="shared" si="18"/>
        <v>40393</v>
      </c>
    </row>
    <row r="92" spans="1:26" s="14" customFormat="1" x14ac:dyDescent="0.25">
      <c r="A92" s="202"/>
      <c r="B92" s="203"/>
      <c r="C92" s="14" t="s">
        <v>83</v>
      </c>
      <c r="D92" s="31">
        <v>0</v>
      </c>
      <c r="E92" s="177">
        <v>-29072654.609999999</v>
      </c>
      <c r="F92" s="14">
        <v>0</v>
      </c>
      <c r="G92" s="14">
        <v>-9511102.2499999981</v>
      </c>
      <c r="H92" s="14">
        <v>0</v>
      </c>
      <c r="I92" s="14">
        <v>-13409371.790000001</v>
      </c>
      <c r="J92" s="14">
        <v>0</v>
      </c>
      <c r="K92" s="14">
        <v>-1135706.29</v>
      </c>
      <c r="L92" s="14">
        <v>0</v>
      </c>
      <c r="M92" s="14">
        <v>0</v>
      </c>
      <c r="N92" s="14">
        <v>0</v>
      </c>
      <c r="O92" s="14">
        <v>211396.47</v>
      </c>
      <c r="P92" s="14">
        <v>0</v>
      </c>
      <c r="Q92" s="14">
        <v>-2694952.03</v>
      </c>
      <c r="R92" s="14">
        <v>0</v>
      </c>
      <c r="S92" s="14">
        <v>-9785533.3800000008</v>
      </c>
      <c r="T92" s="14">
        <v>0</v>
      </c>
      <c r="U92" s="14">
        <v>7035993.6600000001</v>
      </c>
      <c r="V92" s="14">
        <v>0</v>
      </c>
      <c r="W92" s="14">
        <v>176228</v>
      </c>
      <c r="X92" s="14">
        <v>0</v>
      </c>
      <c r="Y92" s="14">
        <v>40393</v>
      </c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44934747</v>
      </c>
      <c r="E11" s="65">
        <v>81138704</v>
      </c>
      <c r="F11" s="60">
        <f>H11-D11</f>
        <v>0</v>
      </c>
      <c r="G11" s="37">
        <f>I11-E11</f>
        <v>0</v>
      </c>
      <c r="H11" s="65">
        <f t="shared" ref="H11:I15" si="0">D11</f>
        <v>44934747</v>
      </c>
      <c r="I11" s="66">
        <f t="shared" si="0"/>
        <v>81138704</v>
      </c>
      <c r="J11" s="37"/>
      <c r="K11" s="38"/>
      <c r="L11" s="60">
        <f t="shared" ref="L11:M15" si="1">H11+J11</f>
        <v>44934747</v>
      </c>
      <c r="M11" s="38">
        <f t="shared" si="1"/>
        <v>81138704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31</v>
      </c>
      <c r="D13" s="65">
        <v>15160831</v>
      </c>
      <c r="E13" s="65">
        <v>26741159</v>
      </c>
      <c r="F13" s="60">
        <f t="shared" si="2"/>
        <v>0</v>
      </c>
      <c r="G13" s="37">
        <f t="shared" si="2"/>
        <v>0</v>
      </c>
      <c r="H13" s="65">
        <f t="shared" si="0"/>
        <v>15160831</v>
      </c>
      <c r="I13" s="66">
        <f t="shared" si="0"/>
        <v>26741159</v>
      </c>
      <c r="J13" s="37"/>
      <c r="K13" s="38"/>
      <c r="L13" s="60">
        <f t="shared" si="1"/>
        <v>15160831</v>
      </c>
      <c r="M13" s="38">
        <f t="shared" si="1"/>
        <v>26741159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34</v>
      </c>
      <c r="C16" s="6"/>
      <c r="D16" s="61">
        <v>60095578</v>
      </c>
      <c r="E16" s="39">
        <v>107879863</v>
      </c>
      <c r="F16" s="61">
        <f t="shared" ref="F16:M16" si="3">SUM(F11:F15)</f>
        <v>0</v>
      </c>
      <c r="G16" s="39">
        <f t="shared" si="3"/>
        <v>0</v>
      </c>
      <c r="H16" s="61">
        <f>SUM(H11:H15)</f>
        <v>60095578</v>
      </c>
      <c r="I16" s="39">
        <f>SUM(I11:I15)</f>
        <v>107879863</v>
      </c>
      <c r="J16" s="159">
        <f t="shared" si="3"/>
        <v>0</v>
      </c>
      <c r="K16" s="39">
        <f t="shared" si="3"/>
        <v>0</v>
      </c>
      <c r="L16" s="61">
        <f t="shared" si="3"/>
        <v>60095578</v>
      </c>
      <c r="M16" s="39">
        <f t="shared" si="3"/>
        <v>107879863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-37048464</v>
      </c>
      <c r="E19" s="65">
        <v>-66159116</v>
      </c>
      <c r="F19" s="60">
        <f>H19-D19</f>
        <v>0</v>
      </c>
      <c r="G19" s="37">
        <f>I19-E19</f>
        <v>0</v>
      </c>
      <c r="H19" s="65">
        <f t="shared" si="4"/>
        <v>-37048464</v>
      </c>
      <c r="I19" s="66">
        <f t="shared" si="4"/>
        <v>-66159116</v>
      </c>
      <c r="J19" s="37"/>
      <c r="K19" s="38"/>
      <c r="L19" s="60">
        <f t="shared" ref="L19:M23" si="5">H19+J19</f>
        <v>-37048464</v>
      </c>
      <c r="M19" s="38">
        <f t="shared" si="5"/>
        <v>-66159116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-23344043</v>
      </c>
      <c r="E21" s="65">
        <v>-40617148</v>
      </c>
      <c r="F21" s="60">
        <f t="shared" si="6"/>
        <v>0</v>
      </c>
      <c r="G21" s="37">
        <f t="shared" si="6"/>
        <v>0</v>
      </c>
      <c r="H21" s="65">
        <f t="shared" si="4"/>
        <v>-23344043</v>
      </c>
      <c r="I21" s="66">
        <f t="shared" si="4"/>
        <v>-40617148</v>
      </c>
      <c r="J21" s="37"/>
      <c r="K21" s="38"/>
      <c r="L21" s="60">
        <f t="shared" si="5"/>
        <v>-23344043</v>
      </c>
      <c r="M21" s="38">
        <f t="shared" si="5"/>
        <v>-40617148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319974</v>
      </c>
      <c r="E23" s="65">
        <v>544806</v>
      </c>
      <c r="F23" s="60">
        <f t="shared" si="6"/>
        <v>0</v>
      </c>
      <c r="G23" s="37">
        <f t="shared" si="6"/>
        <v>0</v>
      </c>
      <c r="H23" s="65">
        <f t="shared" si="4"/>
        <v>319974</v>
      </c>
      <c r="I23" s="66">
        <f t="shared" si="4"/>
        <v>544806</v>
      </c>
      <c r="J23" s="37"/>
      <c r="K23" s="38"/>
      <c r="L23" s="60">
        <f t="shared" si="5"/>
        <v>319974</v>
      </c>
      <c r="M23" s="38">
        <f t="shared" si="5"/>
        <v>544806</v>
      </c>
    </row>
    <row r="24" spans="1:13" x14ac:dyDescent="0.25">
      <c r="A24" s="9"/>
      <c r="B24" s="7" t="s">
        <v>37</v>
      </c>
      <c r="C24" s="6"/>
      <c r="D24" s="61">
        <v>-60072533</v>
      </c>
      <c r="E24" s="39">
        <v>-106231458</v>
      </c>
      <c r="F24" s="61">
        <f t="shared" ref="F24:M24" si="7">SUM(F19:F23)</f>
        <v>0</v>
      </c>
      <c r="G24" s="39">
        <f t="shared" si="7"/>
        <v>0</v>
      </c>
      <c r="H24" s="61">
        <f>SUM(H19:H23)</f>
        <v>-60072533</v>
      </c>
      <c r="I24" s="39">
        <f>SUM(I19:I23)</f>
        <v>-106231458</v>
      </c>
      <c r="J24" s="159">
        <f t="shared" si="7"/>
        <v>0</v>
      </c>
      <c r="K24" s="39">
        <f t="shared" si="7"/>
        <v>0</v>
      </c>
      <c r="L24" s="61">
        <f t="shared" si="7"/>
        <v>-60072533</v>
      </c>
      <c r="M24" s="39">
        <f t="shared" si="7"/>
        <v>-106231458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3305327</v>
      </c>
      <c r="E32" s="65">
        <v>6039892</v>
      </c>
      <c r="F32" s="60">
        <f>H32-D32</f>
        <v>0</v>
      </c>
      <c r="G32" s="37">
        <f>I32-E32</f>
        <v>0</v>
      </c>
      <c r="H32" s="65">
        <f t="shared" ref="H32:I35" si="9">D32</f>
        <v>3305327</v>
      </c>
      <c r="I32" s="66">
        <f t="shared" si="9"/>
        <v>6039892</v>
      </c>
      <c r="J32" s="37"/>
      <c r="K32" s="38"/>
      <c r="L32" s="60">
        <f t="shared" ref="L32:M35" si="10">H32+J32</f>
        <v>3305327</v>
      </c>
      <c r="M32" s="38">
        <f t="shared" si="10"/>
        <v>6039892</v>
      </c>
    </row>
    <row r="33" spans="1:13" x14ac:dyDescent="0.25">
      <c r="A33" s="9">
        <v>14</v>
      </c>
      <c r="B33" s="7"/>
      <c r="C33" s="18" t="s">
        <v>44</v>
      </c>
      <c r="D33" s="65">
        <v>-3353971</v>
      </c>
      <c r="E33" s="65">
        <v>-6027879.4058935335</v>
      </c>
      <c r="F33" s="60">
        <f t="shared" ref="F33:G35" si="11">H33-D33</f>
        <v>0</v>
      </c>
      <c r="G33" s="37">
        <f t="shared" si="11"/>
        <v>0</v>
      </c>
      <c r="H33" s="65">
        <f t="shared" si="9"/>
        <v>-3353971</v>
      </c>
      <c r="I33" s="66">
        <f t="shared" si="9"/>
        <v>-6027879.4058935335</v>
      </c>
      <c r="J33" s="37"/>
      <c r="K33" s="38"/>
      <c r="L33" s="60">
        <f t="shared" si="10"/>
        <v>-3353971</v>
      </c>
      <c r="M33" s="38">
        <f t="shared" si="10"/>
        <v>-6027879.4058935335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-48644</v>
      </c>
      <c r="E36" s="39">
        <v>12012.594106466509</v>
      </c>
      <c r="F36" s="61">
        <f>SUM(F32:F35)</f>
        <v>0</v>
      </c>
      <c r="G36" s="39">
        <f>SUM(G32:G35)</f>
        <v>0</v>
      </c>
      <c r="H36" s="61">
        <f>SUM(H32:H35)</f>
        <v>-48644</v>
      </c>
      <c r="I36" s="39">
        <f>SUM(I32:I35)</f>
        <v>12012.594106466509</v>
      </c>
      <c r="J36" s="159">
        <f>SUM(J32:J34)</f>
        <v>0</v>
      </c>
      <c r="K36" s="39">
        <f>SUM(K32:K34)</f>
        <v>0</v>
      </c>
      <c r="L36" s="61">
        <f>SUM(L32:L35)</f>
        <v>-48644</v>
      </c>
      <c r="M36" s="39">
        <f>SUM(M32:M35)</f>
        <v>12012.594106466509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103162</v>
      </c>
      <c r="E39" s="65">
        <v>183113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103162</v>
      </c>
      <c r="I39" s="66">
        <f t="shared" si="12"/>
        <v>183113</v>
      </c>
      <c r="J39" s="37"/>
      <c r="K39" s="38"/>
      <c r="L39" s="60">
        <f t="shared" ref="L39:M41" si="14">H39+J39</f>
        <v>103162</v>
      </c>
      <c r="M39" s="38">
        <f t="shared" si="14"/>
        <v>183113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-21803</v>
      </c>
      <c r="E40" s="65">
        <v>-38374</v>
      </c>
      <c r="F40" s="60">
        <f t="shared" si="13"/>
        <v>0</v>
      </c>
      <c r="G40" s="37">
        <f t="shared" si="13"/>
        <v>0</v>
      </c>
      <c r="H40" s="65">
        <f t="shared" si="12"/>
        <v>-21803</v>
      </c>
      <c r="I40" s="66">
        <f t="shared" si="12"/>
        <v>-38374</v>
      </c>
      <c r="J40" s="37"/>
      <c r="K40" s="38"/>
      <c r="L40" s="60">
        <f t="shared" si="14"/>
        <v>-21803</v>
      </c>
      <c r="M40" s="38">
        <f t="shared" si="14"/>
        <v>-38374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-21803</v>
      </c>
      <c r="E42" s="39">
        <v>-38374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-21803</v>
      </c>
      <c r="I42" s="39">
        <f>SUM(I40:I41)</f>
        <v>-38374</v>
      </c>
      <c r="J42" s="159">
        <f t="shared" si="15"/>
        <v>0</v>
      </c>
      <c r="K42" s="39">
        <f t="shared" si="15"/>
        <v>0</v>
      </c>
      <c r="L42" s="61">
        <f t="shared" si="15"/>
        <v>-21803</v>
      </c>
      <c r="M42" s="39">
        <f t="shared" si="15"/>
        <v>-38374</v>
      </c>
    </row>
    <row r="43" spans="1:13" ht="21" customHeight="1" x14ac:dyDescent="0.25">
      <c r="A43" s="9"/>
      <c r="B43" s="7" t="s">
        <v>53</v>
      </c>
      <c r="C43" s="6"/>
      <c r="D43" s="61">
        <v>81359</v>
      </c>
      <c r="E43" s="39">
        <v>144739</v>
      </c>
      <c r="F43" s="61">
        <f t="shared" ref="F43:M43" si="16">F42+F39</f>
        <v>0</v>
      </c>
      <c r="G43" s="39">
        <f t="shared" si="16"/>
        <v>0</v>
      </c>
      <c r="H43" s="61">
        <f>H42+H39</f>
        <v>81359</v>
      </c>
      <c r="I43" s="39">
        <f>I42+I39</f>
        <v>144739</v>
      </c>
      <c r="J43" s="159">
        <f t="shared" si="16"/>
        <v>0</v>
      </c>
      <c r="K43" s="39">
        <f t="shared" si="16"/>
        <v>0</v>
      </c>
      <c r="L43" s="61">
        <f t="shared" si="16"/>
        <v>81359</v>
      </c>
      <c r="M43" s="39">
        <f t="shared" si="16"/>
        <v>144739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-319974</v>
      </c>
      <c r="E51" s="65">
        <v>-544806</v>
      </c>
      <c r="F51" s="60">
        <f>H51-D51</f>
        <v>0</v>
      </c>
      <c r="G51" s="37">
        <f>I51-E51</f>
        <v>0</v>
      </c>
      <c r="H51" s="65">
        <f>D51</f>
        <v>-319974</v>
      </c>
      <c r="I51" s="66">
        <f>E51</f>
        <v>-544806</v>
      </c>
      <c r="J51" s="37"/>
      <c r="K51" s="38"/>
      <c r="L51" s="60">
        <f>H51+J51</f>
        <v>-319974</v>
      </c>
      <c r="M51" s="38">
        <f>I51+K51</f>
        <v>-544806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-111994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-111994</v>
      </c>
      <c r="J54" s="37"/>
      <c r="K54" s="38"/>
      <c r="L54" s="60">
        <f>H54+J54</f>
        <v>0</v>
      </c>
      <c r="M54" s="38">
        <f>I54+K54</f>
        <v>-111994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-1755333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-1755333</v>
      </c>
      <c r="J55" s="37"/>
      <c r="K55" s="38"/>
      <c r="L55" s="60">
        <f>H55+J55</f>
        <v>0</v>
      </c>
      <c r="M55" s="38">
        <f>I55+K55</f>
        <v>-1755333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-1867327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-1867327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-1867327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2345878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2345878</v>
      </c>
      <c r="J70" s="37"/>
      <c r="K70" s="38"/>
      <c r="L70" s="60">
        <f t="shared" si="20"/>
        <v>0</v>
      </c>
      <c r="M70" s="38">
        <f t="shared" si="20"/>
        <v>2345878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-1540441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-1540441</v>
      </c>
      <c r="J71" s="37"/>
      <c r="K71" s="38"/>
      <c r="L71" s="60">
        <f t="shared" si="20"/>
        <v>0</v>
      </c>
      <c r="M71" s="38">
        <f t="shared" si="20"/>
        <v>-1540441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805437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805437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805437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-1058947.8445764706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-1058947.8445764706</v>
      </c>
      <c r="J74" s="37"/>
      <c r="K74" s="38"/>
      <c r="L74" s="60">
        <f t="shared" si="24"/>
        <v>0</v>
      </c>
      <c r="M74" s="38">
        <f t="shared" si="24"/>
        <v>-1058947.8445764706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57171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57171</v>
      </c>
      <c r="J75" s="37"/>
      <c r="K75" s="38"/>
      <c r="L75" s="60">
        <f t="shared" si="24"/>
        <v>0</v>
      </c>
      <c r="M75" s="38">
        <f t="shared" si="24"/>
        <v>57171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-3775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-3775</v>
      </c>
      <c r="J76" s="37"/>
      <c r="K76" s="38"/>
      <c r="L76" s="60">
        <f t="shared" si="24"/>
        <v>0</v>
      </c>
      <c r="M76" s="38">
        <f t="shared" si="24"/>
        <v>-3775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1129931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1129931</v>
      </c>
      <c r="J79" s="37"/>
      <c r="K79" s="38"/>
      <c r="L79" s="60">
        <f t="shared" si="24"/>
        <v>0</v>
      </c>
      <c r="M79" s="38">
        <f t="shared" si="24"/>
        <v>1129931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0</v>
      </c>
      <c r="J81" s="37"/>
      <c r="K81" s="38"/>
      <c r="L81" s="60">
        <f t="shared" si="24"/>
        <v>0</v>
      </c>
      <c r="M81" s="38">
        <f t="shared" si="24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55760</v>
      </c>
      <c r="E82" s="74">
        <f>SUM(E72:E81)+E16+E24+E29+E36+E43+E45+E47+E49+E51+E56+E61+E66</f>
        <v>322839.7495299885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55760</v>
      </c>
      <c r="I82" s="161">
        <f>SUM(I72:I81)+I16+I24+I29+I36+I43+I45+I47+I49+I51+I56+I61+I66</f>
        <v>322839.7495299885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55760</v>
      </c>
      <c r="M82" s="74">
        <f>SUM(M72:M81)+M16+M24+M29+M36+M43+M45+M47+M49+M51+M56+M61+M66</f>
        <v>322839.7495299885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30" sqref="G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93951748</v>
      </c>
      <c r="E11" s="38">
        <v>168966082</v>
      </c>
      <c r="F11" s="60">
        <f>H11-D11</f>
        <v>0</v>
      </c>
      <c r="G11" s="37">
        <f>I11-E11</f>
        <v>0</v>
      </c>
      <c r="H11" s="65">
        <f>D11</f>
        <v>93951748</v>
      </c>
      <c r="I11" s="66">
        <f>E11</f>
        <v>168966082</v>
      </c>
      <c r="J11" s="60"/>
      <c r="K11" s="38"/>
      <c r="L11" s="60">
        <f t="shared" ref="L11:M15" si="0">H11+J11</f>
        <v>93951748</v>
      </c>
      <c r="M11" s="38">
        <f t="shared" si="0"/>
        <v>168966082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63965777</v>
      </c>
      <c r="E13" s="38">
        <v>119726634.42029975</v>
      </c>
      <c r="F13" s="60">
        <f t="shared" si="1"/>
        <v>0</v>
      </c>
      <c r="G13" s="37">
        <f t="shared" si="1"/>
        <v>0</v>
      </c>
      <c r="H13" s="65">
        <f t="shared" si="2"/>
        <v>63965777</v>
      </c>
      <c r="I13" s="66">
        <f t="shared" si="2"/>
        <v>119726634.42029975</v>
      </c>
      <c r="J13" s="60"/>
      <c r="K13" s="38"/>
      <c r="L13" s="60">
        <f t="shared" si="0"/>
        <v>63965777</v>
      </c>
      <c r="M13" s="38">
        <f t="shared" si="0"/>
        <v>119726634.42029975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88910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88910</v>
      </c>
      <c r="J14" s="60"/>
      <c r="K14" s="38"/>
      <c r="L14" s="60">
        <f t="shared" si="0"/>
        <v>0</v>
      </c>
      <c r="M14" s="38">
        <f t="shared" si="0"/>
        <v>88910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157917525</v>
      </c>
      <c r="E16" s="39">
        <v>288781626.42029977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157917525</v>
      </c>
      <c r="I16" s="39">
        <f>SUM(I11:I15)</f>
        <v>288781626.42029977</v>
      </c>
      <c r="J16" s="61">
        <f t="shared" si="3"/>
        <v>0</v>
      </c>
      <c r="K16" s="39">
        <f t="shared" si="3"/>
        <v>0</v>
      </c>
      <c r="L16" s="61">
        <f t="shared" si="3"/>
        <v>157917525</v>
      </c>
      <c r="M16" s="39">
        <f t="shared" si="3"/>
        <v>288781626.42029977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-94462979</v>
      </c>
      <c r="E19" s="38">
        <v>-171418036</v>
      </c>
      <c r="F19" s="60">
        <f>H19-D19</f>
        <v>0</v>
      </c>
      <c r="G19" s="37">
        <f>I19-E19</f>
        <v>0</v>
      </c>
      <c r="H19" s="65">
        <f t="shared" si="4"/>
        <v>-94462979</v>
      </c>
      <c r="I19" s="66">
        <f t="shared" si="4"/>
        <v>-171418036</v>
      </c>
      <c r="J19" s="60"/>
      <c r="K19" s="38"/>
      <c r="L19" s="60">
        <f t="shared" ref="L19:M23" si="5">H19+J19</f>
        <v>-94462979</v>
      </c>
      <c r="M19" s="38">
        <f t="shared" si="5"/>
        <v>-171418036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-55713434</v>
      </c>
      <c r="E21" s="38">
        <v>-106066009</v>
      </c>
      <c r="F21" s="60">
        <f t="shared" si="6"/>
        <v>0</v>
      </c>
      <c r="G21" s="37">
        <f t="shared" si="6"/>
        <v>0</v>
      </c>
      <c r="H21" s="65">
        <f t="shared" si="4"/>
        <v>-55713434</v>
      </c>
      <c r="I21" s="66">
        <f t="shared" si="4"/>
        <v>-106066009</v>
      </c>
      <c r="J21" s="60"/>
      <c r="K21" s="38"/>
      <c r="L21" s="60">
        <f t="shared" si="5"/>
        <v>-55713434</v>
      </c>
      <c r="M21" s="38">
        <f t="shared" si="5"/>
        <v>-106066009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627064</v>
      </c>
      <c r="E23" s="38">
        <v>1144342</v>
      </c>
      <c r="F23" s="60">
        <f t="shared" si="6"/>
        <v>0</v>
      </c>
      <c r="G23" s="37">
        <f t="shared" si="6"/>
        <v>0</v>
      </c>
      <c r="H23" s="65">
        <f t="shared" si="4"/>
        <v>627064</v>
      </c>
      <c r="I23" s="66">
        <f t="shared" si="4"/>
        <v>1144342</v>
      </c>
      <c r="J23" s="60"/>
      <c r="K23" s="38"/>
      <c r="L23" s="60">
        <f t="shared" si="5"/>
        <v>627064</v>
      </c>
      <c r="M23" s="38">
        <f t="shared" si="5"/>
        <v>1144342</v>
      </c>
    </row>
    <row r="24" spans="1:13" x14ac:dyDescent="0.25">
      <c r="A24" s="9"/>
      <c r="B24" s="7" t="s">
        <v>37</v>
      </c>
      <c r="C24" s="6"/>
      <c r="D24" s="61">
        <v>-149549349</v>
      </c>
      <c r="E24" s="39">
        <v>-276339703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-149549349</v>
      </c>
      <c r="I24" s="39">
        <f>SUM(I19:I23)</f>
        <v>-276339703</v>
      </c>
      <c r="J24" s="61">
        <f t="shared" si="7"/>
        <v>0</v>
      </c>
      <c r="K24" s="39">
        <f t="shared" si="7"/>
        <v>0</v>
      </c>
      <c r="L24" s="61">
        <f t="shared" si="7"/>
        <v>-149549349</v>
      </c>
      <c r="M24" s="39">
        <f t="shared" si="7"/>
        <v>-276339703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-842723</v>
      </c>
      <c r="E27" s="38">
        <v>-1517548</v>
      </c>
      <c r="F27" s="60">
        <f>H27-D27</f>
        <v>0</v>
      </c>
      <c r="G27" s="37">
        <f>I27-E27</f>
        <v>0</v>
      </c>
      <c r="H27" s="65">
        <f>D27</f>
        <v>-842723</v>
      </c>
      <c r="I27" s="66">
        <f>E27</f>
        <v>-1517548</v>
      </c>
      <c r="J27" s="60"/>
      <c r="K27" s="38"/>
      <c r="L27" s="60">
        <f>H27+J27</f>
        <v>-842723</v>
      </c>
      <c r="M27" s="38">
        <f>I27+K27</f>
        <v>-1517548</v>
      </c>
    </row>
    <row r="28" spans="1:13" x14ac:dyDescent="0.25">
      <c r="A28" s="9">
        <v>12</v>
      </c>
      <c r="B28" s="7"/>
      <c r="C28" s="18" t="s">
        <v>40</v>
      </c>
      <c r="D28" s="60">
        <v>922792</v>
      </c>
      <c r="E28" s="38">
        <v>1649530</v>
      </c>
      <c r="F28" s="60">
        <f>H28-D28</f>
        <v>0</v>
      </c>
      <c r="G28" s="37">
        <f>I28-E28</f>
        <v>0</v>
      </c>
      <c r="H28" s="65">
        <f>D28</f>
        <v>922792</v>
      </c>
      <c r="I28" s="66">
        <f>E28</f>
        <v>1649530</v>
      </c>
      <c r="J28" s="60"/>
      <c r="K28" s="38"/>
      <c r="L28" s="60">
        <f>H28+J28</f>
        <v>922792</v>
      </c>
      <c r="M28" s="38">
        <f>I28+K28</f>
        <v>1649530</v>
      </c>
    </row>
    <row r="29" spans="1:13" x14ac:dyDescent="0.25">
      <c r="A29" s="9"/>
      <c r="B29" s="7" t="s">
        <v>41</v>
      </c>
      <c r="C29" s="6"/>
      <c r="D29" s="61">
        <v>80069</v>
      </c>
      <c r="E29" s="39">
        <v>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80069</v>
      </c>
      <c r="I29" s="39">
        <f>SUM(I27:I28)</f>
        <v>131982</v>
      </c>
      <c r="J29" s="61">
        <f t="shared" si="8"/>
        <v>0</v>
      </c>
      <c r="K29" s="39">
        <f t="shared" si="8"/>
        <v>0</v>
      </c>
      <c r="L29" s="61">
        <f t="shared" si="8"/>
        <v>80069</v>
      </c>
      <c r="M29" s="39">
        <f t="shared" si="8"/>
        <v>131982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226478</v>
      </c>
      <c r="E32" s="38">
        <v>427573</v>
      </c>
      <c r="F32" s="60">
        <f>H32-D32</f>
        <v>0</v>
      </c>
      <c r="G32" s="37">
        <f>I32-E32</f>
        <v>0</v>
      </c>
      <c r="H32" s="65">
        <f t="shared" ref="H32:I35" si="9">D32</f>
        <v>226478</v>
      </c>
      <c r="I32" s="66">
        <f t="shared" si="9"/>
        <v>427573</v>
      </c>
      <c r="J32" s="60"/>
      <c r="K32" s="38"/>
      <c r="L32" s="60">
        <f t="shared" ref="L32:M35" si="10">H32+J32</f>
        <v>226478</v>
      </c>
      <c r="M32" s="38">
        <f t="shared" si="10"/>
        <v>427573</v>
      </c>
    </row>
    <row r="33" spans="1:13" x14ac:dyDescent="0.25">
      <c r="A33" s="9">
        <v>14</v>
      </c>
      <c r="B33" s="7"/>
      <c r="C33" s="18" t="s">
        <v>44</v>
      </c>
      <c r="D33" s="60">
        <v>-360353</v>
      </c>
      <c r="E33" s="38">
        <v>-666916.89810825116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-360353</v>
      </c>
      <c r="I33" s="66">
        <f t="shared" si="9"/>
        <v>-666916.89810825116</v>
      </c>
      <c r="J33" s="60"/>
      <c r="K33" s="38"/>
      <c r="L33" s="60">
        <f t="shared" si="10"/>
        <v>-360353</v>
      </c>
      <c r="M33" s="38">
        <f t="shared" si="10"/>
        <v>-666916.89810825116</v>
      </c>
    </row>
    <row r="34" spans="1:13" x14ac:dyDescent="0.25">
      <c r="A34" s="9">
        <v>15</v>
      </c>
      <c r="B34" s="7"/>
      <c r="C34" s="18" t="s">
        <v>45</v>
      </c>
      <c r="D34" s="60">
        <v>488068</v>
      </c>
      <c r="E34" s="38">
        <v>855329</v>
      </c>
      <c r="F34" s="60">
        <f t="shared" si="11"/>
        <v>0</v>
      </c>
      <c r="G34" s="37">
        <f t="shared" si="11"/>
        <v>0</v>
      </c>
      <c r="H34" s="65">
        <f t="shared" si="9"/>
        <v>488068</v>
      </c>
      <c r="I34" s="66">
        <f t="shared" si="9"/>
        <v>855329</v>
      </c>
      <c r="J34" s="60"/>
      <c r="K34" s="38"/>
      <c r="L34" s="60">
        <f t="shared" si="10"/>
        <v>488068</v>
      </c>
      <c r="M34" s="38">
        <f t="shared" si="10"/>
        <v>855329</v>
      </c>
    </row>
    <row r="35" spans="1:13" x14ac:dyDescent="0.25">
      <c r="A35" s="9">
        <v>16</v>
      </c>
      <c r="B35" s="7"/>
      <c r="C35" s="18" t="s">
        <v>46</v>
      </c>
      <c r="D35" s="60">
        <v>-238970</v>
      </c>
      <c r="E35" s="38">
        <v>-419914</v>
      </c>
      <c r="F35" s="60">
        <f t="shared" si="11"/>
        <v>0</v>
      </c>
      <c r="G35" s="37">
        <f t="shared" si="11"/>
        <v>0</v>
      </c>
      <c r="H35" s="65">
        <f t="shared" si="9"/>
        <v>-238970</v>
      </c>
      <c r="I35" s="66">
        <f t="shared" si="9"/>
        <v>-419914</v>
      </c>
      <c r="J35" s="60"/>
      <c r="K35" s="38"/>
      <c r="L35" s="60">
        <f t="shared" si="10"/>
        <v>-238970</v>
      </c>
      <c r="M35" s="38">
        <f t="shared" si="10"/>
        <v>-419914</v>
      </c>
    </row>
    <row r="36" spans="1:13" x14ac:dyDescent="0.25">
      <c r="A36" s="9"/>
      <c r="B36" s="7" t="s">
        <v>47</v>
      </c>
      <c r="C36" s="6"/>
      <c r="D36" s="61">
        <v>115223</v>
      </c>
      <c r="E36" s="39">
        <v>196071.10189174884</v>
      </c>
      <c r="F36" s="61">
        <f>SUM(F32:F35)</f>
        <v>0</v>
      </c>
      <c r="G36" s="39">
        <f>SUM(G32:G35)</f>
        <v>0</v>
      </c>
      <c r="H36" s="61">
        <f>SUM(H32:H35)</f>
        <v>115223</v>
      </c>
      <c r="I36" s="39">
        <f>SUM(I32:I35)</f>
        <v>196071.10189174884</v>
      </c>
      <c r="J36" s="61">
        <f>SUM(J32:J34)</f>
        <v>0</v>
      </c>
      <c r="K36" s="39">
        <f>SUM(K32:K34)</f>
        <v>0</v>
      </c>
      <c r="L36" s="61">
        <f>SUM(L32:L35)</f>
        <v>115223</v>
      </c>
      <c r="M36" s="39">
        <f>SUM(M32:M35)</f>
        <v>196071.10189174884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112201</v>
      </c>
      <c r="E39" s="38">
        <v>203400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112201</v>
      </c>
      <c r="I39" s="66">
        <f t="shared" si="12"/>
        <v>203400</v>
      </c>
      <c r="J39" s="60"/>
      <c r="K39" s="38"/>
      <c r="L39" s="60">
        <f t="shared" ref="L39:M41" si="14">H39+J39</f>
        <v>112201</v>
      </c>
      <c r="M39" s="38">
        <f t="shared" si="14"/>
        <v>203400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-8395722</v>
      </c>
      <c r="E40" s="38">
        <v>-10119290</v>
      </c>
      <c r="F40" s="60">
        <f t="shared" si="13"/>
        <v>0</v>
      </c>
      <c r="G40" s="37">
        <f t="shared" si="13"/>
        <v>0</v>
      </c>
      <c r="H40" s="65">
        <f t="shared" si="12"/>
        <v>-8395722</v>
      </c>
      <c r="I40" s="66">
        <f t="shared" si="12"/>
        <v>-10119290</v>
      </c>
      <c r="J40" s="60"/>
      <c r="K40" s="38"/>
      <c r="L40" s="60">
        <f t="shared" si="14"/>
        <v>-8395722</v>
      </c>
      <c r="M40" s="38">
        <f t="shared" si="14"/>
        <v>-10119290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-8395722</v>
      </c>
      <c r="E42" s="39">
        <v>-10119290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-8395722</v>
      </c>
      <c r="I42" s="39">
        <f>SUM(I40:I41)</f>
        <v>-10119290</v>
      </c>
      <c r="J42" s="61">
        <f t="shared" si="15"/>
        <v>0</v>
      </c>
      <c r="K42" s="39">
        <f t="shared" si="15"/>
        <v>0</v>
      </c>
      <c r="L42" s="61">
        <f t="shared" si="15"/>
        <v>-8395722</v>
      </c>
      <c r="M42" s="39">
        <f t="shared" si="15"/>
        <v>-10119290</v>
      </c>
    </row>
    <row r="43" spans="1:13" ht="21" customHeight="1" x14ac:dyDescent="0.25">
      <c r="A43" s="9"/>
      <c r="B43" s="7" t="s">
        <v>53</v>
      </c>
      <c r="C43" s="6"/>
      <c r="D43" s="61">
        <v>-8283521</v>
      </c>
      <c r="E43" s="39">
        <v>-9915890</v>
      </c>
      <c r="F43" s="61">
        <f t="shared" ref="F43:M43" si="16">F42+F39</f>
        <v>0</v>
      </c>
      <c r="G43" s="39">
        <f t="shared" si="16"/>
        <v>0</v>
      </c>
      <c r="H43" s="61">
        <f>H42+H39</f>
        <v>-8283521</v>
      </c>
      <c r="I43" s="39">
        <f>I42+I39</f>
        <v>-9915890</v>
      </c>
      <c r="J43" s="61">
        <f t="shared" si="16"/>
        <v>0</v>
      </c>
      <c r="K43" s="39">
        <f t="shared" si="16"/>
        <v>0</v>
      </c>
      <c r="L43" s="61">
        <f t="shared" si="16"/>
        <v>-8283521</v>
      </c>
      <c r="M43" s="39">
        <f t="shared" si="16"/>
        <v>-9915890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-190556</v>
      </c>
      <c r="E49" s="38">
        <v>-337495.17154456058</v>
      </c>
      <c r="F49" s="60">
        <f>H49-D49</f>
        <v>0</v>
      </c>
      <c r="G49" s="37">
        <f>I49-E49</f>
        <v>0</v>
      </c>
      <c r="H49" s="65">
        <f>D49</f>
        <v>-190556</v>
      </c>
      <c r="I49" s="66">
        <f>E49</f>
        <v>-337495.17154456058</v>
      </c>
      <c r="J49" s="60"/>
      <c r="K49" s="38"/>
      <c r="L49" s="60">
        <f>H49+J49</f>
        <v>-190556</v>
      </c>
      <c r="M49" s="38">
        <f>I49+K49</f>
        <v>-337495.17154456058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-627064</v>
      </c>
      <c r="E51" s="38">
        <v>-1196394</v>
      </c>
      <c r="F51" s="60">
        <f>H51-D51</f>
        <v>0</v>
      </c>
      <c r="G51" s="37">
        <f>I51-E51</f>
        <v>0</v>
      </c>
      <c r="H51" s="65">
        <f>D51</f>
        <v>-627064</v>
      </c>
      <c r="I51" s="66">
        <f>E51</f>
        <v>-1196394</v>
      </c>
      <c r="J51" s="60"/>
      <c r="K51" s="38"/>
      <c r="L51" s="60">
        <f>H51+J51</f>
        <v>-627064</v>
      </c>
      <c r="M51" s="38">
        <f>I51+K51</f>
        <v>-1196394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-1086700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-1086700</v>
      </c>
      <c r="J54" s="60"/>
      <c r="K54" s="38"/>
      <c r="L54" s="60">
        <f>H54+J54</f>
        <v>0</v>
      </c>
      <c r="M54" s="38">
        <f>I54+K54</f>
        <v>-1086700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-12261836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-12261836</v>
      </c>
      <c r="J55" s="60"/>
      <c r="K55" s="38"/>
      <c r="L55" s="60">
        <f>H55+J55</f>
        <v>0</v>
      </c>
      <c r="M55" s="38">
        <f>I55+K55</f>
        <v>-12261836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-13348536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-13348536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-13348536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-112176.6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-112176.6</v>
      </c>
      <c r="J60" s="60"/>
      <c r="K60" s="38"/>
      <c r="L60" s="60">
        <f>H60+J60</f>
        <v>0</v>
      </c>
      <c r="M60" s="38">
        <f>I60+K60</f>
        <v>-112176.6</v>
      </c>
    </row>
    <row r="61" spans="1:15" x14ac:dyDescent="0.25">
      <c r="A61" s="9"/>
      <c r="B61" s="62" t="s">
        <v>65</v>
      </c>
      <c r="C61" s="6"/>
      <c r="D61" s="61">
        <v>0</v>
      </c>
      <c r="E61" s="39">
        <v>-112176.6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-112176.6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158915.965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158915.965</v>
      </c>
      <c r="J64" s="60"/>
      <c r="K64" s="38"/>
      <c r="L64" s="60">
        <f>H64+J64</f>
        <v>0</v>
      </c>
      <c r="M64" s="38">
        <f>I64+K64</f>
        <v>158915.965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158915.965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158915.965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158915.965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-2435307.935000001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-2435307.935000001</v>
      </c>
      <c r="J70" s="60"/>
      <c r="K70" s="38"/>
      <c r="L70" s="60">
        <f>H70+J70</f>
        <v>0</v>
      </c>
      <c r="M70" s="38">
        <f>I70+K70</f>
        <v>-2435307.935000001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3892110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3892110</v>
      </c>
      <c r="J71" s="60"/>
      <c r="K71" s="38"/>
      <c r="L71" s="60">
        <f>H71+J71</f>
        <v>0</v>
      </c>
      <c r="M71" s="38">
        <f>I71+K71</f>
        <v>3892110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1456802.064999999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1456802.064999999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1456802.064999999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5713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5713</v>
      </c>
      <c r="J74" s="60"/>
      <c r="K74" s="38"/>
      <c r="L74" s="60">
        <f t="shared" si="22"/>
        <v>0</v>
      </c>
      <c r="M74" s="38">
        <f t="shared" si="22"/>
        <v>5713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16223.95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16223.95</v>
      </c>
      <c r="J75" s="60"/>
      <c r="K75" s="38"/>
      <c r="L75" s="60">
        <f t="shared" si="22"/>
        <v>0</v>
      </c>
      <c r="M75" s="38">
        <f t="shared" si="22"/>
        <v>16223.95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1738274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1738274</v>
      </c>
      <c r="J77" s="60"/>
      <c r="K77" s="38"/>
      <c r="L77" s="60">
        <f t="shared" si="22"/>
        <v>0</v>
      </c>
      <c r="M77" s="38">
        <f t="shared" si="22"/>
        <v>1738274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23732.945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23732.945</v>
      </c>
      <c r="J78" s="60"/>
      <c r="K78" s="38"/>
      <c r="L78" s="60">
        <f t="shared" si="22"/>
        <v>0</v>
      </c>
      <c r="M78" s="38">
        <f t="shared" si="22"/>
        <v>23732.945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11753580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11753580</v>
      </c>
      <c r="J79" s="60"/>
      <c r="K79" s="38"/>
      <c r="L79" s="60">
        <f t="shared" si="22"/>
        <v>0</v>
      </c>
      <c r="M79" s="38">
        <f t="shared" si="22"/>
        <v>11753580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164679.23000000001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164679.23000000001</v>
      </c>
      <c r="J80" s="60"/>
      <c r="K80" s="38"/>
      <c r="L80" s="60">
        <f t="shared" si="22"/>
        <v>0</v>
      </c>
      <c r="M80" s="38">
        <f t="shared" si="22"/>
        <v>164679.23000000001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-2000000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-2000000</v>
      </c>
      <c r="J81" s="60"/>
      <c r="K81" s="38"/>
      <c r="L81" s="60">
        <f t="shared" si="22"/>
        <v>0</v>
      </c>
      <c r="M81" s="38">
        <f t="shared" si="22"/>
        <v>-2000000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89391</v>
      </c>
      <c r="E82" s="74">
        <f>SUM(E72:E81)+E16+E24+E29+E36+E43+E45+E47+E49+E51+E56+E61+E66</f>
        <v>1177405.9056469535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89391</v>
      </c>
      <c r="I82" s="161">
        <f>SUM(I72:I81)+I16+I24+I29+I36+I43+I45+I47+I49+I51+I56+I61+I66</f>
        <v>1177405.9056469535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89391</v>
      </c>
      <c r="M82" s="74">
        <f>SUM(M72:M81)+M16+M24+M29+M36+M43+M45+M47+M49+M51+M56+M61+M66</f>
        <v>1177405.9056469535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195</v>
      </c>
      <c r="B85" s="3"/>
      <c r="K85" s="45"/>
    </row>
    <row r="86" spans="1:67" s="3" customFormat="1" x14ac:dyDescent="0.25">
      <c r="A86" s="183"/>
      <c r="C86" s="10" t="s">
        <v>189</v>
      </c>
      <c r="D86" s="168">
        <v>0</v>
      </c>
      <c r="E86" s="168">
        <v>0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0</v>
      </c>
      <c r="J86" s="168"/>
      <c r="K86" s="168"/>
      <c r="L86" s="168">
        <f t="shared" ref="L86:M88" si="26">H86+J86</f>
        <v>0</v>
      </c>
      <c r="M86" s="168">
        <f t="shared" si="26"/>
        <v>0</v>
      </c>
    </row>
    <row r="87" spans="1:67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5">
      <c r="A88" s="183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5">
      <c r="A89" s="192"/>
      <c r="B89" s="193"/>
      <c r="C89" s="194" t="s">
        <v>190</v>
      </c>
      <c r="D89" s="195">
        <f>SUM(D86:D88)</f>
        <v>0</v>
      </c>
      <c r="E89" s="195">
        <f t="shared" ref="E89:M89" si="27">SUM(E86:E88)</f>
        <v>0</v>
      </c>
      <c r="F89" s="195">
        <f t="shared" si="27"/>
        <v>0</v>
      </c>
      <c r="G89" s="195">
        <f t="shared" si="27"/>
        <v>0</v>
      </c>
      <c r="H89" s="195">
        <f t="shared" si="27"/>
        <v>0</v>
      </c>
      <c r="I89" s="195">
        <f t="shared" si="27"/>
        <v>0</v>
      </c>
      <c r="J89" s="195">
        <f t="shared" si="27"/>
        <v>0</v>
      </c>
      <c r="K89" s="195">
        <f t="shared" si="27"/>
        <v>0</v>
      </c>
      <c r="L89" s="195">
        <f t="shared" si="27"/>
        <v>0</v>
      </c>
      <c r="M89" s="195">
        <f t="shared" si="27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5">
        <f>+D82+D89</f>
        <v>89391</v>
      </c>
      <c r="E91" s="195">
        <f t="shared" ref="E91:M91" si="28">+E82+E89</f>
        <v>1177405.9056469535</v>
      </c>
      <c r="F91" s="195">
        <f t="shared" si="28"/>
        <v>0</v>
      </c>
      <c r="G91" s="195">
        <f t="shared" si="28"/>
        <v>0</v>
      </c>
      <c r="H91" s="195">
        <f t="shared" si="28"/>
        <v>89391</v>
      </c>
      <c r="I91" s="195">
        <f t="shared" si="28"/>
        <v>1177405.9056469535</v>
      </c>
      <c r="J91" s="195">
        <f t="shared" si="28"/>
        <v>0</v>
      </c>
      <c r="K91" s="195">
        <f t="shared" si="28"/>
        <v>0</v>
      </c>
      <c r="L91" s="195">
        <f t="shared" si="28"/>
        <v>89391</v>
      </c>
      <c r="M91" s="195">
        <f t="shared" si="28"/>
        <v>1177405.9056469535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75" activePane="bottomRight" state="frozen"/>
      <selection activeCell="D10" sqref="D10"/>
      <selection pane="topRight" activeCell="D10" sqref="D10"/>
      <selection pane="bottomLeft" activeCell="D10" sqref="D10"/>
      <selection pane="bottomRight" activeCell="D76" sqref="D7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8756483</v>
      </c>
      <c r="E11" s="65">
        <v>15999987</v>
      </c>
      <c r="F11" s="65">
        <f>H11-D11</f>
        <v>0</v>
      </c>
      <c r="G11" s="63">
        <f>I11-E11</f>
        <v>0</v>
      </c>
      <c r="H11" s="65">
        <f>D11</f>
        <v>8756483</v>
      </c>
      <c r="I11" s="66">
        <f>E11</f>
        <v>15999987</v>
      </c>
      <c r="J11" s="60"/>
      <c r="K11" s="38"/>
      <c r="L11" s="60">
        <f t="shared" ref="L11:M15" si="0">H11+J11</f>
        <v>8756483</v>
      </c>
      <c r="M11" s="38">
        <f t="shared" si="0"/>
        <v>15999987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2430728</v>
      </c>
      <c r="E13" s="60">
        <v>4354318.5797002474</v>
      </c>
      <c r="F13" s="65">
        <f t="shared" si="1"/>
        <v>0</v>
      </c>
      <c r="G13" s="63">
        <f t="shared" si="1"/>
        <v>0</v>
      </c>
      <c r="H13" s="65">
        <f t="shared" si="2"/>
        <v>2430728</v>
      </c>
      <c r="I13" s="66">
        <f t="shared" si="2"/>
        <v>4354318.5797002474</v>
      </c>
      <c r="J13" s="60"/>
      <c r="K13" s="38"/>
      <c r="L13" s="60">
        <f t="shared" si="0"/>
        <v>2430728</v>
      </c>
      <c r="M13" s="38">
        <f t="shared" si="0"/>
        <v>4354318.5797002474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11187211</v>
      </c>
      <c r="E16" s="61">
        <v>20354305.579700246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11187211</v>
      </c>
      <c r="I16" s="39">
        <f>SUM(I11:I15)</f>
        <v>20354305.579700246</v>
      </c>
      <c r="J16" s="61">
        <f t="shared" si="3"/>
        <v>0</v>
      </c>
      <c r="K16" s="39">
        <f t="shared" si="3"/>
        <v>0</v>
      </c>
      <c r="L16" s="61">
        <f t="shared" si="3"/>
        <v>11187211</v>
      </c>
      <c r="M16" s="39">
        <f t="shared" si="3"/>
        <v>20354305.579700246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-3595574</v>
      </c>
      <c r="E19" s="60">
        <v>-6362818</v>
      </c>
      <c r="F19" s="65">
        <f>H19-D19</f>
        <v>0</v>
      </c>
      <c r="G19" s="63">
        <f>I19-E19</f>
        <v>0</v>
      </c>
      <c r="H19" s="65">
        <f t="shared" si="4"/>
        <v>-3595574</v>
      </c>
      <c r="I19" s="66">
        <f t="shared" si="4"/>
        <v>-6362818</v>
      </c>
      <c r="J19" s="60"/>
      <c r="K19" s="38"/>
      <c r="L19" s="60">
        <f t="shared" ref="L19:M23" si="5">H19+J19</f>
        <v>-3595574</v>
      </c>
      <c r="M19" s="38">
        <f t="shared" si="5"/>
        <v>-6362818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-8411446</v>
      </c>
      <c r="E21" s="60">
        <v>-14851847</v>
      </c>
      <c r="F21" s="65">
        <f t="shared" si="6"/>
        <v>0</v>
      </c>
      <c r="G21" s="63">
        <f t="shared" si="6"/>
        <v>0</v>
      </c>
      <c r="H21" s="65">
        <f t="shared" si="4"/>
        <v>-8411446</v>
      </c>
      <c r="I21" s="66">
        <f t="shared" si="4"/>
        <v>-14851847</v>
      </c>
      <c r="J21" s="60"/>
      <c r="K21" s="38"/>
      <c r="L21" s="60">
        <f t="shared" si="5"/>
        <v>-8411446</v>
      </c>
      <c r="M21" s="38">
        <f t="shared" si="5"/>
        <v>-14851847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-12007020</v>
      </c>
      <c r="E24" s="61">
        <v>-21214665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-12007020</v>
      </c>
      <c r="I24" s="39">
        <f>SUM(I19:I23)</f>
        <v>-21214665</v>
      </c>
      <c r="J24" s="61">
        <f t="shared" si="7"/>
        <v>0</v>
      </c>
      <c r="K24" s="39">
        <f t="shared" si="7"/>
        <v>0</v>
      </c>
      <c r="L24" s="61">
        <f t="shared" si="7"/>
        <v>-12007020</v>
      </c>
      <c r="M24" s="39">
        <f t="shared" si="7"/>
        <v>-21214665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842723</v>
      </c>
      <c r="E27" s="60">
        <v>1517548</v>
      </c>
      <c r="F27" s="65">
        <f>H27-D27</f>
        <v>0</v>
      </c>
      <c r="G27" s="63">
        <f>I27-E27</f>
        <v>0</v>
      </c>
      <c r="H27" s="65">
        <f>D27</f>
        <v>842723</v>
      </c>
      <c r="I27" s="66">
        <f>E27</f>
        <v>1517548</v>
      </c>
      <c r="J27" s="60"/>
      <c r="K27" s="38"/>
      <c r="L27" s="60">
        <f>H27+J27</f>
        <v>842723</v>
      </c>
      <c r="M27" s="38">
        <f>I27+K27</f>
        <v>1517548</v>
      </c>
    </row>
    <row r="28" spans="1:13" x14ac:dyDescent="0.25">
      <c r="A28" s="9">
        <v>12</v>
      </c>
      <c r="B28" s="7"/>
      <c r="C28" s="18" t="s">
        <v>40</v>
      </c>
      <c r="D28" s="60">
        <v>-922792</v>
      </c>
      <c r="E28" s="60">
        <v>-1649530</v>
      </c>
      <c r="F28" s="65">
        <f>H28-D28</f>
        <v>0</v>
      </c>
      <c r="G28" s="63">
        <f>I28-E28</f>
        <v>0</v>
      </c>
      <c r="H28" s="65">
        <f>D28</f>
        <v>-922792</v>
      </c>
      <c r="I28" s="66">
        <f>E28</f>
        <v>-1649530</v>
      </c>
      <c r="J28" s="60"/>
      <c r="K28" s="38"/>
      <c r="L28" s="60">
        <f>H28+J28</f>
        <v>-922792</v>
      </c>
      <c r="M28" s="38">
        <f>I28+K28</f>
        <v>-1649530</v>
      </c>
    </row>
    <row r="29" spans="1:13" x14ac:dyDescent="0.25">
      <c r="A29" s="9"/>
      <c r="B29" s="7" t="s">
        <v>41</v>
      </c>
      <c r="C29" s="6"/>
      <c r="D29" s="61">
        <v>-80069</v>
      </c>
      <c r="E29" s="61">
        <v>-131982</v>
      </c>
      <c r="F29" s="61">
        <f t="shared" ref="F29:M29" si="8">SUM(F27:F28)</f>
        <v>0</v>
      </c>
      <c r="G29" s="39">
        <f t="shared" si="8"/>
        <v>0</v>
      </c>
      <c r="H29" s="61">
        <f>SUM(H27:H28)</f>
        <v>-80069</v>
      </c>
      <c r="I29" s="39">
        <f>SUM(I27:I28)</f>
        <v>-131982</v>
      </c>
      <c r="J29" s="61">
        <f t="shared" si="8"/>
        <v>0</v>
      </c>
      <c r="K29" s="39">
        <f t="shared" si="8"/>
        <v>0</v>
      </c>
      <c r="L29" s="61">
        <f t="shared" si="8"/>
        <v>-80069</v>
      </c>
      <c r="M29" s="39">
        <f t="shared" si="8"/>
        <v>-131982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1542723</v>
      </c>
      <c r="E39" s="60">
        <v>2816830</v>
      </c>
      <c r="F39" s="65">
        <f t="shared" ref="F39:G41" si="13">H39-D39</f>
        <v>0</v>
      </c>
      <c r="G39" s="63">
        <f t="shared" si="13"/>
        <v>0</v>
      </c>
      <c r="H39" s="65">
        <f t="shared" si="12"/>
        <v>1542723</v>
      </c>
      <c r="I39" s="66">
        <f t="shared" si="12"/>
        <v>2816830</v>
      </c>
      <c r="J39" s="60"/>
      <c r="K39" s="38"/>
      <c r="L39" s="60">
        <f t="shared" ref="L39:M41" si="14">H39+J39</f>
        <v>1542723</v>
      </c>
      <c r="M39" s="38">
        <f t="shared" si="14"/>
        <v>2816830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-922792</v>
      </c>
      <c r="E40" s="60">
        <v>-1670255</v>
      </c>
      <c r="F40" s="65">
        <f t="shared" si="13"/>
        <v>0</v>
      </c>
      <c r="G40" s="63">
        <f t="shared" si="13"/>
        <v>0</v>
      </c>
      <c r="H40" s="65">
        <f t="shared" si="12"/>
        <v>-922792</v>
      </c>
      <c r="I40" s="66">
        <f t="shared" si="12"/>
        <v>-1670255</v>
      </c>
      <c r="J40" s="60"/>
      <c r="K40" s="38"/>
      <c r="L40" s="60">
        <f t="shared" si="14"/>
        <v>-922792</v>
      </c>
      <c r="M40" s="38">
        <f t="shared" si="14"/>
        <v>-1670255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-922792</v>
      </c>
      <c r="E42" s="61">
        <v>-1670255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-922792</v>
      </c>
      <c r="I42" s="39">
        <f>SUM(I40:I41)</f>
        <v>-1670255</v>
      </c>
      <c r="J42" s="61">
        <f t="shared" si="15"/>
        <v>0</v>
      </c>
      <c r="K42" s="39">
        <f t="shared" si="15"/>
        <v>0</v>
      </c>
      <c r="L42" s="61">
        <f t="shared" si="15"/>
        <v>-922792</v>
      </c>
      <c r="M42" s="39">
        <f t="shared" si="15"/>
        <v>-1670255</v>
      </c>
    </row>
    <row r="43" spans="1:13" ht="21" customHeight="1" x14ac:dyDescent="0.25">
      <c r="A43" s="9"/>
      <c r="B43" s="7" t="s">
        <v>53</v>
      </c>
      <c r="C43" s="6"/>
      <c r="D43" s="61">
        <v>619931</v>
      </c>
      <c r="E43" s="61">
        <v>1146575</v>
      </c>
      <c r="F43" s="61">
        <f t="shared" ref="F43:M43" si="16">F42+F39</f>
        <v>0</v>
      </c>
      <c r="G43" s="39">
        <f t="shared" si="16"/>
        <v>0</v>
      </c>
      <c r="H43" s="61">
        <f>H42+H39</f>
        <v>619931</v>
      </c>
      <c r="I43" s="39">
        <f>I42+I39</f>
        <v>1146575</v>
      </c>
      <c r="J43" s="61">
        <f t="shared" si="16"/>
        <v>0</v>
      </c>
      <c r="K43" s="39">
        <f t="shared" si="16"/>
        <v>0</v>
      </c>
      <c r="L43" s="61">
        <f t="shared" si="16"/>
        <v>619931</v>
      </c>
      <c r="M43" s="39">
        <f t="shared" si="16"/>
        <v>1146575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60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60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190556</v>
      </c>
      <c r="E49" s="60">
        <v>337495.17154456058</v>
      </c>
      <c r="F49" s="65">
        <f>H49-D49</f>
        <v>0</v>
      </c>
      <c r="G49" s="63">
        <f>I49-E49</f>
        <v>0</v>
      </c>
      <c r="H49" s="65">
        <f>D49</f>
        <v>190556</v>
      </c>
      <c r="I49" s="66">
        <f>E49</f>
        <v>337495.17154456058</v>
      </c>
      <c r="J49" s="60"/>
      <c r="K49" s="38"/>
      <c r="L49" s="60">
        <f>H49+J49</f>
        <v>190556</v>
      </c>
      <c r="M49" s="38">
        <f>I49+K49</f>
        <v>337495.17154456058</v>
      </c>
    </row>
    <row r="50" spans="1:15" x14ac:dyDescent="0.25">
      <c r="A50" s="9"/>
      <c r="B50" s="7"/>
      <c r="C50" s="6"/>
      <c r="D50" s="60">
        <v>0</v>
      </c>
      <c r="E50" s="60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>
        <v>0</v>
      </c>
      <c r="E52" s="60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60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112176.6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112176.6</v>
      </c>
      <c r="J60" s="60"/>
      <c r="K60" s="38"/>
      <c r="L60" s="60">
        <f>H60+J60</f>
        <v>0</v>
      </c>
      <c r="M60" s="38">
        <f>I60+K60</f>
        <v>112176.6</v>
      </c>
    </row>
    <row r="61" spans="1:15" x14ac:dyDescent="0.25">
      <c r="A61" s="9"/>
      <c r="B61" s="62" t="s">
        <v>65</v>
      </c>
      <c r="C61" s="6"/>
      <c r="D61" s="61">
        <v>0</v>
      </c>
      <c r="E61" s="61">
        <v>112176.6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112176.6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112176.6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82</v>
      </c>
      <c r="D81" s="60">
        <v>0</v>
      </c>
      <c r="E81" s="60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161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7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E85" sqref="E8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</f>
        <v>8756483</v>
      </c>
      <c r="E11" s="66">
        <f>'SE-EGM-FLSH'!E11+'SE-LRC-FLSH'!E11</f>
        <v>15999987</v>
      </c>
      <c r="F11" s="37">
        <f>H11-D11</f>
        <v>0</v>
      </c>
      <c r="G11" s="37">
        <f>I11-E11</f>
        <v>0</v>
      </c>
      <c r="H11" s="60">
        <f>'SE-EGM-FLSH'!H11+'SE-LRC-FLSH'!H11</f>
        <v>8756483</v>
      </c>
      <c r="I11" s="38">
        <f>'SE-EGM-FLSH'!I11+'SE-LRC-FLSH'!I11</f>
        <v>15999987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8756483</v>
      </c>
      <c r="M11" s="38">
        <f t="shared" si="0"/>
        <v>15999987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</f>
        <v>2430728</v>
      </c>
      <c r="E13" s="66">
        <f>'SE-EGM-FLSH'!E13+'SE-LRC-FLSH'!E13</f>
        <v>4354318.5797002474</v>
      </c>
      <c r="F13" s="60">
        <f t="shared" si="1"/>
        <v>0</v>
      </c>
      <c r="G13" s="37">
        <f t="shared" si="1"/>
        <v>0</v>
      </c>
      <c r="H13" s="60">
        <f>'SE-EGM-FLSH'!H13+'SE-LRC-FLSH'!H13</f>
        <v>2430728</v>
      </c>
      <c r="I13" s="38">
        <f>'SE-EGM-FLSH'!I13+'SE-LRC-FLSH'!I13</f>
        <v>4354318.5797002474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2430728</v>
      </c>
      <c r="M13" s="38">
        <f t="shared" si="0"/>
        <v>4354318.5797002474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11187211</v>
      </c>
      <c r="E16" s="39">
        <f>SUM(E11:E15)</f>
        <v>20354305.579700246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11187211</v>
      </c>
      <c r="I16" s="39">
        <f t="shared" si="2"/>
        <v>20354305.579700246</v>
      </c>
      <c r="J16" s="61">
        <f t="shared" si="2"/>
        <v>0</v>
      </c>
      <c r="K16" s="39">
        <f t="shared" si="2"/>
        <v>0</v>
      </c>
      <c r="L16" s="61">
        <f t="shared" si="2"/>
        <v>11187211</v>
      </c>
      <c r="M16" s="39">
        <f t="shared" si="2"/>
        <v>20354305.579700246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</f>
        <v>-3595574</v>
      </c>
      <c r="E19" s="66">
        <f>'SE-EGM-FLSH'!E19+'SE-LRC-FLSH'!E19</f>
        <v>-6362818</v>
      </c>
      <c r="F19" s="60">
        <f>H19-D19</f>
        <v>0</v>
      </c>
      <c r="G19" s="37">
        <f>I19-E19</f>
        <v>0</v>
      </c>
      <c r="H19" s="60">
        <f>'SE-EGM-FLSH'!H19+'SE-LRC-FLSH'!H19</f>
        <v>-3595574</v>
      </c>
      <c r="I19" s="38">
        <f>'SE-EGM-FLSH'!I19+'SE-LRC-FLSH'!I19</f>
        <v>-6362818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-3595574</v>
      </c>
      <c r="M19" s="38">
        <f t="shared" si="3"/>
        <v>-6362818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</f>
        <v>-8411446</v>
      </c>
      <c r="E21" s="66">
        <f>'SE-EGM-FLSH'!E21+'SE-LRC-FLSH'!E21</f>
        <v>-14851847</v>
      </c>
      <c r="F21" s="60">
        <f t="shared" si="4"/>
        <v>0</v>
      </c>
      <c r="G21" s="37">
        <f t="shared" si="4"/>
        <v>0</v>
      </c>
      <c r="H21" s="60">
        <f>'SE-EGM-FLSH'!H21+'SE-LRC-FLSH'!H21</f>
        <v>-8411446</v>
      </c>
      <c r="I21" s="38">
        <f>'SE-EGM-FLSH'!I21+'SE-LRC-FLSH'!I21</f>
        <v>-14851847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-8411446</v>
      </c>
      <c r="M21" s="38">
        <f t="shared" si="3"/>
        <v>-14851847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5">
      <c r="A24" s="9"/>
      <c r="B24" s="7" t="s">
        <v>37</v>
      </c>
      <c r="C24" s="6"/>
      <c r="D24" s="61">
        <f>SUM(D19:D23)</f>
        <v>-12007020</v>
      </c>
      <c r="E24" s="39">
        <f>SUM(E19:E23)</f>
        <v>-21214665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-12007020</v>
      </c>
      <c r="I24" s="39">
        <f t="shared" si="5"/>
        <v>-21214665</v>
      </c>
      <c r="J24" s="61">
        <f t="shared" si="5"/>
        <v>0</v>
      </c>
      <c r="K24" s="39">
        <f t="shared" si="5"/>
        <v>0</v>
      </c>
      <c r="L24" s="61">
        <f t="shared" si="5"/>
        <v>-12007020</v>
      </c>
      <c r="M24" s="39">
        <f t="shared" si="5"/>
        <v>-21214665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</f>
        <v>842723</v>
      </c>
      <c r="E27" s="66">
        <f>'SE-EGM-FLSH'!E27+'SE-LRC-FLSH'!E27</f>
        <v>1517548</v>
      </c>
      <c r="F27" s="60">
        <f>H27-D27</f>
        <v>0</v>
      </c>
      <c r="G27" s="37">
        <f>I27-E27</f>
        <v>0</v>
      </c>
      <c r="H27" s="60">
        <f>'SE-EGM-FLSH'!H27+'SE-LRC-FLSH'!H27</f>
        <v>842723</v>
      </c>
      <c r="I27" s="38">
        <f>'SE-EGM-FLSH'!I27+'SE-LRC-FLSH'!I27</f>
        <v>1517548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842723</v>
      </c>
      <c r="M27" s="38">
        <f>I27+K27</f>
        <v>1517548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</f>
        <v>-922792</v>
      </c>
      <c r="E28" s="66">
        <f>'SE-EGM-FLSH'!E28+'SE-LRC-FLSH'!E28</f>
        <v>-1649530</v>
      </c>
      <c r="F28" s="60">
        <f>H28-D28</f>
        <v>0</v>
      </c>
      <c r="G28" s="37">
        <f>I28-E28</f>
        <v>0</v>
      </c>
      <c r="H28" s="60">
        <f>'SE-EGM-FLSH'!H28+'SE-LRC-FLSH'!H28</f>
        <v>-922792</v>
      </c>
      <c r="I28" s="38">
        <f>'SE-EGM-FLSH'!I28+'SE-LRC-FLSH'!I28</f>
        <v>-1649530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-922792</v>
      </c>
      <c r="M28" s="38">
        <f>I28+K28</f>
        <v>-1649530</v>
      </c>
    </row>
    <row r="29" spans="1:13" x14ac:dyDescent="0.25">
      <c r="A29" s="9"/>
      <c r="B29" s="7" t="s">
        <v>41</v>
      </c>
      <c r="C29" s="6"/>
      <c r="D29" s="61">
        <f>SUM(D27:D28)</f>
        <v>-80069</v>
      </c>
      <c r="E29" s="39">
        <f>SUM(E27:E28)</f>
        <v>-131982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-80069</v>
      </c>
      <c r="I29" s="39">
        <f t="shared" si="6"/>
        <v>-131982</v>
      </c>
      <c r="J29" s="61">
        <f t="shared" si="6"/>
        <v>0</v>
      </c>
      <c r="K29" s="39">
        <f t="shared" si="6"/>
        <v>0</v>
      </c>
      <c r="L29" s="61">
        <f t="shared" si="6"/>
        <v>-80069</v>
      </c>
      <c r="M29" s="39">
        <f t="shared" si="6"/>
        <v>-131982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</f>
        <v>1542723</v>
      </c>
      <c r="E39" s="66">
        <f>'SE-EGM-FLSH'!E39+'SE-LRC-FLSH'!E39</f>
        <v>2816830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1542723</v>
      </c>
      <c r="I39" s="38">
        <f>'SE-EGM-FLSH'!I39+'SE-LRC-FLSH'!I39</f>
        <v>2816830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1542723</v>
      </c>
      <c r="M39" s="38">
        <f t="shared" si="11"/>
        <v>2816830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</f>
        <v>-922792</v>
      </c>
      <c r="E40" s="66">
        <f>'SE-EGM-FLSH'!E40+'SE-LRC-FLSH'!E40</f>
        <v>-1670255</v>
      </c>
      <c r="F40" s="60">
        <f t="shared" si="10"/>
        <v>0</v>
      </c>
      <c r="G40" s="37">
        <f t="shared" si="10"/>
        <v>0</v>
      </c>
      <c r="H40" s="60">
        <f>'SE-EGM-FLSH'!H40+'SE-LRC-FLSH'!H40</f>
        <v>-922792</v>
      </c>
      <c r="I40" s="38">
        <f>'SE-EGM-FLSH'!I40+'SE-LRC-FLSH'!I40</f>
        <v>-1670255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-922792</v>
      </c>
      <c r="M40" s="38">
        <f t="shared" si="11"/>
        <v>-1670255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-922792</v>
      </c>
      <c r="E42" s="39">
        <f>SUM(E40:E41)</f>
        <v>-1670255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-922792</v>
      </c>
      <c r="I42" s="39">
        <f t="shared" si="12"/>
        <v>-1670255</v>
      </c>
      <c r="J42" s="61">
        <f t="shared" si="12"/>
        <v>0</v>
      </c>
      <c r="K42" s="39">
        <f t="shared" si="12"/>
        <v>0</v>
      </c>
      <c r="L42" s="61">
        <f t="shared" si="12"/>
        <v>-922792</v>
      </c>
      <c r="M42" s="39">
        <f t="shared" si="12"/>
        <v>-1670255</v>
      </c>
    </row>
    <row r="43" spans="1:13" ht="21" customHeight="1" x14ac:dyDescent="0.25">
      <c r="A43" s="9"/>
      <c r="B43" s="7" t="s">
        <v>53</v>
      </c>
      <c r="C43" s="6"/>
      <c r="D43" s="61">
        <f>D42+D39</f>
        <v>619931</v>
      </c>
      <c r="E43" s="39">
        <f>E42+E39</f>
        <v>1146575</v>
      </c>
      <c r="F43" s="61">
        <f t="shared" ref="F43:M43" si="13">F42+F39</f>
        <v>0</v>
      </c>
      <c r="G43" s="39">
        <f t="shared" si="13"/>
        <v>0</v>
      </c>
      <c r="H43" s="61">
        <f t="shared" si="13"/>
        <v>619931</v>
      </c>
      <c r="I43" s="39">
        <f t="shared" si="13"/>
        <v>1146575</v>
      </c>
      <c r="J43" s="61">
        <f t="shared" si="13"/>
        <v>0</v>
      </c>
      <c r="K43" s="39">
        <f t="shared" si="13"/>
        <v>0</v>
      </c>
      <c r="L43" s="61">
        <f t="shared" si="13"/>
        <v>619931</v>
      </c>
      <c r="M43" s="39">
        <f t="shared" si="13"/>
        <v>1146575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</f>
        <v>190556</v>
      </c>
      <c r="E49" s="66">
        <f>'SE-EGM-FLSH'!E49+'SE-LRC-FLSH'!E49</f>
        <v>337495.17154456058</v>
      </c>
      <c r="F49" s="60">
        <f>H49-D49</f>
        <v>0</v>
      </c>
      <c r="G49" s="37">
        <f>I49-E49</f>
        <v>0</v>
      </c>
      <c r="H49" s="60">
        <f>'SE-EGM-FLSH'!H49+'SE-LRC-FLSH'!H49</f>
        <v>190556</v>
      </c>
      <c r="I49" s="38">
        <f>'SE-EGM-FLSH'!I49+'SE-LRC-FLSH'!I49</f>
        <v>337495.17154456058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190556</v>
      </c>
      <c r="M49" s="38">
        <f>I49+K49</f>
        <v>337495.17154456058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112176.6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112176.6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112176.6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112176.6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112176.6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112176.6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-89391</v>
      </c>
      <c r="E82" s="74">
        <f>SUM(E72:E81)+E16+E24+E29+E36+E43+E45+E47+E49+E51+E56+E61+E66</f>
        <v>-2396094.6487551928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-89391</v>
      </c>
      <c r="I82" s="74">
        <f>SUM(I72:I81)+I16+I24+I29+I36+I43+I45+I47+I49+I51+I56+I61+I66</f>
        <v>-2396094.6487551928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-89391</v>
      </c>
      <c r="M82" s="74">
        <f>SUM(M72:M81)+M16+M24+M29+M36+M43+M45+M47+M49+M51+M56+M61+M66</f>
        <v>-2396094.6487551928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M84" s="45"/>
    </row>
    <row r="85" spans="1:67" x14ac:dyDescent="0.25">
      <c r="A85" s="4"/>
      <c r="B85" s="3"/>
      <c r="E85" s="31">
        <f>+'SE-LRC-FLSH'!E82+'SE-EGM-FLSH'!E82</f>
        <v>-2396094.6487551928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  <c r="J88" s="45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2" zoomScale="75" workbookViewId="0">
      <selection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'SE-EGM-FLSH'!D11+'SE-LRC-FLSH'!D11+'NE-FLSH'!D11+BGC_FLSH!D11</f>
        <v>108743829</v>
      </c>
      <c r="E11" s="66">
        <f>'SE-EGM-FLSH'!E11+'SE-LRC-FLSH'!E11+'NE-FLSH'!E11+BGC_FLSH!E11</f>
        <v>192403728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108743829</v>
      </c>
      <c r="I11" s="66">
        <f>'SE-EGM-FLSH'!I11+'SE-LRC-FLSH'!I11+'NE-FLSH'!I11+BGC_FLSH!I11</f>
        <v>192403728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108743829</v>
      </c>
      <c r="M11" s="38">
        <f t="shared" si="0"/>
        <v>192403728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'SE-EGM-FLSH'!D13+'SE-LRC-FLSH'!D13+'NE-FLSH'!D13+BGC_FLSH!D13</f>
        <v>77490594</v>
      </c>
      <c r="E13" s="66">
        <f>'SE-EGM-FLSH'!E13+'SE-LRC-FLSH'!E13+'NE-FLSH'!E13+BGC_FLSH!E13</f>
        <v>146381942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77490594</v>
      </c>
      <c r="I13" s="66">
        <f>'SE-EGM-FLSH'!I13+'SE-LRC-FLSH'!I13+'NE-FLSH'!I13+BGC_FLSH!I13</f>
        <v>146381942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77490594</v>
      </c>
      <c r="M13" s="38">
        <f t="shared" si="0"/>
        <v>146381942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88910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88910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88910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186234423</v>
      </c>
      <c r="E16" s="39">
        <f>SUM(E11:E15)</f>
        <v>338874580</v>
      </c>
      <c r="F16" s="61">
        <f t="shared" ref="F16:M16" si="2">SUM(F11:F15)</f>
        <v>0</v>
      </c>
      <c r="G16" s="39">
        <f t="shared" si="2"/>
        <v>0</v>
      </c>
      <c r="H16" s="61">
        <f>SUM(H11:H15)</f>
        <v>186234423</v>
      </c>
      <c r="I16" s="39">
        <f>SUM(I11:I15)</f>
        <v>338874580</v>
      </c>
      <c r="J16" s="61">
        <f t="shared" si="2"/>
        <v>0</v>
      </c>
      <c r="K16" s="39">
        <f t="shared" si="2"/>
        <v>0</v>
      </c>
      <c r="L16" s="61">
        <f t="shared" si="2"/>
        <v>186234423</v>
      </c>
      <c r="M16" s="39">
        <f t="shared" si="2"/>
        <v>338874580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'SE-EGM-FLSH'!D19+'SE-LRC-FLSH'!D19+'NE-FLSH'!D19+BGC_FLSH!D19</f>
        <v>-101288518</v>
      </c>
      <c r="E19" s="66">
        <f>'SE-EGM-FLSH'!E19+'SE-LRC-FLSH'!E19+'NE-FLSH'!E19+BGC_FLSH!E19</f>
        <v>-180885869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-101288518</v>
      </c>
      <c r="I19" s="66">
        <f>'SE-EGM-FLSH'!I19+'SE-LRC-FLSH'!I19+'NE-FLSH'!I19+BGC_FLSH!I19</f>
        <v>-180885869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-101288518</v>
      </c>
      <c r="M19" s="38">
        <f t="shared" si="3"/>
        <v>-180885869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'SE-EGM-FLSH'!D21+'SE-LRC-FLSH'!D21+'NE-FLSH'!D21+BGC_FLSH!D21</f>
        <v>-77256212</v>
      </c>
      <c r="E21" s="66">
        <f>'SE-EGM-FLSH'!E21+'SE-LRC-FLSH'!E21+'NE-FLSH'!E21+BGC_FLSH!E21</f>
        <v>-146880759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-77256212</v>
      </c>
      <c r="I21" s="66">
        <f>'SE-EGM-FLSH'!I21+'SE-LRC-FLSH'!I21+'NE-FLSH'!I21+BGC_FLSH!I21</f>
        <v>-146880759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-77256212</v>
      </c>
      <c r="M21" s="38">
        <f t="shared" si="3"/>
        <v>-146880759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'SE-EGM-FLSH'!D23+'SE-LRC-FLSH'!D23+'NE-FLSH'!D23+BGC_FLSH!D23</f>
        <v>930943</v>
      </c>
      <c r="E23" s="66">
        <f>'SE-EGM-FLSH'!E23+'SE-LRC-FLSH'!E23+'NE-FLSH'!E23+BGC_FLSH!E23</f>
        <v>1697126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930943</v>
      </c>
      <c r="I23" s="66">
        <f>'SE-EGM-FLSH'!I23+'SE-LRC-FLSH'!I23+'NE-FLSH'!I23+BGC_FLSH!I23</f>
        <v>1697126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930943</v>
      </c>
      <c r="M23" s="38">
        <f t="shared" si="3"/>
        <v>1697126</v>
      </c>
    </row>
    <row r="24" spans="1:13" x14ac:dyDescent="0.25">
      <c r="A24" s="9"/>
      <c r="B24" s="7" t="s">
        <v>37</v>
      </c>
      <c r="C24" s="6"/>
      <c r="D24" s="61">
        <f>SUM(D19:D23)</f>
        <v>-177613787</v>
      </c>
      <c r="E24" s="39">
        <f>SUM(E19:E23)</f>
        <v>-326069502</v>
      </c>
      <c r="F24" s="61">
        <f t="shared" ref="F24:M24" si="5">SUM(F19:F23)</f>
        <v>0</v>
      </c>
      <c r="G24" s="39">
        <f t="shared" si="5"/>
        <v>0</v>
      </c>
      <c r="H24" s="61">
        <f>SUM(H19:H23)</f>
        <v>-177613787</v>
      </c>
      <c r="I24" s="39">
        <f>SUM(I19:I23)</f>
        <v>-326069502</v>
      </c>
      <c r="J24" s="61">
        <f t="shared" si="5"/>
        <v>0</v>
      </c>
      <c r="K24" s="39">
        <f t="shared" si="5"/>
        <v>0</v>
      </c>
      <c r="L24" s="61">
        <f t="shared" si="5"/>
        <v>-177613787</v>
      </c>
      <c r="M24" s="39">
        <f t="shared" si="5"/>
        <v>-326069502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'SE-EGM-FLSH'!D32+'SE-LRC-FLSH'!D32+'NE-FLSH'!D32+BGC_FLSH!D32</f>
        <v>228474</v>
      </c>
      <c r="E32" s="66">
        <f>'SE-EGM-FLSH'!E32+'SE-LRC-FLSH'!E32+'NE-FLSH'!E32+BGC_FLSH!E32</f>
        <v>431505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228474</v>
      </c>
      <c r="I32" s="66">
        <f>'SE-EGM-FLSH'!I32+'SE-LRC-FLSH'!I32+'NE-FLSH'!I32+BGC_FLSH!I32</f>
        <v>431505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228474</v>
      </c>
      <c r="M32" s="38">
        <f t="shared" si="7"/>
        <v>431505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'SE-EGM-FLSH'!D33+'SE-LRC-FLSH'!D33+'NE-FLSH'!D33+BGC_FLSH!D33</f>
        <v>-360353</v>
      </c>
      <c r="E33" s="66">
        <f>'SE-EGM-FLSH'!E33+'SE-LRC-FLSH'!E33+'NE-FLSH'!E33+BGC_FLSH!E33</f>
        <v>-666916.89810825116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-360353</v>
      </c>
      <c r="I33" s="66">
        <f>'SE-EGM-FLSH'!I33+'SE-LRC-FLSH'!I33+'NE-FLSH'!I33+BGC_FLSH!I33</f>
        <v>-666916.89810825116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-360353</v>
      </c>
      <c r="M33" s="38">
        <f t="shared" si="7"/>
        <v>-666916.89810825116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'SE-EGM-FLSH'!D34+'SE-LRC-FLSH'!D34+'NE-FLSH'!D34+BGC_FLSH!D34</f>
        <v>497396</v>
      </c>
      <c r="E34" s="66">
        <f>'SE-EGM-FLSH'!E34+'SE-LRC-FLSH'!E34+'NE-FLSH'!E34+BGC_FLSH!E34</f>
        <v>873705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497396</v>
      </c>
      <c r="I34" s="66">
        <f>'SE-EGM-FLSH'!I34+'SE-LRC-FLSH'!I34+'NE-FLSH'!I34+BGC_FLSH!I34</f>
        <v>873705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497396</v>
      </c>
      <c r="M34" s="38">
        <f t="shared" si="7"/>
        <v>873705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'SE-EGM-FLSH'!D35+'SE-LRC-FLSH'!D35+'NE-FLSH'!D35+BGC_FLSH!D35</f>
        <v>-248298</v>
      </c>
      <c r="E35" s="66">
        <f>'SE-EGM-FLSH'!E35+'SE-LRC-FLSH'!E35+'NE-FLSH'!E35+BGC_FLSH!E35</f>
        <v>-438477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-248298</v>
      </c>
      <c r="I35" s="66">
        <f>'SE-EGM-FLSH'!I35+'SE-LRC-FLSH'!I35+'NE-FLSH'!I35+BGC_FLSH!I35</f>
        <v>-438477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-248298</v>
      </c>
      <c r="M35" s="38">
        <f t="shared" si="7"/>
        <v>-438477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117219</v>
      </c>
      <c r="E36" s="39">
        <f t="shared" si="9"/>
        <v>199816.10189174884</v>
      </c>
      <c r="F36" s="61">
        <f t="shared" si="9"/>
        <v>0</v>
      </c>
      <c r="G36" s="39">
        <f t="shared" si="9"/>
        <v>0</v>
      </c>
      <c r="H36" s="61">
        <f t="shared" si="9"/>
        <v>117219</v>
      </c>
      <c r="I36" s="39">
        <f t="shared" si="9"/>
        <v>199816.10189174884</v>
      </c>
      <c r="J36" s="61">
        <f>SUM(J32:J34)</f>
        <v>0</v>
      </c>
      <c r="K36" s="39">
        <f>SUM(K32:K34)</f>
        <v>0</v>
      </c>
      <c r="L36" s="61">
        <f>SUM(L32:L35)</f>
        <v>117219</v>
      </c>
      <c r="M36" s="39">
        <f>SUM(M32:M35)</f>
        <v>199816.10189174884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'SE-EGM-FLSH'!D39+'SE-LRC-FLSH'!D39+'NE-FLSH'!D39+BGC_FLSH!D39</f>
        <v>1654924</v>
      </c>
      <c r="E39" s="66">
        <f>'SE-EGM-FLSH'!E39+'SE-LRC-FLSH'!E39+'NE-FLSH'!E39+BGC_FLSH!E39</f>
        <v>3020230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1654924</v>
      </c>
      <c r="I39" s="66">
        <f>'SE-EGM-FLSH'!I39+'SE-LRC-FLSH'!I39+'NE-FLSH'!I39+BGC_FLSH!I39</f>
        <v>3020230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1654924</v>
      </c>
      <c r="M39" s="38">
        <f t="shared" si="11"/>
        <v>3020230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'SE-EGM-FLSH'!D40+'SE-LRC-FLSH'!D40+'NE-FLSH'!D40+BGC_FLSH!D40</f>
        <v>-10392779</v>
      </c>
      <c r="E40" s="66">
        <f>'SE-EGM-FLSH'!E40+'SE-LRC-FLSH'!E40+'NE-FLSH'!E40+BGC_FLSH!E40</f>
        <v>-11789648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-10392779</v>
      </c>
      <c r="I40" s="66">
        <f>'SE-EGM-FLSH'!I40+'SE-LRC-FLSH'!I40+'NE-FLSH'!I40+BGC_FLSH!I40</f>
        <v>-11789648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-10392779</v>
      </c>
      <c r="M40" s="38">
        <f t="shared" si="11"/>
        <v>-11789648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-10392779</v>
      </c>
      <c r="E42" s="39">
        <f>SUM(E40:E41)</f>
        <v>-11789648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-10392779</v>
      </c>
      <c r="I42" s="39">
        <f>SUM(I40:I41)</f>
        <v>-11789648</v>
      </c>
      <c r="J42" s="61">
        <f t="shared" si="12"/>
        <v>0</v>
      </c>
      <c r="K42" s="39">
        <f t="shared" si="12"/>
        <v>0</v>
      </c>
      <c r="L42" s="61">
        <f t="shared" si="12"/>
        <v>-10392779</v>
      </c>
      <c r="M42" s="39">
        <f t="shared" si="12"/>
        <v>-11789648</v>
      </c>
    </row>
    <row r="43" spans="1:13" ht="21" customHeight="1" x14ac:dyDescent="0.25">
      <c r="A43" s="9"/>
      <c r="B43" s="7" t="s">
        <v>53</v>
      </c>
      <c r="C43" s="6"/>
      <c r="D43" s="61">
        <f>D42+D39</f>
        <v>-8737855</v>
      </c>
      <c r="E43" s="39">
        <f>E42+E39</f>
        <v>-8769418</v>
      </c>
      <c r="F43" s="61">
        <f t="shared" ref="F43:M43" si="13">F42+F39</f>
        <v>0</v>
      </c>
      <c r="G43" s="39">
        <f t="shared" si="13"/>
        <v>0</v>
      </c>
      <c r="H43" s="61">
        <f>H42+H39</f>
        <v>-8737855</v>
      </c>
      <c r="I43" s="39">
        <f>I42+I39</f>
        <v>-8769418</v>
      </c>
      <c r="J43" s="61">
        <f t="shared" si="13"/>
        <v>0</v>
      </c>
      <c r="K43" s="39">
        <f t="shared" si="13"/>
        <v>0</v>
      </c>
      <c r="L43" s="61">
        <f t="shared" si="13"/>
        <v>-8737855</v>
      </c>
      <c r="M43" s="39">
        <f t="shared" si="13"/>
        <v>-8769418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'SE-EGM-FLSH'!D51+'SE-LRC-FLSH'!D51+'NE-FLSH'!D51+BGC_FLSH!D51</f>
        <v>-930943</v>
      </c>
      <c r="E51" s="66">
        <f>'SE-EGM-FLSH'!E51+'SE-LRC-FLSH'!E51+'NE-FLSH'!E51+BGC_FLSH!E51</f>
        <v>-1749178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-930943</v>
      </c>
      <c r="I51" s="66">
        <f>'SE-EGM-FLSH'!I51+'SE-LRC-FLSH'!I51+'NE-FLSH'!I51+BGC_FLSH!I51</f>
        <v>-1749178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-930943</v>
      </c>
      <c r="M51" s="38">
        <f>I51+K51</f>
        <v>-1749178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-1567382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-1567382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-1567382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-16004960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-16004960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-16004960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-17572342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-17572342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-17572342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158915.965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158915.965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158915.965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158915.965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158915.965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158915.965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-2549306.935000001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-2549306.935000001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-2549306.935000001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3892110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3892110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3892110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1342803.064999999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1342803.064999999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1342803.064999999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5713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5713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5713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16223.95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16223.95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16223.95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0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-1261726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-1261726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-1261726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23732.945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23732.945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23732.945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15496704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15496704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15496704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164679.23000000001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164679.23000000001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164679.23000000001</v>
      </c>
    </row>
    <row r="81" spans="1:67" x14ac:dyDescent="0.25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-2000000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-2000000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-2000000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-1138997.7431082537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-1138997.7431082537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-1138997.7431082537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+'SE-LRC-FLSH'!E82+'SE-EGM-FLSH'!E82+'NE-FLSH'!E82+BGC_FLSH!E82</f>
        <v>-1138997.7431082393</v>
      </c>
      <c r="G84" s="31">
        <f>+'SE-LRC-FLSH'!G82+'SE-EGM-FLSH'!G82+'NE-FLSH'!G82+BGC_FLSH!G82</f>
        <v>0</v>
      </c>
      <c r="I84" s="31">
        <f>+'SE-LRC-FLSH'!I82+'SE-EGM-FLSH'!I82+'NE-FLSH'!I82+BGC_FLSH!I82</f>
        <v>-1138997.7431082393</v>
      </c>
      <c r="K84" s="31">
        <f>+'SE-LRC-FLSH'!K82+'SE-EGM-FLSH'!K82+'NE-FLSH'!K82+BGC_FLSH!K82</f>
        <v>0</v>
      </c>
      <c r="M84" s="31">
        <f>+'SE-LRC-FLSH'!M82+'SE-EGM-FLSH'!M82+'NE-FLSH'!M82+BGC_FLSH!M82</f>
        <v>-1138997.7431082393</v>
      </c>
    </row>
    <row r="85" spans="1:67" x14ac:dyDescent="0.25">
      <c r="A85" s="4" t="s">
        <v>193</v>
      </c>
      <c r="B85" s="3"/>
      <c r="K85" s="45"/>
    </row>
    <row r="86" spans="1:67" s="3" customFormat="1" x14ac:dyDescent="0.25">
      <c r="A86" s="183"/>
      <c r="C86" s="10" t="s">
        <v>189</v>
      </c>
      <c r="D86" s="168">
        <f>'SE-EGM-FLSH'!D86+'SE-LRC-FLSH'!D86+'NE-FLSH'!D86+BGC_FLSH!D86</f>
        <v>0</v>
      </c>
      <c r="E86" s="168">
        <f>'SE-EGM-FLSH'!E86+'SE-LRC-FLSH'!E86+'NE-FLSH'!E86+BGC_FLSH!E86</f>
        <v>0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0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0</v>
      </c>
    </row>
    <row r="87" spans="1:67" s="3" customFormat="1" x14ac:dyDescent="0.25">
      <c r="A87" s="183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3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5">
      <c r="A89" s="192"/>
      <c r="B89" s="193"/>
      <c r="C89" s="194" t="s">
        <v>190</v>
      </c>
      <c r="D89" s="195">
        <f>SUM(D86:D88)</f>
        <v>0</v>
      </c>
      <c r="E89" s="195">
        <f t="shared" ref="E89:M89" si="22">SUM(E86:E88)</f>
        <v>0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0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5">
        <f>+D82+D89</f>
        <v>0</v>
      </c>
      <c r="E91" s="195">
        <f t="shared" ref="E91:M91" si="23">+E82+E89</f>
        <v>-1138997.7431082537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-1138997.7431082537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-1138997.7431082537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69" activePane="bottomRight" state="frozen"/>
      <selection activeCell="E14" sqref="E14"/>
      <selection pane="topRight" activeCell="E14" sqref="E14"/>
      <selection pane="bottomLeft" activeCell="E14" sqref="E14"/>
      <selection pane="bottomRight" activeCell="E89" sqref="E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49063050</v>
      </c>
      <c r="E11" s="38">
        <v>86131061</v>
      </c>
      <c r="F11" s="65">
        <f>H11-D11</f>
        <v>0</v>
      </c>
      <c r="G11" s="63">
        <f>I11-E11</f>
        <v>0</v>
      </c>
      <c r="H11" s="65">
        <f>D11</f>
        <v>49063050</v>
      </c>
      <c r="I11" s="66">
        <f>E11</f>
        <v>86131061</v>
      </c>
      <c r="J11" s="60"/>
      <c r="K11" s="38">
        <f>-95911-28789-28245</f>
        <v>-152945</v>
      </c>
      <c r="L11" s="60">
        <f t="shared" ref="L11:M15" si="0">H11+J11</f>
        <v>49063050</v>
      </c>
      <c r="M11" s="38">
        <f t="shared" si="0"/>
        <v>85978116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1181827</v>
      </c>
      <c r="E13" s="38">
        <v>2001964.88</v>
      </c>
      <c r="F13" s="65">
        <f t="shared" si="1"/>
        <v>0</v>
      </c>
      <c r="G13" s="63">
        <f t="shared" si="1"/>
        <v>0</v>
      </c>
      <c r="H13" s="65">
        <f t="shared" si="2"/>
        <v>1181827</v>
      </c>
      <c r="I13" s="66">
        <f t="shared" si="2"/>
        <v>2001964.88</v>
      </c>
      <c r="J13" s="60"/>
      <c r="K13" s="38"/>
      <c r="L13" s="60">
        <f t="shared" si="0"/>
        <v>1181827</v>
      </c>
      <c r="M13" s="38">
        <f t="shared" si="0"/>
        <v>2001964.88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50244877</v>
      </c>
      <c r="E16" s="39">
        <v>88133025.879999995</v>
      </c>
      <c r="F16" s="61">
        <f t="shared" ref="F16:M16" si="3">SUM(F11:F15)</f>
        <v>0</v>
      </c>
      <c r="G16" s="39">
        <f t="shared" si="3"/>
        <v>0</v>
      </c>
      <c r="H16" s="61">
        <f>SUM(H11:H15)</f>
        <v>50244877</v>
      </c>
      <c r="I16" s="39">
        <f>SUM(I11:I15)</f>
        <v>88133025.879999995</v>
      </c>
      <c r="J16" s="61">
        <f>SUM(J11:J15)</f>
        <v>0</v>
      </c>
      <c r="K16" s="39">
        <f>SUM(K11:K15)</f>
        <v>-152945</v>
      </c>
      <c r="L16" s="61">
        <f t="shared" si="3"/>
        <v>50244877</v>
      </c>
      <c r="M16" s="39">
        <f t="shared" si="3"/>
        <v>87980080.879999995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-57166638</v>
      </c>
      <c r="E19" s="38">
        <v>-99465173</v>
      </c>
      <c r="F19" s="65">
        <f>H19-D19</f>
        <v>0</v>
      </c>
      <c r="G19" s="63">
        <f>I19-E19</f>
        <v>0</v>
      </c>
      <c r="H19" s="65">
        <f t="shared" si="4"/>
        <v>-57166638</v>
      </c>
      <c r="I19" s="66">
        <f t="shared" si="4"/>
        <v>-99465173</v>
      </c>
      <c r="J19" s="60"/>
      <c r="K19" s="38"/>
      <c r="L19" s="60">
        <f t="shared" ref="L19:M23" si="5">H19+J19</f>
        <v>-57166638</v>
      </c>
      <c r="M19" s="38">
        <f t="shared" si="5"/>
        <v>-99465173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-1337043</v>
      </c>
      <c r="E21" s="38">
        <v>-2280277.71</v>
      </c>
      <c r="F21" s="65">
        <f t="shared" si="6"/>
        <v>0</v>
      </c>
      <c r="G21" s="63">
        <f t="shared" si="6"/>
        <v>0</v>
      </c>
      <c r="H21" s="65">
        <f t="shared" si="4"/>
        <v>-1337043</v>
      </c>
      <c r="I21" s="66">
        <f t="shared" si="4"/>
        <v>-2280277.71</v>
      </c>
      <c r="J21" s="60"/>
      <c r="K21" s="38"/>
      <c r="L21" s="60">
        <f t="shared" si="5"/>
        <v>-1337043</v>
      </c>
      <c r="M21" s="38">
        <f t="shared" si="5"/>
        <v>-2280277.71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-58503681</v>
      </c>
      <c r="E24" s="39">
        <v>-101745450.70999999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-58503681</v>
      </c>
      <c r="I24" s="39">
        <f>SUM(I19:I23)</f>
        <v>-101745450.70999999</v>
      </c>
      <c r="J24" s="61">
        <f>SUM(J19:J23)</f>
        <v>0</v>
      </c>
      <c r="K24" s="39">
        <f>SUM(K19:K23)</f>
        <v>0</v>
      </c>
      <c r="L24" s="61">
        <f t="shared" si="7"/>
        <v>-58503681</v>
      </c>
      <c r="M24" s="39">
        <f t="shared" si="7"/>
        <v>-101745450.70999999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29598230</v>
      </c>
      <c r="E27" s="38">
        <v>51845686.640000001</v>
      </c>
      <c r="F27" s="65">
        <f>H27-D27</f>
        <v>0</v>
      </c>
      <c r="G27" s="63">
        <f>I27-E27</f>
        <v>0</v>
      </c>
      <c r="H27" s="65">
        <f>D27</f>
        <v>29598230</v>
      </c>
      <c r="I27" s="66">
        <f>E27</f>
        <v>51845686.640000001</v>
      </c>
      <c r="J27" s="60"/>
      <c r="K27" s="38"/>
      <c r="L27" s="60">
        <f>H27+J27</f>
        <v>29598230</v>
      </c>
      <c r="M27" s="38">
        <f>I27+K27</f>
        <v>51845686.640000001</v>
      </c>
    </row>
    <row r="28" spans="1:13" x14ac:dyDescent="0.25">
      <c r="A28" s="9">
        <v>12</v>
      </c>
      <c r="B28" s="7"/>
      <c r="C28" s="18" t="s">
        <v>40</v>
      </c>
      <c r="D28" s="60">
        <v>-28848210</v>
      </c>
      <c r="E28" s="38">
        <v>-50416224.18</v>
      </c>
      <c r="F28" s="65">
        <f>H28-D28</f>
        <v>0</v>
      </c>
      <c r="G28" s="63">
        <f>I28-E28</f>
        <v>0</v>
      </c>
      <c r="H28" s="65">
        <f>D28</f>
        <v>-28848210</v>
      </c>
      <c r="I28" s="66">
        <f>E28</f>
        <v>-50416224.18</v>
      </c>
      <c r="J28" s="60"/>
      <c r="K28" s="38"/>
      <c r="L28" s="60">
        <f>H28+J28</f>
        <v>-28848210</v>
      </c>
      <c r="M28" s="38">
        <f>I28+K28</f>
        <v>-50416224.18</v>
      </c>
    </row>
    <row r="29" spans="1:13" x14ac:dyDescent="0.25">
      <c r="A29" s="9"/>
      <c r="B29" s="7" t="s">
        <v>41</v>
      </c>
      <c r="C29" s="6"/>
      <c r="D29" s="61">
        <v>750020</v>
      </c>
      <c r="E29" s="39">
        <v>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750020</v>
      </c>
      <c r="I29" s="39">
        <f>SUM(I27:I28)</f>
        <v>1429462.4600000009</v>
      </c>
      <c r="J29" s="61">
        <f>SUM(J27:J28)</f>
        <v>0</v>
      </c>
      <c r="K29" s="39">
        <f>SUM(K27:K28)</f>
        <v>0</v>
      </c>
      <c r="L29" s="61">
        <f t="shared" si="8"/>
        <v>750020</v>
      </c>
      <c r="M29" s="39">
        <f t="shared" si="8"/>
        <v>1429462.4600000009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7508784</v>
      </c>
      <c r="E33" s="38">
        <v>12889227.374123955</v>
      </c>
      <c r="F33" s="65">
        <f t="shared" ref="F33:G35" si="11">H33-D33</f>
        <v>0</v>
      </c>
      <c r="G33" s="63">
        <f t="shared" si="11"/>
        <v>0</v>
      </c>
      <c r="H33" s="65">
        <f t="shared" si="9"/>
        <v>7508784</v>
      </c>
      <c r="I33" s="66">
        <f t="shared" si="9"/>
        <v>12889227.374123955</v>
      </c>
      <c r="J33" s="60"/>
      <c r="K33" s="38"/>
      <c r="L33" s="60">
        <f t="shared" si="10"/>
        <v>7508784</v>
      </c>
      <c r="M33" s="38">
        <f t="shared" si="10"/>
        <v>12889227.374123955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7508784</v>
      </c>
      <c r="E36" s="39">
        <v>12889227.374123955</v>
      </c>
      <c r="F36" s="61">
        <f>SUM(F32:F35)</f>
        <v>0</v>
      </c>
      <c r="G36" s="39">
        <f>SUM(G32:G35)</f>
        <v>0</v>
      </c>
      <c r="H36" s="61">
        <f>SUM(H32:H35)</f>
        <v>7508784</v>
      </c>
      <c r="I36" s="39">
        <f>SUM(I32:I35)</f>
        <v>12889227.374123955</v>
      </c>
      <c r="J36" s="61">
        <f>SUM(J32:J34)</f>
        <v>0</v>
      </c>
      <c r="K36" s="39">
        <f>SUM(K32:K34)</f>
        <v>0</v>
      </c>
      <c r="L36" s="61">
        <f>SUM(L32:L35)</f>
        <v>7508784</v>
      </c>
      <c r="M36" s="39">
        <f>SUM(M32:M35)</f>
        <v>12889227.374123955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>SUM(J40:J41)</f>
        <v>0</v>
      </c>
      <c r="K42" s="39">
        <f>SUM(K40:K41)</f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>J42+J39</f>
        <v>0</v>
      </c>
      <c r="K43" s="39">
        <f>K42+K39</f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-25000</v>
      </c>
      <c r="J51" s="60"/>
      <c r="K51" s="38"/>
      <c r="L51" s="60">
        <f>H51+J51</f>
        <v>0</v>
      </c>
      <c r="M51" s="38">
        <f>I51+K51</f>
        <v>-25000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-823333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-823333</v>
      </c>
      <c r="J54" s="60"/>
      <c r="K54" s="38">
        <f>18626+603096+1240-93300</f>
        <v>529662</v>
      </c>
      <c r="L54" s="60">
        <f>H54+J54</f>
        <v>0</v>
      </c>
      <c r="M54" s="38">
        <f>I54+K54</f>
        <v>-293671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-823333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-823333</v>
      </c>
      <c r="J56" s="61">
        <f>SUM(J54:J55)</f>
        <v>0</v>
      </c>
      <c r="K56" s="39">
        <f>SUM(K54:K55)</f>
        <v>529662</v>
      </c>
      <c r="L56" s="61">
        <f t="shared" si="17"/>
        <v>0</v>
      </c>
      <c r="M56" s="39">
        <f t="shared" si="17"/>
        <v>-293671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138111.41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138111.41</v>
      </c>
      <c r="J70" s="60"/>
      <c r="K70" s="38"/>
      <c r="L70" s="60">
        <f t="shared" si="20"/>
        <v>0</v>
      </c>
      <c r="M70" s="38">
        <f t="shared" si="20"/>
        <v>138111.41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987605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987605</v>
      </c>
      <c r="J71" s="60"/>
      <c r="K71" s="38"/>
      <c r="L71" s="60">
        <f t="shared" si="20"/>
        <v>0</v>
      </c>
      <c r="M71" s="38">
        <f t="shared" si="20"/>
        <v>987605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1125716.4099999999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1125716.4099999999</v>
      </c>
      <c r="J72" s="61">
        <f>SUM(J70:J71)</f>
        <v>0</v>
      </c>
      <c r="K72" s="39">
        <f>SUM(K70:K71)</f>
        <v>0</v>
      </c>
      <c r="L72" s="69">
        <f t="shared" si="21"/>
        <v>0</v>
      </c>
      <c r="M72" s="70">
        <f t="shared" si="21"/>
        <v>1125716.4099999999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-395143.07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-395143.07</v>
      </c>
      <c r="J74" s="60"/>
      <c r="K74" s="38">
        <v>93300</v>
      </c>
      <c r="L74" s="60">
        <f t="shared" si="23"/>
        <v>0</v>
      </c>
      <c r="M74" s="38">
        <f t="shared" si="23"/>
        <v>-301843.07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52737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52737</v>
      </c>
      <c r="J75" s="60"/>
      <c r="K75" s="38"/>
      <c r="L75" s="60">
        <f t="shared" si="23"/>
        <v>0</v>
      </c>
      <c r="M75" s="38">
        <f t="shared" si="23"/>
        <v>52737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-2950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-2950</v>
      </c>
      <c r="J76" s="60"/>
      <c r="K76" s="38">
        <v>2890</v>
      </c>
      <c r="L76" s="60">
        <f t="shared" si="23"/>
        <v>0</v>
      </c>
      <c r="M76" s="38">
        <f t="shared" si="23"/>
        <v>-60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315590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315590</v>
      </c>
      <c r="J81" s="60"/>
      <c r="K81" s="38"/>
      <c r="L81" s="60">
        <f t="shared" si="23"/>
        <v>0</v>
      </c>
      <c r="M81" s="38">
        <f t="shared" si="23"/>
        <v>315590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953882.3441239614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953882.3441239614</v>
      </c>
      <c r="J82" s="73">
        <f>J16+J24+J29+J36+J43+J45+J47+J49</f>
        <v>0</v>
      </c>
      <c r="K82" s="74">
        <f>SUM(K72:K81)+K16+K24+K29+K36+K43+K45+K47+K49+K51+K56+K61+K66</f>
        <v>472907</v>
      </c>
      <c r="L82" s="73">
        <f>L16+L24+L29+L36+L43+L45+L47+L49</f>
        <v>0</v>
      </c>
      <c r="M82" s="74">
        <f>SUM(M72:M81)+M16+M24+M29+M36+M43+M45+M47+M49+M51+M56+M61+M66</f>
        <v>1426789.3441239614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196</v>
      </c>
      <c r="B85" s="3"/>
      <c r="M85" s="45">
        <f>M82+'[3]TX-HPL-FLSH'!M82</f>
        <v>1480568.3342361264</v>
      </c>
    </row>
    <row r="86" spans="1:67" s="3" customFormat="1" x14ac:dyDescent="0.25">
      <c r="A86" s="183"/>
      <c r="C86" s="10" t="s">
        <v>189</v>
      </c>
      <c r="D86" s="168">
        <v>0</v>
      </c>
      <c r="E86" s="168">
        <v>67597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67597</v>
      </c>
      <c r="J86" s="168"/>
      <c r="K86" s="168"/>
      <c r="L86" s="168">
        <f t="shared" ref="L86:M88" si="27">H86+J86</f>
        <v>0</v>
      </c>
      <c r="M86" s="168">
        <f t="shared" si="27"/>
        <v>67597</v>
      </c>
    </row>
    <row r="87" spans="1:67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5">
      <c r="A88" s="183"/>
      <c r="C88" s="10" t="s">
        <v>76</v>
      </c>
      <c r="D88" s="170">
        <v>0</v>
      </c>
      <c r="E88" s="170">
        <v>-48556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-48556</v>
      </c>
      <c r="J88" s="170"/>
      <c r="K88" s="170"/>
      <c r="L88" s="170">
        <f t="shared" si="27"/>
        <v>0</v>
      </c>
      <c r="M88" s="170">
        <f t="shared" si="27"/>
        <v>-48556</v>
      </c>
    </row>
    <row r="89" spans="1:67" s="44" customFormat="1" ht="20.25" customHeight="1" x14ac:dyDescent="0.25">
      <c r="A89" s="192"/>
      <c r="B89" s="193"/>
      <c r="C89" s="194" t="s">
        <v>190</v>
      </c>
      <c r="D89" s="196">
        <f>SUM(D86:D88)</f>
        <v>0</v>
      </c>
      <c r="E89" s="196">
        <f t="shared" ref="E89:M89" si="28">SUM(E86:E88)</f>
        <v>19041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19041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6">
        <f>+D82+D89</f>
        <v>0</v>
      </c>
      <c r="E91" s="196">
        <f t="shared" ref="E91:M91" si="29">+E82+E89</f>
        <v>972923.3441239614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972923.3441239614</v>
      </c>
      <c r="J91" s="196">
        <f t="shared" si="29"/>
        <v>0</v>
      </c>
      <c r="K91" s="196">
        <f t="shared" si="29"/>
        <v>472907</v>
      </c>
      <c r="L91" s="196">
        <f t="shared" si="29"/>
        <v>0</v>
      </c>
      <c r="M91" s="196">
        <f t="shared" si="29"/>
        <v>1445830.3441239614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H70" activePane="bottomRight" state="frozen"/>
      <selection activeCell="E14" sqref="E14"/>
      <selection pane="topRight" activeCell="E14" sqref="E14"/>
      <selection pane="bottomLeft" activeCell="E14" sqref="E14"/>
      <selection pane="bottomRight" activeCell="H81" sqref="H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-12142761</v>
      </c>
      <c r="E11" s="60">
        <v>-22074900</v>
      </c>
      <c r="F11" s="60">
        <f>H11-D11</f>
        <v>0</v>
      </c>
      <c r="G11" s="37">
        <f>I11-E11</f>
        <v>0</v>
      </c>
      <c r="H11" s="65">
        <f>D11</f>
        <v>-12142761</v>
      </c>
      <c r="I11" s="66">
        <f>E11</f>
        <v>-22074900</v>
      </c>
      <c r="J11" s="60"/>
      <c r="K11" s="38">
        <f>94482-115057-79697+45244</f>
        <v>-55028</v>
      </c>
      <c r="L11" s="60">
        <f t="shared" ref="L11:M15" si="0">H11+J11</f>
        <v>-12142761</v>
      </c>
      <c r="M11" s="38">
        <f t="shared" si="0"/>
        <v>-22129928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-0.87999999988824129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-0.87999999988824129</v>
      </c>
      <c r="J13" s="60"/>
      <c r="K13" s="38"/>
      <c r="L13" s="60">
        <f t="shared" si="0"/>
        <v>0</v>
      </c>
      <c r="M13" s="38">
        <f t="shared" si="0"/>
        <v>-0.87999999988824129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v>-12142761</v>
      </c>
      <c r="E16" s="39">
        <v>-21954900.879999999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-12142761</v>
      </c>
      <c r="I16" s="39">
        <f>SUM(I11:I15)</f>
        <v>-21954900.879999999</v>
      </c>
      <c r="J16" s="61">
        <f>SUM(J11:J15)</f>
        <v>0</v>
      </c>
      <c r="K16" s="39">
        <f>SUM(K11:K15)</f>
        <v>-55028</v>
      </c>
      <c r="L16" s="61">
        <f t="shared" si="3"/>
        <v>-12142761</v>
      </c>
      <c r="M16" s="39">
        <f t="shared" si="3"/>
        <v>-22009928.879999999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18007351</v>
      </c>
      <c r="E19" s="60">
        <v>31323545</v>
      </c>
      <c r="F19" s="60">
        <f>H19-D19</f>
        <v>0</v>
      </c>
      <c r="G19" s="37">
        <f>I19-E19</f>
        <v>0</v>
      </c>
      <c r="H19" s="65">
        <f t="shared" si="4"/>
        <v>18007351</v>
      </c>
      <c r="I19" s="66">
        <f t="shared" si="4"/>
        <v>31323545</v>
      </c>
      <c r="J19" s="60"/>
      <c r="K19" s="38"/>
      <c r="L19" s="60">
        <f t="shared" ref="L19:M23" si="5">H19+J19</f>
        <v>18007351</v>
      </c>
      <c r="M19" s="38">
        <f t="shared" si="5"/>
        <v>31323545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-4.2900000000372529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-4.2900000000372529</v>
      </c>
      <c r="J21" s="60"/>
      <c r="K21" s="38"/>
      <c r="L21" s="60">
        <f t="shared" si="5"/>
        <v>0</v>
      </c>
      <c r="M21" s="38">
        <f t="shared" si="5"/>
        <v>-4.2900000000372529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56</v>
      </c>
      <c r="E23" s="60">
        <v>94</v>
      </c>
      <c r="F23" s="60">
        <f t="shared" si="6"/>
        <v>0</v>
      </c>
      <c r="G23" s="37">
        <f t="shared" si="6"/>
        <v>0</v>
      </c>
      <c r="H23" s="65">
        <f t="shared" si="4"/>
        <v>56</v>
      </c>
      <c r="I23" s="66">
        <f t="shared" si="4"/>
        <v>94</v>
      </c>
      <c r="J23" s="60"/>
      <c r="K23" s="38"/>
      <c r="L23" s="60">
        <f t="shared" si="5"/>
        <v>56</v>
      </c>
      <c r="M23" s="38">
        <f t="shared" si="5"/>
        <v>94</v>
      </c>
    </row>
    <row r="24" spans="1:13" x14ac:dyDescent="0.25">
      <c r="A24" s="9"/>
      <c r="B24" s="7" t="s">
        <v>37</v>
      </c>
      <c r="C24" s="6"/>
      <c r="D24" s="61">
        <v>18007407</v>
      </c>
      <c r="E24" s="39">
        <v>31323634.710000001</v>
      </c>
      <c r="F24" s="61">
        <f t="shared" ref="F24:M24" si="7">SUM(F19:F23)</f>
        <v>0</v>
      </c>
      <c r="G24" s="39">
        <f t="shared" si="7"/>
        <v>0</v>
      </c>
      <c r="H24" s="61">
        <f>SUM(H19:H23)</f>
        <v>18007407</v>
      </c>
      <c r="I24" s="39">
        <f>SUM(I19:I23)</f>
        <v>31323634.710000001</v>
      </c>
      <c r="J24" s="61">
        <f>SUM(J19:J23)</f>
        <v>0</v>
      </c>
      <c r="K24" s="39">
        <f>SUM(K19:K23)</f>
        <v>0</v>
      </c>
      <c r="L24" s="61">
        <f t="shared" si="7"/>
        <v>18007407</v>
      </c>
      <c r="M24" s="39">
        <f t="shared" si="7"/>
        <v>31323634.710000001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2323610</v>
      </c>
      <c r="E27" s="60">
        <v>4047922.36</v>
      </c>
      <c r="F27" s="60">
        <f>H27-D27</f>
        <v>0</v>
      </c>
      <c r="G27" s="37">
        <f>I27-E27</f>
        <v>0</v>
      </c>
      <c r="H27" s="65">
        <f>D27</f>
        <v>2323610</v>
      </c>
      <c r="I27" s="66">
        <f>E27</f>
        <v>4047922.36</v>
      </c>
      <c r="J27" s="60"/>
      <c r="K27" s="38"/>
      <c r="L27" s="60">
        <f>H27+J27</f>
        <v>2323610</v>
      </c>
      <c r="M27" s="38">
        <f>I27+K27</f>
        <v>4047922.36</v>
      </c>
    </row>
    <row r="28" spans="1:13" x14ac:dyDescent="0.25">
      <c r="A28" s="9">
        <v>12</v>
      </c>
      <c r="B28" s="7"/>
      <c r="C28" s="18" t="s">
        <v>40</v>
      </c>
      <c r="D28" s="60">
        <v>-3073630</v>
      </c>
      <c r="E28" s="60">
        <v>-5477384.8200000003</v>
      </c>
      <c r="F28" s="60">
        <f>H28-D28</f>
        <v>0</v>
      </c>
      <c r="G28" s="37">
        <f>I28-E28</f>
        <v>0</v>
      </c>
      <c r="H28" s="65">
        <f>D28</f>
        <v>-3073630</v>
      </c>
      <c r="I28" s="66">
        <f>E28</f>
        <v>-5477384.8200000003</v>
      </c>
      <c r="J28" s="60"/>
      <c r="K28" s="38"/>
      <c r="L28" s="60">
        <f>H28+J28</f>
        <v>-3073630</v>
      </c>
      <c r="M28" s="38">
        <f>I28+K28</f>
        <v>-5477384.8200000003</v>
      </c>
    </row>
    <row r="29" spans="1:13" x14ac:dyDescent="0.25">
      <c r="A29" s="9"/>
      <c r="B29" s="7" t="s">
        <v>41</v>
      </c>
      <c r="C29" s="6"/>
      <c r="D29" s="61">
        <v>-750020</v>
      </c>
      <c r="E29" s="39">
        <v>-1429462.46</v>
      </c>
      <c r="F29" s="61">
        <f t="shared" ref="F29:M29" si="8">SUM(F27:F28)</f>
        <v>0</v>
      </c>
      <c r="G29" s="39">
        <f t="shared" si="8"/>
        <v>0</v>
      </c>
      <c r="H29" s="61">
        <f>SUM(H27:H28)</f>
        <v>-750020</v>
      </c>
      <c r="I29" s="39">
        <f>SUM(I27:I28)</f>
        <v>-1429462.4600000004</v>
      </c>
      <c r="J29" s="61">
        <f>SUM(J27:J28)</f>
        <v>0</v>
      </c>
      <c r="K29" s="39">
        <f>SUM(K27:K28)</f>
        <v>0</v>
      </c>
      <c r="L29" s="61">
        <f t="shared" si="8"/>
        <v>-750020</v>
      </c>
      <c r="M29" s="39">
        <f t="shared" si="8"/>
        <v>-1429462.4600000004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-7496031</v>
      </c>
      <c r="E33" s="60">
        <v>-12867349.665533965</v>
      </c>
      <c r="F33" s="60">
        <f t="shared" ref="F33:G35" si="11">H33-D33</f>
        <v>0</v>
      </c>
      <c r="G33" s="37">
        <f t="shared" si="11"/>
        <v>0</v>
      </c>
      <c r="H33" s="65">
        <f t="shared" si="9"/>
        <v>-7496031</v>
      </c>
      <c r="I33" s="66">
        <f t="shared" si="9"/>
        <v>-12867349.665533965</v>
      </c>
      <c r="J33" s="60"/>
      <c r="K33" s="38"/>
      <c r="L33" s="60">
        <f t="shared" si="10"/>
        <v>-7496031</v>
      </c>
      <c r="M33" s="38">
        <f t="shared" si="10"/>
        <v>-12867349.665533965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-7496031</v>
      </c>
      <c r="E36" s="39">
        <v>-12867349.665533965</v>
      </c>
      <c r="F36" s="61">
        <f>SUM(F32:F35)</f>
        <v>0</v>
      </c>
      <c r="G36" s="39">
        <f>SUM(G32:G35)</f>
        <v>0</v>
      </c>
      <c r="H36" s="61">
        <f>SUM(H32:H35)</f>
        <v>-7496031</v>
      </c>
      <c r="I36" s="39">
        <f>SUM(I32:I35)</f>
        <v>-12867349.665533965</v>
      </c>
      <c r="J36" s="61">
        <f>SUM(J32:J34)</f>
        <v>0</v>
      </c>
      <c r="K36" s="39">
        <f>SUM(K32:K34)</f>
        <v>0</v>
      </c>
      <c r="L36" s="61">
        <f>SUM(L32:L35)</f>
        <v>-7496031</v>
      </c>
      <c r="M36" s="39">
        <f>SUM(M32:M35)</f>
        <v>-12867349.665533965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3267992</v>
      </c>
      <c r="E39" s="60">
        <v>5909295</v>
      </c>
      <c r="F39" s="60">
        <f t="shared" ref="F39:G41" si="13">H39-D39</f>
        <v>0</v>
      </c>
      <c r="G39" s="37">
        <f t="shared" si="13"/>
        <v>0</v>
      </c>
      <c r="H39" s="65">
        <f t="shared" si="12"/>
        <v>3267992</v>
      </c>
      <c r="I39" s="66">
        <f t="shared" si="12"/>
        <v>5909295</v>
      </c>
      <c r="J39" s="60"/>
      <c r="K39" s="38"/>
      <c r="L39" s="60">
        <f t="shared" ref="L39:M41" si="14">H39+J39</f>
        <v>3267992</v>
      </c>
      <c r="M39" s="38">
        <f t="shared" si="14"/>
        <v>5909295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-886587</v>
      </c>
      <c r="E40" s="60">
        <v>-1545938</v>
      </c>
      <c r="F40" s="60">
        <f t="shared" si="13"/>
        <v>0</v>
      </c>
      <c r="G40" s="37">
        <f t="shared" si="13"/>
        <v>0</v>
      </c>
      <c r="H40" s="65">
        <f t="shared" si="12"/>
        <v>-886587</v>
      </c>
      <c r="I40" s="66">
        <f t="shared" si="12"/>
        <v>-1545938</v>
      </c>
      <c r="J40" s="60"/>
      <c r="K40" s="38"/>
      <c r="L40" s="60">
        <f t="shared" si="14"/>
        <v>-886587</v>
      </c>
      <c r="M40" s="38">
        <f t="shared" si="14"/>
        <v>-1545938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-886587</v>
      </c>
      <c r="E42" s="39">
        <v>-1545938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-886587</v>
      </c>
      <c r="I42" s="39">
        <f>SUM(I40:I41)</f>
        <v>-1545938</v>
      </c>
      <c r="J42" s="61">
        <f>SUM(J40:J41)</f>
        <v>0</v>
      </c>
      <c r="K42" s="39">
        <f>SUM(K40:K41)</f>
        <v>0</v>
      </c>
      <c r="L42" s="61">
        <f t="shared" si="15"/>
        <v>-886587</v>
      </c>
      <c r="M42" s="39">
        <f t="shared" si="15"/>
        <v>-1545938</v>
      </c>
    </row>
    <row r="43" spans="1:13" ht="21" customHeight="1" x14ac:dyDescent="0.25">
      <c r="A43" s="9"/>
      <c r="B43" s="7" t="s">
        <v>53</v>
      </c>
      <c r="C43" s="6"/>
      <c r="D43" s="61">
        <v>2381405</v>
      </c>
      <c r="E43" s="39">
        <v>4363357</v>
      </c>
      <c r="F43" s="61">
        <f t="shared" ref="F43:M43" si="16">F42+F39</f>
        <v>0</v>
      </c>
      <c r="G43" s="39">
        <f t="shared" si="16"/>
        <v>0</v>
      </c>
      <c r="H43" s="61">
        <f>H42+H39</f>
        <v>2381405</v>
      </c>
      <c r="I43" s="39">
        <f>I42+I39</f>
        <v>4363357</v>
      </c>
      <c r="J43" s="61">
        <f>J42+J39</f>
        <v>0</v>
      </c>
      <c r="K43" s="39">
        <f>K42+K39</f>
        <v>0</v>
      </c>
      <c r="L43" s="61">
        <f t="shared" si="16"/>
        <v>2381405</v>
      </c>
      <c r="M43" s="39">
        <f t="shared" si="16"/>
        <v>4363357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25000</v>
      </c>
      <c r="J51" s="60"/>
      <c r="K51" s="38"/>
      <c r="L51" s="60">
        <f>H51+J51</f>
        <v>0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>
        <f>-603096-1240</f>
        <v>-604336</v>
      </c>
      <c r="L54" s="60">
        <f>H54+J54</f>
        <v>0</v>
      </c>
      <c r="M54" s="38">
        <f>I54+K54</f>
        <v>-604336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>SUM(J54:J55)</f>
        <v>0</v>
      </c>
      <c r="K56" s="39">
        <f>SUM(K54:K55)</f>
        <v>-604336</v>
      </c>
      <c r="L56" s="61">
        <f t="shared" si="17"/>
        <v>0</v>
      </c>
      <c r="M56" s="39">
        <f t="shared" si="17"/>
        <v>-604336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>SUM(J64:J65)</f>
        <v>0</v>
      </c>
      <c r="K66" s="39">
        <f>SUM(K64:K65)</f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-539721.29553396348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-539721.29553396441</v>
      </c>
      <c r="J82" s="73">
        <f>J16+J24+J29+J36+J43+J45+J47+J49</f>
        <v>0</v>
      </c>
      <c r="K82" s="74">
        <f>SUM(K72:K81)+K16+K24+K29+K36+K43+K45+K47+K49+K51+K56+K61+K66</f>
        <v>-659364</v>
      </c>
      <c r="L82" s="73">
        <f>L16+L24+L29+L36+L43+L45+L47+L49</f>
        <v>0</v>
      </c>
      <c r="M82" s="74">
        <f>SUM(M72:M81)+M16+M24+M29+M36+M43+M45+M47+M49+M51+M56+M61+M66</f>
        <v>-1199085.2955339644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E82+'TX-EGM-FLSH'!E82</f>
        <v>414161.04858999792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84" sqref="D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f>'TX-EGM-FLSH'!D11+'TX-HPL-FLSH'!D11</f>
        <v>36920289</v>
      </c>
      <c r="E11" s="38">
        <f>'TX-EGM-FLSH'!E11+'TX-HPL-FLSH'!E11</f>
        <v>64056161</v>
      </c>
      <c r="F11" s="60">
        <f>H11-D11</f>
        <v>0</v>
      </c>
      <c r="G11" s="37">
        <f>I11-E11</f>
        <v>0</v>
      </c>
      <c r="H11" s="60">
        <f>'TX-EGM-FLSH'!H11+'TX-HPL-FLSH'!H11</f>
        <v>36920289</v>
      </c>
      <c r="I11" s="38">
        <f>'TX-EGM-FLSH'!I11+'TX-HPL-FLSH'!I11</f>
        <v>64056161</v>
      </c>
      <c r="J11" s="60">
        <f>'TX-EGM-FLSH'!J11+'TX-HPL-FLSH'!J11</f>
        <v>0</v>
      </c>
      <c r="K11" s="38">
        <f>'TX-EGM-FLSH'!K11+'TX-HPL-FLSH'!K11</f>
        <v>-207973</v>
      </c>
      <c r="L11" s="60">
        <f t="shared" ref="L11:M15" si="0">H11+J11</f>
        <v>36920289</v>
      </c>
      <c r="M11" s="38">
        <f t="shared" si="0"/>
        <v>63848188</v>
      </c>
    </row>
    <row r="12" spans="1:26" x14ac:dyDescent="0.25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f>'TX-EGM-FLSH'!D13+'TX-HPL-FLSH'!D13</f>
        <v>1181827</v>
      </c>
      <c r="E13" s="38">
        <f>'TX-EGM-FLSH'!E13+'TX-HPL-FLSH'!E13</f>
        <v>2001964</v>
      </c>
      <c r="F13" s="60">
        <f t="shared" si="1"/>
        <v>0</v>
      </c>
      <c r="G13" s="37">
        <f t="shared" si="1"/>
        <v>0</v>
      </c>
      <c r="H13" s="60">
        <f>'TX-EGM-FLSH'!H13+'TX-HPL-FLSH'!H13</f>
        <v>1181827</v>
      </c>
      <c r="I13" s="38">
        <f>'TX-EGM-FLSH'!I13+'TX-HPL-FLSH'!I13</f>
        <v>2001964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1181827</v>
      </c>
      <c r="M13" s="38">
        <f t="shared" si="0"/>
        <v>2001964</v>
      </c>
    </row>
    <row r="14" spans="1:26" x14ac:dyDescent="0.25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f t="shared" ref="D16:M16" si="2">SUM(D11:D15)</f>
        <v>38102116</v>
      </c>
      <c r="E16" s="39">
        <f t="shared" si="2"/>
        <v>66178125</v>
      </c>
      <c r="F16" s="61">
        <f t="shared" si="2"/>
        <v>0</v>
      </c>
      <c r="G16" s="39">
        <f t="shared" si="2"/>
        <v>0</v>
      </c>
      <c r="H16" s="61">
        <f t="shared" si="2"/>
        <v>38102116</v>
      </c>
      <c r="I16" s="39">
        <f t="shared" si="2"/>
        <v>66178125</v>
      </c>
      <c r="J16" s="61">
        <f t="shared" si="2"/>
        <v>0</v>
      </c>
      <c r="K16" s="39">
        <f t="shared" si="2"/>
        <v>-207973</v>
      </c>
      <c r="L16" s="61">
        <f t="shared" si="2"/>
        <v>38102116</v>
      </c>
      <c r="M16" s="39">
        <f t="shared" si="2"/>
        <v>65970152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f>'TX-EGM-FLSH'!D19+'TX-HPL-FLSH'!D19</f>
        <v>-39159287</v>
      </c>
      <c r="E19" s="38">
        <f>'TX-EGM-FLSH'!E19+'TX-HPL-FLSH'!E19</f>
        <v>-68141628</v>
      </c>
      <c r="F19" s="60">
        <f>H19-D19</f>
        <v>0</v>
      </c>
      <c r="G19" s="37">
        <f>I19-E19</f>
        <v>0</v>
      </c>
      <c r="H19" s="60">
        <f>'TX-EGM-FLSH'!H19+'TX-HPL-FLSH'!H19</f>
        <v>-39159287</v>
      </c>
      <c r="I19" s="38">
        <f>'TX-EGM-FLSH'!I19+'TX-HPL-FLSH'!I19</f>
        <v>-68141628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-39159287</v>
      </c>
      <c r="M19" s="38">
        <f t="shared" si="3"/>
        <v>-68141628</v>
      </c>
    </row>
    <row r="20" spans="1:13" x14ac:dyDescent="0.25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0">
        <f>'TX-EGM-FLSH'!D21+'TX-HPL-FLSH'!D21</f>
        <v>-1337043</v>
      </c>
      <c r="E21" s="38">
        <f>'TX-EGM-FLSH'!E21+'TX-HPL-FLSH'!E21</f>
        <v>-2280282</v>
      </c>
      <c r="F21" s="60">
        <f t="shared" si="4"/>
        <v>0</v>
      </c>
      <c r="G21" s="37">
        <f t="shared" si="4"/>
        <v>0</v>
      </c>
      <c r="H21" s="60">
        <f>'TX-EGM-FLSH'!H21+'TX-HPL-FLSH'!H21</f>
        <v>-1337043</v>
      </c>
      <c r="I21" s="38">
        <f>'TX-EGM-FLSH'!I21+'TX-HPL-FLSH'!I21</f>
        <v>-2280282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-1337043</v>
      </c>
      <c r="M21" s="38">
        <f t="shared" si="3"/>
        <v>-2280282</v>
      </c>
    </row>
    <row r="22" spans="1:13" x14ac:dyDescent="0.25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0">
        <f>'TX-EGM-FLSH'!D23+'TX-HPL-FLSH'!D23</f>
        <v>56</v>
      </c>
      <c r="E23" s="38">
        <f>'TX-EGM-FLSH'!E23+'TX-HPL-FLSH'!E23</f>
        <v>94</v>
      </c>
      <c r="F23" s="60">
        <f t="shared" si="4"/>
        <v>0</v>
      </c>
      <c r="G23" s="37">
        <f t="shared" si="4"/>
        <v>0</v>
      </c>
      <c r="H23" s="60">
        <f>'TX-EGM-FLSH'!H23+'TX-HPL-FLSH'!H23</f>
        <v>56</v>
      </c>
      <c r="I23" s="38">
        <f>'TX-EGM-FLSH'!I23+'TX-HPL-FLSH'!I23</f>
        <v>94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56</v>
      </c>
      <c r="M23" s="38">
        <f t="shared" si="3"/>
        <v>94</v>
      </c>
    </row>
    <row r="24" spans="1:13" x14ac:dyDescent="0.25">
      <c r="A24" s="9"/>
      <c r="B24" s="7" t="s">
        <v>37</v>
      </c>
      <c r="C24" s="6"/>
      <c r="D24" s="61">
        <f t="shared" ref="D24:M24" si="5">SUM(D19:D23)</f>
        <v>-40496274</v>
      </c>
      <c r="E24" s="39">
        <f t="shared" si="5"/>
        <v>-70421816</v>
      </c>
      <c r="F24" s="61">
        <f t="shared" si="5"/>
        <v>0</v>
      </c>
      <c r="G24" s="39">
        <f t="shared" si="5"/>
        <v>0</v>
      </c>
      <c r="H24" s="61">
        <f t="shared" si="5"/>
        <v>-40496274</v>
      </c>
      <c r="I24" s="39">
        <f t="shared" si="5"/>
        <v>-70421816</v>
      </c>
      <c r="J24" s="61">
        <f t="shared" si="5"/>
        <v>0</v>
      </c>
      <c r="K24" s="39">
        <f t="shared" si="5"/>
        <v>0</v>
      </c>
      <c r="L24" s="61">
        <f t="shared" si="5"/>
        <v>-40496274</v>
      </c>
      <c r="M24" s="39">
        <f t="shared" si="5"/>
        <v>-70421816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f>'TX-EGM-FLSH'!D27+'TX-HPL-FLSH'!D27</f>
        <v>31921840</v>
      </c>
      <c r="E27" s="38">
        <f>'TX-EGM-FLSH'!E27+'TX-HPL-FLSH'!E27</f>
        <v>55893609</v>
      </c>
      <c r="F27" s="60">
        <f>H27-D27</f>
        <v>0</v>
      </c>
      <c r="G27" s="37">
        <f>I27-E27</f>
        <v>0</v>
      </c>
      <c r="H27" s="60">
        <f>'TX-EGM-FLSH'!H27+'TX-HPL-FLSH'!H27</f>
        <v>31921840</v>
      </c>
      <c r="I27" s="38">
        <f>'TX-EGM-FLSH'!I27+'TX-HPL-FLSH'!I27</f>
        <v>55893609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31921840</v>
      </c>
      <c r="M27" s="38">
        <f>I27+K27</f>
        <v>55893609</v>
      </c>
    </row>
    <row r="28" spans="1:13" x14ac:dyDescent="0.25">
      <c r="A28" s="9">
        <v>12</v>
      </c>
      <c r="B28" s="7"/>
      <c r="C28" s="18" t="s">
        <v>40</v>
      </c>
      <c r="D28" s="60">
        <f>'TX-EGM-FLSH'!D28+'TX-HPL-FLSH'!D28</f>
        <v>-31921840</v>
      </c>
      <c r="E28" s="38">
        <f>'TX-EGM-FLSH'!E28+'TX-HPL-FLSH'!E28</f>
        <v>-55893609</v>
      </c>
      <c r="F28" s="60">
        <f>H28-D28</f>
        <v>0</v>
      </c>
      <c r="G28" s="37">
        <f>I28-E28</f>
        <v>0</v>
      </c>
      <c r="H28" s="60">
        <f>'TX-EGM-FLSH'!H28+'TX-HPL-FLSH'!H28</f>
        <v>-31921840</v>
      </c>
      <c r="I28" s="38">
        <f>'TX-EGM-FLSH'!I28+'TX-HPL-FLSH'!I28</f>
        <v>-55893609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-31921840</v>
      </c>
      <c r="M28" s="38">
        <f>I28+K28</f>
        <v>-55893609</v>
      </c>
    </row>
    <row r="29" spans="1:13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0">
        <f>'TX-EGM-FLSH'!D33+'TX-HPL-FLSH'!D33</f>
        <v>12753</v>
      </c>
      <c r="E33" s="38">
        <f>'TX-EGM-FLSH'!E33+'TX-HPL-FLSH'!E33</f>
        <v>21877.708589989692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12753</v>
      </c>
      <c r="I33" s="38">
        <f>'TX-EGM-FLSH'!I33+'TX-HPL-FLSH'!I33</f>
        <v>21877.708589989692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12753</v>
      </c>
      <c r="M33" s="38">
        <f t="shared" si="7"/>
        <v>21877.708589989692</v>
      </c>
    </row>
    <row r="34" spans="1:13" x14ac:dyDescent="0.25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12753</v>
      </c>
      <c r="E36" s="39">
        <f t="shared" si="9"/>
        <v>21877.708589989692</v>
      </c>
      <c r="F36" s="61">
        <f t="shared" si="9"/>
        <v>0</v>
      </c>
      <c r="G36" s="39">
        <f t="shared" si="9"/>
        <v>0</v>
      </c>
      <c r="H36" s="61">
        <f t="shared" si="9"/>
        <v>12753</v>
      </c>
      <c r="I36" s="39">
        <f t="shared" si="9"/>
        <v>21877.708589989692</v>
      </c>
      <c r="J36" s="61">
        <f>SUM(J32:J34)</f>
        <v>0</v>
      </c>
      <c r="K36" s="39">
        <f>SUM(K32:K34)</f>
        <v>0</v>
      </c>
      <c r="L36" s="61">
        <f>SUM(L32:L35)</f>
        <v>12753</v>
      </c>
      <c r="M36" s="39">
        <f>SUM(M32:M35)</f>
        <v>21877.708589989692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f>'TX-EGM-FLSH'!D39+'TX-HPL-FLSH'!D39</f>
        <v>3267992</v>
      </c>
      <c r="E39" s="38">
        <f>'TX-EGM-FLSH'!E39+'TX-HPL-FLSH'!E39</f>
        <v>5909295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3267992</v>
      </c>
      <c r="I39" s="38">
        <f>'TX-EGM-FLSH'!I39+'TX-HPL-FLSH'!I39</f>
        <v>5909295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3267992</v>
      </c>
      <c r="M39" s="38">
        <f t="shared" si="11"/>
        <v>5909295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f>'TX-EGM-FLSH'!D40+'TX-HPL-FLSH'!D40</f>
        <v>-886587</v>
      </c>
      <c r="E40" s="38">
        <f>'TX-EGM-FLSH'!E40+'TX-HPL-FLSH'!E40</f>
        <v>-1545938</v>
      </c>
      <c r="F40" s="60">
        <f t="shared" si="10"/>
        <v>0</v>
      </c>
      <c r="G40" s="37">
        <f t="shared" si="10"/>
        <v>0</v>
      </c>
      <c r="H40" s="60">
        <f>'TX-EGM-FLSH'!H40+'TX-HPL-FLSH'!H40</f>
        <v>-886587</v>
      </c>
      <c r="I40" s="38">
        <f>'TX-EGM-FLSH'!I40+'TX-HPL-FLSH'!I40</f>
        <v>-1545938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-886587</v>
      </c>
      <c r="M40" s="38">
        <f t="shared" si="11"/>
        <v>-1545938</v>
      </c>
    </row>
    <row r="41" spans="1:13" x14ac:dyDescent="0.25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 t="shared" ref="D42:M42" si="12">SUM(D40:D41)</f>
        <v>-886587</v>
      </c>
      <c r="E42" s="39">
        <f t="shared" si="12"/>
        <v>-1545938</v>
      </c>
      <c r="F42" s="61">
        <f t="shared" si="12"/>
        <v>0</v>
      </c>
      <c r="G42" s="39">
        <f t="shared" si="12"/>
        <v>0</v>
      </c>
      <c r="H42" s="61">
        <f t="shared" si="12"/>
        <v>-886587</v>
      </c>
      <c r="I42" s="39">
        <f t="shared" si="12"/>
        <v>-1545938</v>
      </c>
      <c r="J42" s="61">
        <f t="shared" si="12"/>
        <v>0</v>
      </c>
      <c r="K42" s="39">
        <f t="shared" si="12"/>
        <v>0</v>
      </c>
      <c r="L42" s="61">
        <f t="shared" si="12"/>
        <v>-886587</v>
      </c>
      <c r="M42" s="39">
        <f t="shared" si="12"/>
        <v>-1545938</v>
      </c>
    </row>
    <row r="43" spans="1:13" ht="21" customHeight="1" x14ac:dyDescent="0.25">
      <c r="A43" s="9"/>
      <c r="B43" s="7" t="s">
        <v>53</v>
      </c>
      <c r="C43" s="6"/>
      <c r="D43" s="61">
        <f t="shared" ref="D43:M43" si="13">D42+D39</f>
        <v>2381405</v>
      </c>
      <c r="E43" s="39">
        <f t="shared" si="13"/>
        <v>4363357</v>
      </c>
      <c r="F43" s="61">
        <f t="shared" si="13"/>
        <v>0</v>
      </c>
      <c r="G43" s="39">
        <f t="shared" si="13"/>
        <v>0</v>
      </c>
      <c r="H43" s="61">
        <f t="shared" si="13"/>
        <v>2381405</v>
      </c>
      <c r="I43" s="39">
        <f t="shared" si="13"/>
        <v>4363357</v>
      </c>
      <c r="J43" s="61">
        <f t="shared" si="13"/>
        <v>0</v>
      </c>
      <c r="K43" s="39">
        <f t="shared" si="13"/>
        <v>0</v>
      </c>
      <c r="L43" s="61">
        <f t="shared" si="13"/>
        <v>2381405</v>
      </c>
      <c r="M43" s="39">
        <f t="shared" si="13"/>
        <v>4363357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-823333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-823333</v>
      </c>
      <c r="J54" s="60">
        <f>'TX-EGM-FLSH'!J54+'TX-HPL-FLSH'!J54</f>
        <v>0</v>
      </c>
      <c r="K54" s="38">
        <f>'TX-EGM-FLSH'!K54+'TX-HPL-FLSH'!K54</f>
        <v>-74674</v>
      </c>
      <c r="L54" s="60">
        <f>H54+J54</f>
        <v>0</v>
      </c>
      <c r="M54" s="38">
        <f>I54+K54</f>
        <v>-898007</v>
      </c>
    </row>
    <row r="55" spans="1:15" x14ac:dyDescent="0.25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-823333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-823333</v>
      </c>
      <c r="J56" s="61">
        <f t="shared" si="14"/>
        <v>0</v>
      </c>
      <c r="K56" s="39">
        <f t="shared" si="14"/>
        <v>-74674</v>
      </c>
      <c r="L56" s="61">
        <f t="shared" si="14"/>
        <v>0</v>
      </c>
      <c r="M56" s="39">
        <f t="shared" si="14"/>
        <v>-898007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138111.41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138111.41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138111.41</v>
      </c>
    </row>
    <row r="71" spans="1:13" x14ac:dyDescent="0.25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987605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987605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987605</v>
      </c>
    </row>
    <row r="72" spans="1:13" x14ac:dyDescent="0.25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1125716.4099999999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1125716.4099999999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1125716.4099999999</v>
      </c>
    </row>
    <row r="73" spans="1:13" x14ac:dyDescent="0.25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-395143.07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-395143.07</v>
      </c>
      <c r="J74" s="60">
        <f>'TX-EGM-FLSH'!J74+'TX-HPL-FLSH'!J74</f>
        <v>0</v>
      </c>
      <c r="K74" s="38">
        <f>'TX-EGM-FLSH'!K74+'TX-HPL-FLSH'!K74</f>
        <v>93300</v>
      </c>
      <c r="L74" s="60">
        <f t="shared" si="18"/>
        <v>0</v>
      </c>
      <c r="M74" s="38">
        <f t="shared" si="18"/>
        <v>-301843.07</v>
      </c>
    </row>
    <row r="75" spans="1:13" x14ac:dyDescent="0.25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52737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52737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52737</v>
      </c>
    </row>
    <row r="76" spans="1:13" x14ac:dyDescent="0.25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-2950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-2950</v>
      </c>
      <c r="J76" s="60">
        <f>'TX-EGM-FLSH'!J76+'TX-HPL-FLSH'!J76</f>
        <v>0</v>
      </c>
      <c r="K76" s="38">
        <f>'TX-EGM-FLSH'!K76+'TX-HPL-FLSH'!K76</f>
        <v>2890</v>
      </c>
      <c r="L76" s="60">
        <f t="shared" si="18"/>
        <v>0</v>
      </c>
      <c r="M76" s="38">
        <f t="shared" si="18"/>
        <v>-60</v>
      </c>
    </row>
    <row r="77" spans="1:13" x14ac:dyDescent="0.25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0</v>
      </c>
    </row>
    <row r="78" spans="1:13" x14ac:dyDescent="0.25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315590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315590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315590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414161.04858999327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414161.04858999327</v>
      </c>
      <c r="J82" s="73">
        <f>J16+J24+J29+J36+J43+J45+J47+J49</f>
        <v>0</v>
      </c>
      <c r="K82" s="74">
        <f>SUM(K72:K81)+K16+K24+K29+K36+K43+K45+K47+K49+K51+K56+K61+K66</f>
        <v>-186457</v>
      </c>
      <c r="L82" s="73">
        <f>L16+L24+L29+L36+L43+L45+L47+L49</f>
        <v>0</v>
      </c>
      <c r="M82" s="74">
        <f>SUM(M72:M81)+M16+M24+M29+M36+M43+M45+M47+M49+M51+M56+M61+M66</f>
        <v>227704.04858999327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196</v>
      </c>
      <c r="B85" s="3"/>
      <c r="M85" s="45">
        <f>M82+'[3]TX-HPL-FLSH'!M82</f>
        <v>281483.03870215814</v>
      </c>
    </row>
    <row r="86" spans="1:67" s="3" customFormat="1" x14ac:dyDescent="0.25">
      <c r="A86" s="183"/>
      <c r="C86" s="10" t="s">
        <v>189</v>
      </c>
      <c r="D86" s="168">
        <f>'TX-EGM-FLSH'!D86+'TX-HPL-FLSH'!D86</f>
        <v>0</v>
      </c>
      <c r="E86" s="168">
        <f>'TX-EGM-FLSH'!E86+'TX-HPL-FLSH'!E86</f>
        <v>67597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67597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67597</v>
      </c>
    </row>
    <row r="87" spans="1:67" s="3" customFormat="1" x14ac:dyDescent="0.25">
      <c r="A87" s="183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3"/>
      <c r="C88" s="10" t="s">
        <v>76</v>
      </c>
      <c r="D88" s="170">
        <f>'TX-EGM-FLSH'!D88+'TX-HPL-FLSH'!D88</f>
        <v>0</v>
      </c>
      <c r="E88" s="170">
        <f>'TX-EGM-FLSH'!E88+'TX-HPL-FLSH'!E88</f>
        <v>-48556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-48556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-48556</v>
      </c>
    </row>
    <row r="89" spans="1:67" s="44" customFormat="1" ht="20.25" customHeight="1" x14ac:dyDescent="0.25">
      <c r="A89" s="192"/>
      <c r="B89" s="193"/>
      <c r="C89" s="194" t="s">
        <v>190</v>
      </c>
      <c r="D89" s="196">
        <f>SUM(D86:D88)</f>
        <v>0</v>
      </c>
      <c r="E89" s="196">
        <f t="shared" ref="E89:M89" si="22">SUM(E86:E88)</f>
        <v>19041</v>
      </c>
      <c r="F89" s="196">
        <f t="shared" si="22"/>
        <v>0</v>
      </c>
      <c r="G89" s="196">
        <f t="shared" si="22"/>
        <v>0</v>
      </c>
      <c r="H89" s="196">
        <f t="shared" si="22"/>
        <v>0</v>
      </c>
      <c r="I89" s="196">
        <f t="shared" si="22"/>
        <v>19041</v>
      </c>
      <c r="J89" s="196">
        <f t="shared" si="22"/>
        <v>0</v>
      </c>
      <c r="K89" s="196">
        <f t="shared" si="22"/>
        <v>0</v>
      </c>
      <c r="L89" s="196">
        <f t="shared" si="22"/>
        <v>0</v>
      </c>
      <c r="M89" s="196">
        <f t="shared" si="22"/>
        <v>19041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2"/>
      <c r="B91" s="193"/>
      <c r="C91" s="194" t="s">
        <v>194</v>
      </c>
      <c r="D91" s="196">
        <f>+D82+D89</f>
        <v>0</v>
      </c>
      <c r="E91" s="196">
        <f t="shared" ref="E91:M91" si="23">+E82+E89</f>
        <v>433202.04858999327</v>
      </c>
      <c r="F91" s="196">
        <f t="shared" si="23"/>
        <v>0</v>
      </c>
      <c r="G91" s="196">
        <f t="shared" si="23"/>
        <v>0</v>
      </c>
      <c r="H91" s="196">
        <f t="shared" si="23"/>
        <v>0</v>
      </c>
      <c r="I91" s="196">
        <f t="shared" si="23"/>
        <v>433202.04858999327</v>
      </c>
      <c r="J91" s="196">
        <f t="shared" si="23"/>
        <v>0</v>
      </c>
      <c r="K91" s="196">
        <f t="shared" si="23"/>
        <v>-186457</v>
      </c>
      <c r="L91" s="196">
        <f t="shared" si="23"/>
        <v>0</v>
      </c>
      <c r="M91" s="196">
        <f t="shared" si="23"/>
        <v>246745.04858999327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H62" activePane="bottomRight" state="frozen"/>
      <selection activeCell="E14" sqref="E14"/>
      <selection pane="topRight" activeCell="E14" sqref="E14"/>
      <selection pane="bottomLeft" activeCell="E14" sqref="E14"/>
      <selection pane="bottomRight" activeCell="K71" sqref="K7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26542789</v>
      </c>
      <c r="E11" s="65">
        <v>45562503</v>
      </c>
      <c r="F11" s="60">
        <f>H11-D11</f>
        <v>0</v>
      </c>
      <c r="G11" s="37">
        <f>I11-E11</f>
        <v>0</v>
      </c>
      <c r="H11" s="65">
        <f>D11</f>
        <v>26542789</v>
      </c>
      <c r="I11" s="66">
        <f>E11</f>
        <v>45562503</v>
      </c>
      <c r="J11" s="60"/>
      <c r="K11" s="38"/>
      <c r="L11" s="60">
        <f t="shared" ref="L11:M15" si="0">H11+J11</f>
        <v>26542789</v>
      </c>
      <c r="M11" s="38">
        <f t="shared" si="0"/>
        <v>45562503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16228431</v>
      </c>
      <c r="E13" s="65">
        <v>27997200</v>
      </c>
      <c r="F13" s="60">
        <f t="shared" si="1"/>
        <v>0</v>
      </c>
      <c r="G13" s="37">
        <f t="shared" si="1"/>
        <v>0</v>
      </c>
      <c r="H13" s="65">
        <f t="shared" si="2"/>
        <v>16228431</v>
      </c>
      <c r="I13" s="66">
        <f t="shared" si="2"/>
        <v>27997200</v>
      </c>
      <c r="J13" s="60"/>
      <c r="K13" s="38"/>
      <c r="L13" s="60">
        <f t="shared" si="0"/>
        <v>16228431</v>
      </c>
      <c r="M13" s="38">
        <f t="shared" si="0"/>
        <v>27997200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42771220</v>
      </c>
      <c r="E16" s="39">
        <v>73559703</v>
      </c>
      <c r="F16" s="61">
        <f t="shared" ref="F16:M16" si="3">SUM(F11:F15)</f>
        <v>0</v>
      </c>
      <c r="G16" s="39">
        <f t="shared" si="3"/>
        <v>0</v>
      </c>
      <c r="H16" s="61">
        <f>SUM(H11:H15)</f>
        <v>42771220</v>
      </c>
      <c r="I16" s="39">
        <f>SUM(I11:I15)</f>
        <v>73559703</v>
      </c>
      <c r="J16" s="61">
        <f t="shared" si="3"/>
        <v>0</v>
      </c>
      <c r="K16" s="39">
        <f t="shared" si="3"/>
        <v>0</v>
      </c>
      <c r="L16" s="61">
        <f t="shared" si="3"/>
        <v>42771220</v>
      </c>
      <c r="M16" s="39">
        <f t="shared" si="3"/>
        <v>73559703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-25023554</v>
      </c>
      <c r="E19" s="65">
        <v>-41764271</v>
      </c>
      <c r="F19" s="60">
        <f>H19-D19</f>
        <v>0</v>
      </c>
      <c r="G19" s="37">
        <f>I19-E19</f>
        <v>0</v>
      </c>
      <c r="H19" s="65">
        <f t="shared" si="4"/>
        <v>-25023554</v>
      </c>
      <c r="I19" s="66">
        <f t="shared" si="4"/>
        <v>-41764271</v>
      </c>
      <c r="J19" s="60"/>
      <c r="K19" s="38"/>
      <c r="L19" s="60">
        <f t="shared" ref="L19:M23" si="5">H19+J19</f>
        <v>-25023554</v>
      </c>
      <c r="M19" s="38">
        <f t="shared" si="5"/>
        <v>-41764271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-17905102</v>
      </c>
      <c r="E21" s="65">
        <v>-30820464</v>
      </c>
      <c r="F21" s="60">
        <f t="shared" si="6"/>
        <v>0</v>
      </c>
      <c r="G21" s="37">
        <f t="shared" si="6"/>
        <v>0</v>
      </c>
      <c r="H21" s="65">
        <f t="shared" si="4"/>
        <v>-17905102</v>
      </c>
      <c r="I21" s="66">
        <f t="shared" si="4"/>
        <v>-30820464</v>
      </c>
      <c r="J21" s="60"/>
      <c r="K21" s="38"/>
      <c r="L21" s="60">
        <f t="shared" si="5"/>
        <v>-17905102</v>
      </c>
      <c r="M21" s="38">
        <f t="shared" si="5"/>
        <v>-30820464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278272</v>
      </c>
      <c r="E23" s="65">
        <v>449893</v>
      </c>
      <c r="F23" s="60">
        <f t="shared" si="6"/>
        <v>0</v>
      </c>
      <c r="G23" s="37">
        <f t="shared" si="6"/>
        <v>0</v>
      </c>
      <c r="H23" s="65">
        <f t="shared" si="4"/>
        <v>278272</v>
      </c>
      <c r="I23" s="66">
        <f t="shared" si="4"/>
        <v>449893</v>
      </c>
      <c r="J23" s="60"/>
      <c r="K23" s="38"/>
      <c r="L23" s="60">
        <f t="shared" si="5"/>
        <v>278272</v>
      </c>
      <c r="M23" s="38">
        <f t="shared" si="5"/>
        <v>449893</v>
      </c>
    </row>
    <row r="24" spans="1:13" x14ac:dyDescent="0.25">
      <c r="A24" s="9"/>
      <c r="B24" s="7" t="s">
        <v>37</v>
      </c>
      <c r="C24" s="6"/>
      <c r="D24" s="61">
        <v>-42650384</v>
      </c>
      <c r="E24" s="39">
        <v>-72134842</v>
      </c>
      <c r="F24" s="61">
        <f t="shared" ref="F24:M24" si="7">SUM(F19:F23)</f>
        <v>0</v>
      </c>
      <c r="G24" s="39">
        <f t="shared" si="7"/>
        <v>0</v>
      </c>
      <c r="H24" s="61">
        <f>SUM(H19:H23)</f>
        <v>-42650384</v>
      </c>
      <c r="I24" s="39">
        <f>SUM(I19:I23)</f>
        <v>-72134842</v>
      </c>
      <c r="J24" s="61">
        <f t="shared" si="7"/>
        <v>0</v>
      </c>
      <c r="K24" s="39">
        <f t="shared" si="7"/>
        <v>0</v>
      </c>
      <c r="L24" s="61">
        <f t="shared" si="7"/>
        <v>-42650384</v>
      </c>
      <c r="M24" s="39">
        <f t="shared" si="7"/>
        <v>-72134842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511</v>
      </c>
      <c r="E32" s="65">
        <v>853</v>
      </c>
      <c r="F32" s="60">
        <f>H32-D32</f>
        <v>0</v>
      </c>
      <c r="G32" s="37">
        <f>I32-E32</f>
        <v>0</v>
      </c>
      <c r="H32" s="65">
        <f t="shared" ref="H32:I35" si="9">D32</f>
        <v>511</v>
      </c>
      <c r="I32" s="66">
        <f t="shared" si="9"/>
        <v>853</v>
      </c>
      <c r="J32" s="60"/>
      <c r="K32" s="38"/>
      <c r="L32" s="60">
        <f t="shared" ref="L32:M35" si="10">H32+J32</f>
        <v>511</v>
      </c>
      <c r="M32" s="38">
        <f t="shared" si="10"/>
        <v>853</v>
      </c>
    </row>
    <row r="33" spans="1:13" x14ac:dyDescent="0.25">
      <c r="A33" s="9">
        <v>14</v>
      </c>
      <c r="B33" s="7"/>
      <c r="C33" s="18" t="s">
        <v>44</v>
      </c>
      <c r="D33" s="65">
        <v>-10912</v>
      </c>
      <c r="E33" s="65">
        <v>-17120.895636537112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-10912</v>
      </c>
      <c r="I33" s="66">
        <f t="shared" si="9"/>
        <v>-17120.895636537112</v>
      </c>
      <c r="J33" s="60"/>
      <c r="K33" s="38"/>
      <c r="L33" s="60">
        <f t="shared" si="10"/>
        <v>-10912</v>
      </c>
      <c r="M33" s="38">
        <f t="shared" si="10"/>
        <v>-17120.895636537112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-10401</v>
      </c>
      <c r="E36" s="39">
        <v>-16267.895636537112</v>
      </c>
      <c r="F36" s="61">
        <f>SUM(F32:F35)</f>
        <v>0</v>
      </c>
      <c r="G36" s="39">
        <f>SUM(G32:G35)</f>
        <v>0</v>
      </c>
      <c r="H36" s="61">
        <f>SUM(H32:H35)</f>
        <v>-10401</v>
      </c>
      <c r="I36" s="39">
        <f>SUM(I32:I35)</f>
        <v>-16267.895636537112</v>
      </c>
      <c r="J36" s="61">
        <f>SUM(J32:J34)</f>
        <v>0</v>
      </c>
      <c r="K36" s="39">
        <f>SUM(K32:K34)</f>
        <v>0</v>
      </c>
      <c r="L36" s="61">
        <f>SUM(L32:L35)</f>
        <v>-10401</v>
      </c>
      <c r="M36" s="39">
        <f>SUM(M32:M35)</f>
        <v>-16267.895636537112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-110435</v>
      </c>
      <c r="E40" s="65">
        <v>-175220</v>
      </c>
      <c r="F40" s="60">
        <f t="shared" si="13"/>
        <v>0</v>
      </c>
      <c r="G40" s="37">
        <f t="shared" si="13"/>
        <v>0</v>
      </c>
      <c r="H40" s="65">
        <f t="shared" si="12"/>
        <v>-110435</v>
      </c>
      <c r="I40" s="66">
        <f t="shared" si="12"/>
        <v>-175220</v>
      </c>
      <c r="J40" s="60"/>
      <c r="K40" s="38"/>
      <c r="L40" s="60">
        <f t="shared" si="14"/>
        <v>-110435</v>
      </c>
      <c r="M40" s="38">
        <f t="shared" si="14"/>
        <v>-175220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-110435</v>
      </c>
      <c r="E42" s="39">
        <v>-175220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-110435</v>
      </c>
      <c r="I42" s="39">
        <f>SUM(I40:I41)</f>
        <v>-175220</v>
      </c>
      <c r="J42" s="61">
        <f t="shared" si="15"/>
        <v>0</v>
      </c>
      <c r="K42" s="39">
        <f t="shared" si="15"/>
        <v>0</v>
      </c>
      <c r="L42" s="61">
        <f t="shared" si="15"/>
        <v>-110435</v>
      </c>
      <c r="M42" s="39">
        <f t="shared" si="15"/>
        <v>-175220</v>
      </c>
    </row>
    <row r="43" spans="1:13" ht="21" customHeight="1" x14ac:dyDescent="0.25">
      <c r="A43" s="9"/>
      <c r="B43" s="7" t="s">
        <v>53</v>
      </c>
      <c r="C43" s="6"/>
      <c r="D43" s="61">
        <v>-110435</v>
      </c>
      <c r="E43" s="39">
        <v>-175220</v>
      </c>
      <c r="F43" s="61">
        <f t="shared" ref="F43:M43" si="16">F42+F39</f>
        <v>0</v>
      </c>
      <c r="G43" s="39">
        <f t="shared" si="16"/>
        <v>0</v>
      </c>
      <c r="H43" s="61">
        <f>H42+H39</f>
        <v>-110435</v>
      </c>
      <c r="I43" s="39">
        <f>I42+I39</f>
        <v>-175220</v>
      </c>
      <c r="J43" s="61">
        <f t="shared" si="16"/>
        <v>0</v>
      </c>
      <c r="K43" s="39">
        <f t="shared" si="16"/>
        <v>0</v>
      </c>
      <c r="L43" s="61">
        <f t="shared" si="16"/>
        <v>-110435</v>
      </c>
      <c r="M43" s="39">
        <f t="shared" si="16"/>
        <v>-175220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-278272</v>
      </c>
      <c r="E51" s="65">
        <v>-449893</v>
      </c>
      <c r="F51" s="60">
        <f>H51-D51</f>
        <v>0</v>
      </c>
      <c r="G51" s="37">
        <f>I51-E51</f>
        <v>0</v>
      </c>
      <c r="H51" s="65">
        <f>D51</f>
        <v>-278272</v>
      </c>
      <c r="I51" s="66">
        <f>E51</f>
        <v>-449893</v>
      </c>
      <c r="J51" s="60"/>
      <c r="K51" s="38"/>
      <c r="L51" s="60">
        <f>H51+J51</f>
        <v>-278272</v>
      </c>
      <c r="M51" s="38">
        <f>I51+K51</f>
        <v>-449893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-208140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-208140</v>
      </c>
      <c r="J54" s="60"/>
      <c r="K54" s="38"/>
      <c r="L54" s="60">
        <f>H54+J54</f>
        <v>0</v>
      </c>
      <c r="M54" s="38">
        <f>I54+K54</f>
        <v>-208140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-2681292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-2681292</v>
      </c>
      <c r="J55" s="60"/>
      <c r="K55" s="38"/>
      <c r="L55" s="60">
        <f>H55+J55</f>
        <v>0</v>
      </c>
      <c r="M55" s="38">
        <f>I55+K55</f>
        <v>-2681292</v>
      </c>
    </row>
    <row r="56" spans="1:15" x14ac:dyDescent="0.25">
      <c r="A56" s="9"/>
      <c r="B56" s="7" t="s">
        <v>61</v>
      </c>
      <c r="C56" s="6"/>
      <c r="D56" s="61">
        <v>0</v>
      </c>
      <c r="E56" s="39">
        <v>-2889432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-2889432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-2889432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1352419.57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1352419.57</v>
      </c>
      <c r="J70" s="60"/>
      <c r="K70" s="38">
        <v>-1485484</v>
      </c>
      <c r="L70" s="60">
        <f>H70+J70</f>
        <v>0</v>
      </c>
      <c r="M70" s="38">
        <f>I70+K70</f>
        <v>-133064.42999999993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-757451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-757451</v>
      </c>
      <c r="J71" s="60"/>
      <c r="K71" s="38"/>
      <c r="L71" s="60">
        <f>H71+J71</f>
        <v>0</v>
      </c>
      <c r="M71" s="38">
        <f>I71+K71</f>
        <v>-757451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594968.56999999995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594968.57000000007</v>
      </c>
      <c r="J72" s="61">
        <f t="shared" si="20"/>
        <v>0</v>
      </c>
      <c r="K72" s="39">
        <f t="shared" si="20"/>
        <v>-1485484</v>
      </c>
      <c r="L72" s="61">
        <f t="shared" si="20"/>
        <v>0</v>
      </c>
      <c r="M72" s="39">
        <f t="shared" si="20"/>
        <v>-890515.42999999993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>
        <v>1485484</v>
      </c>
      <c r="L74" s="60">
        <f t="shared" si="22"/>
        <v>0</v>
      </c>
      <c r="M74" s="38">
        <f t="shared" si="22"/>
        <v>1485484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45406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45406</v>
      </c>
      <c r="J75" s="60"/>
      <c r="K75" s="38"/>
      <c r="L75" s="60">
        <f t="shared" si="22"/>
        <v>0</v>
      </c>
      <c r="M75" s="38">
        <f t="shared" si="22"/>
        <v>45406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-4570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-4570</v>
      </c>
      <c r="J76" s="60"/>
      <c r="K76" s="38"/>
      <c r="L76" s="60">
        <f t="shared" si="22"/>
        <v>0</v>
      </c>
      <c r="M76" s="38">
        <f t="shared" si="22"/>
        <v>-4570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1511956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1511956</v>
      </c>
      <c r="J79" s="60"/>
      <c r="K79" s="38"/>
      <c r="L79" s="60">
        <f t="shared" si="22"/>
        <v>0</v>
      </c>
      <c r="M79" s="38">
        <f t="shared" si="22"/>
        <v>1511956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2758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2758</v>
      </c>
      <c r="J81" s="60"/>
      <c r="K81" s="38"/>
      <c r="L81" s="60">
        <f t="shared" si="22"/>
        <v>0</v>
      </c>
      <c r="M81" s="38">
        <f t="shared" si="22"/>
        <v>2758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44566.674363455735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44566.674363455735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44566.674363455735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77" activePane="bottomRight" state="frozen"/>
      <selection activeCell="E14" sqref="E14"/>
      <selection pane="topRight" activeCell="E14" sqref="E14"/>
      <selection pane="bottomLeft" activeCell="E14" sqref="E14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38">
        <v>164000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164000</v>
      </c>
      <c r="J81" s="60"/>
      <c r="K81" s="38"/>
      <c r="L81" s="60">
        <f t="shared" si="24"/>
        <v>0</v>
      </c>
      <c r="M81" s="38">
        <f t="shared" si="24"/>
        <v>164000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164000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164000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164000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E64" zoomScale="75" workbookViewId="0">
      <selection activeCell="G74" sqref="G7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183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39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176228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176228</v>
      </c>
      <c r="J70" s="65"/>
      <c r="K70" s="38"/>
      <c r="L70" s="60">
        <f t="shared" si="20"/>
        <v>0</v>
      </c>
      <c r="M70" s="38">
        <f t="shared" si="20"/>
        <v>176228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176228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176228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176228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3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176228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176228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176228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188</v>
      </c>
      <c r="B85" s="3"/>
      <c r="L85" s="45"/>
    </row>
    <row r="86" spans="1:13" s="3" customFormat="1" x14ac:dyDescent="0.25">
      <c r="A86" s="183"/>
      <c r="C86" s="10" t="s">
        <v>189</v>
      </c>
      <c r="D86" s="168">
        <v>0</v>
      </c>
      <c r="E86" s="168">
        <v>129130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129130</v>
      </c>
      <c r="J86" s="168"/>
      <c r="K86" s="168"/>
      <c r="L86" s="168">
        <f t="shared" ref="L86:M88" si="27">H86+J86</f>
        <v>0</v>
      </c>
      <c r="M86" s="168">
        <f t="shared" si="27"/>
        <v>129130</v>
      </c>
    </row>
    <row r="87" spans="1:13" s="3" customFormat="1" x14ac:dyDescent="0.25">
      <c r="A87" s="183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5">
      <c r="A88" s="183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5">
      <c r="A89" s="183"/>
      <c r="B89" s="4"/>
      <c r="C89" s="197" t="s">
        <v>190</v>
      </c>
      <c r="D89" s="196">
        <f>SUM(D86:D88)</f>
        <v>0</v>
      </c>
      <c r="E89" s="196">
        <f t="shared" ref="E89:M89" si="28">SUM(E86:E88)</f>
        <v>129130</v>
      </c>
      <c r="F89" s="196">
        <f t="shared" si="28"/>
        <v>0</v>
      </c>
      <c r="G89" s="196">
        <f t="shared" si="28"/>
        <v>0</v>
      </c>
      <c r="H89" s="196">
        <f t="shared" si="28"/>
        <v>0</v>
      </c>
      <c r="I89" s="196">
        <f t="shared" si="28"/>
        <v>129130</v>
      </c>
      <c r="J89" s="196">
        <f t="shared" si="28"/>
        <v>0</v>
      </c>
      <c r="K89" s="196">
        <f t="shared" si="28"/>
        <v>0</v>
      </c>
      <c r="L89" s="196">
        <f t="shared" si="28"/>
        <v>0</v>
      </c>
      <c r="M89" s="196">
        <f t="shared" si="28"/>
        <v>129130</v>
      </c>
    </row>
    <row r="90" spans="1:13" x14ac:dyDescent="0.25">
      <c r="A90" s="4"/>
      <c r="B90" s="3"/>
    </row>
    <row r="91" spans="1:13" s="2" customFormat="1" ht="20.25" customHeight="1" x14ac:dyDescent="0.25">
      <c r="A91" s="183"/>
      <c r="B91" s="4"/>
      <c r="C91" s="197" t="s">
        <v>194</v>
      </c>
      <c r="D91" s="196">
        <f>+D82+D89</f>
        <v>0</v>
      </c>
      <c r="E91" s="196">
        <f t="shared" ref="E91:M91" si="29">+E82+E89</f>
        <v>305358</v>
      </c>
      <c r="F91" s="196">
        <f t="shared" si="29"/>
        <v>0</v>
      </c>
      <c r="G91" s="196">
        <f t="shared" si="29"/>
        <v>0</v>
      </c>
      <c r="H91" s="196">
        <f t="shared" si="29"/>
        <v>0</v>
      </c>
      <c r="I91" s="196">
        <f t="shared" si="29"/>
        <v>305358</v>
      </c>
      <c r="J91" s="196">
        <f t="shared" si="29"/>
        <v>0</v>
      </c>
      <c r="K91" s="196">
        <f t="shared" si="29"/>
        <v>0</v>
      </c>
      <c r="L91" s="196">
        <f t="shared" si="29"/>
        <v>0</v>
      </c>
      <c r="M91" s="196">
        <f t="shared" si="29"/>
        <v>305358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>
      <selection activeCell="D23" sqref="D2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9902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6035598</v>
      </c>
      <c r="E11" s="65">
        <v>7437659</v>
      </c>
      <c r="F11" s="60">
        <f>H11-D11</f>
        <v>0</v>
      </c>
      <c r="G11" s="37">
        <f>I11-E11</f>
        <v>0</v>
      </c>
      <c r="H11" s="65">
        <f>D11</f>
        <v>6035598</v>
      </c>
      <c r="I11" s="66">
        <f>E11</f>
        <v>7437659</v>
      </c>
      <c r="J11" s="60"/>
      <c r="K11" s="38"/>
      <c r="L11" s="60">
        <f t="shared" ref="L11:M15" si="0">H11+J11</f>
        <v>6035598</v>
      </c>
      <c r="M11" s="38">
        <f t="shared" si="0"/>
        <v>7437659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11094089</v>
      </c>
      <c r="E13" s="65">
        <v>22300989</v>
      </c>
      <c r="F13" s="60">
        <f t="shared" si="1"/>
        <v>0</v>
      </c>
      <c r="G13" s="37">
        <f t="shared" si="1"/>
        <v>0</v>
      </c>
      <c r="H13" s="65">
        <f t="shared" si="2"/>
        <v>11094089</v>
      </c>
      <c r="I13" s="66">
        <f t="shared" si="2"/>
        <v>22300989</v>
      </c>
      <c r="J13" s="60"/>
      <c r="K13" s="38"/>
      <c r="L13" s="60">
        <f t="shared" si="0"/>
        <v>11094089</v>
      </c>
      <c r="M13" s="38">
        <f t="shared" si="0"/>
        <v>22300989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17129687</v>
      </c>
      <c r="E16" s="39">
        <v>29738648</v>
      </c>
      <c r="F16" s="61">
        <f t="shared" ref="F16:M16" si="3">SUM(F11:F15)</f>
        <v>0</v>
      </c>
      <c r="G16" s="39">
        <f t="shared" si="3"/>
        <v>0</v>
      </c>
      <c r="H16" s="61">
        <f>SUM(H11:H15)</f>
        <v>17129687</v>
      </c>
      <c r="I16" s="39">
        <f>SUM(I11:I15)</f>
        <v>29738648</v>
      </c>
      <c r="J16" s="61">
        <f t="shared" si="3"/>
        <v>0</v>
      </c>
      <c r="K16" s="39">
        <f t="shared" si="3"/>
        <v>0</v>
      </c>
      <c r="L16" s="61">
        <f t="shared" si="3"/>
        <v>17129687</v>
      </c>
      <c r="M16" s="39">
        <f t="shared" si="3"/>
        <v>29738648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-3229965</v>
      </c>
      <c r="E19" s="65">
        <v>-3105015</v>
      </c>
      <c r="F19" s="60">
        <f>H19-D19</f>
        <v>0</v>
      </c>
      <c r="G19" s="37">
        <f>I19-E19</f>
        <v>0</v>
      </c>
      <c r="H19" s="65">
        <f t="shared" si="4"/>
        <v>-3229965</v>
      </c>
      <c r="I19" s="66">
        <f t="shared" si="4"/>
        <v>-3105015</v>
      </c>
      <c r="J19" s="60"/>
      <c r="K19" s="38"/>
      <c r="L19" s="60">
        <f t="shared" ref="L19:M23" si="5">H19+J19</f>
        <v>-3229965</v>
      </c>
      <c r="M19" s="38">
        <f t="shared" si="5"/>
        <v>-3105015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-13131332</v>
      </c>
      <c r="E21" s="65">
        <v>-25962903</v>
      </c>
      <c r="F21" s="60">
        <f t="shared" si="6"/>
        <v>0</v>
      </c>
      <c r="G21" s="37">
        <f t="shared" si="6"/>
        <v>0</v>
      </c>
      <c r="H21" s="65">
        <f t="shared" si="4"/>
        <v>-13131332</v>
      </c>
      <c r="I21" s="66">
        <f t="shared" si="4"/>
        <v>-25962903</v>
      </c>
      <c r="J21" s="60"/>
      <c r="K21" s="38"/>
      <c r="L21" s="60">
        <f t="shared" si="5"/>
        <v>-13131332</v>
      </c>
      <c r="M21" s="38">
        <f t="shared" si="5"/>
        <v>-25962903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303879</v>
      </c>
      <c r="E23" s="65">
        <v>552784</v>
      </c>
      <c r="F23" s="60">
        <f t="shared" si="6"/>
        <v>0</v>
      </c>
      <c r="G23" s="37">
        <f t="shared" si="6"/>
        <v>0</v>
      </c>
      <c r="H23" s="65">
        <f t="shared" si="4"/>
        <v>303879</v>
      </c>
      <c r="I23" s="66">
        <f t="shared" si="4"/>
        <v>552784</v>
      </c>
      <c r="J23" s="60"/>
      <c r="K23" s="38"/>
      <c r="L23" s="60">
        <f t="shared" si="5"/>
        <v>303879</v>
      </c>
      <c r="M23" s="38">
        <f t="shared" si="5"/>
        <v>552784</v>
      </c>
    </row>
    <row r="24" spans="1:13" x14ac:dyDescent="0.25">
      <c r="A24" s="9"/>
      <c r="B24" s="7" t="s">
        <v>37</v>
      </c>
      <c r="C24" s="6"/>
      <c r="D24" s="61">
        <v>-16057418</v>
      </c>
      <c r="E24" s="39">
        <v>-28515134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-16057418</v>
      </c>
      <c r="I24" s="39">
        <f>SUM(I19:I23)</f>
        <v>-28515134</v>
      </c>
      <c r="J24" s="61">
        <f t="shared" si="7"/>
        <v>0</v>
      </c>
      <c r="K24" s="39">
        <f t="shared" si="7"/>
        <v>0</v>
      </c>
      <c r="L24" s="61">
        <f t="shared" si="7"/>
        <v>-16057418</v>
      </c>
      <c r="M24" s="39">
        <f t="shared" si="7"/>
        <v>-28515134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1996</v>
      </c>
      <c r="E32" s="65">
        <v>3932</v>
      </c>
      <c r="F32" s="60">
        <f>H32-D32</f>
        <v>0</v>
      </c>
      <c r="G32" s="37">
        <f>I32-E32</f>
        <v>0</v>
      </c>
      <c r="H32" s="65">
        <f t="shared" ref="H32:I35" si="9">D32</f>
        <v>1996</v>
      </c>
      <c r="I32" s="66">
        <f t="shared" si="9"/>
        <v>3932</v>
      </c>
      <c r="J32" s="60"/>
      <c r="K32" s="38"/>
      <c r="L32" s="60">
        <f t="shared" ref="L32:M35" si="10">H32+J32</f>
        <v>1996</v>
      </c>
      <c r="M32" s="38">
        <f t="shared" si="10"/>
        <v>3932</v>
      </c>
    </row>
    <row r="33" spans="1:13" x14ac:dyDescent="0.25">
      <c r="A33" s="9">
        <v>14</v>
      </c>
      <c r="B33" s="7"/>
      <c r="C33" s="18" t="s">
        <v>44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9328</v>
      </c>
      <c r="E34" s="65">
        <v>18376</v>
      </c>
      <c r="F34" s="60">
        <f t="shared" si="11"/>
        <v>0</v>
      </c>
      <c r="G34" s="37">
        <f t="shared" si="11"/>
        <v>0</v>
      </c>
      <c r="H34" s="65">
        <f t="shared" si="9"/>
        <v>9328</v>
      </c>
      <c r="I34" s="66">
        <f t="shared" si="9"/>
        <v>18376</v>
      </c>
      <c r="J34" s="60"/>
      <c r="K34" s="38"/>
      <c r="L34" s="60">
        <f t="shared" si="10"/>
        <v>9328</v>
      </c>
      <c r="M34" s="38">
        <f t="shared" si="10"/>
        <v>18376</v>
      </c>
    </row>
    <row r="35" spans="1:13" x14ac:dyDescent="0.25">
      <c r="A35" s="9">
        <v>16</v>
      </c>
      <c r="B35" s="7"/>
      <c r="C35" s="18" t="s">
        <v>46</v>
      </c>
      <c r="D35" s="65">
        <v>-9328</v>
      </c>
      <c r="E35" s="65">
        <v>-18563</v>
      </c>
      <c r="F35" s="60">
        <f t="shared" si="11"/>
        <v>0</v>
      </c>
      <c r="G35" s="37">
        <f t="shared" si="11"/>
        <v>0</v>
      </c>
      <c r="H35" s="65">
        <f t="shared" si="9"/>
        <v>-9328</v>
      </c>
      <c r="I35" s="66">
        <f t="shared" si="9"/>
        <v>-18563</v>
      </c>
      <c r="J35" s="60"/>
      <c r="K35" s="38"/>
      <c r="L35" s="60">
        <f t="shared" si="10"/>
        <v>-9328</v>
      </c>
      <c r="M35" s="38">
        <f t="shared" si="10"/>
        <v>-18563</v>
      </c>
    </row>
    <row r="36" spans="1:13" x14ac:dyDescent="0.25">
      <c r="A36" s="9"/>
      <c r="B36" s="7" t="s">
        <v>47</v>
      </c>
      <c r="C36" s="6"/>
      <c r="D36" s="61">
        <v>1996</v>
      </c>
      <c r="E36" s="39">
        <v>3745</v>
      </c>
      <c r="F36" s="61">
        <f>SUM(F32:F35)</f>
        <v>0</v>
      </c>
      <c r="G36" s="39">
        <f>SUM(G32:G35)</f>
        <v>0</v>
      </c>
      <c r="H36" s="61">
        <f>SUM(H32:H35)</f>
        <v>1996</v>
      </c>
      <c r="I36" s="39">
        <f>SUM(I32:I35)</f>
        <v>3745</v>
      </c>
      <c r="J36" s="61">
        <f>SUM(J32:J34)</f>
        <v>0</v>
      </c>
      <c r="K36" s="39">
        <f>SUM(K32:K34)</f>
        <v>0</v>
      </c>
      <c r="L36" s="61">
        <f>SUM(L32:L35)</f>
        <v>1996</v>
      </c>
      <c r="M36" s="39">
        <f>SUM(M32:M35)</f>
        <v>3745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0</v>
      </c>
      <c r="E39" s="65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-1074265</v>
      </c>
      <c r="E40" s="65">
        <v>-103</v>
      </c>
      <c r="F40" s="60">
        <f t="shared" si="13"/>
        <v>0</v>
      </c>
      <c r="G40" s="37">
        <f t="shared" si="13"/>
        <v>0</v>
      </c>
      <c r="H40" s="65">
        <f t="shared" si="12"/>
        <v>-1074265</v>
      </c>
      <c r="I40" s="66">
        <f t="shared" si="12"/>
        <v>-103</v>
      </c>
      <c r="J40" s="65"/>
      <c r="K40" s="38"/>
      <c r="L40" s="60">
        <f t="shared" si="14"/>
        <v>-1074265</v>
      </c>
      <c r="M40" s="38">
        <f t="shared" si="14"/>
        <v>-103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-1074265</v>
      </c>
      <c r="E42" s="39">
        <v>-103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-1074265</v>
      </c>
      <c r="I42" s="39">
        <f>SUM(I40:I41)</f>
        <v>-103</v>
      </c>
      <c r="J42" s="69">
        <f t="shared" si="15"/>
        <v>0</v>
      </c>
      <c r="K42" s="39">
        <f t="shared" si="15"/>
        <v>0</v>
      </c>
      <c r="L42" s="69">
        <f t="shared" si="15"/>
        <v>-1074265</v>
      </c>
      <c r="M42" s="39">
        <f t="shared" si="15"/>
        <v>-103</v>
      </c>
    </row>
    <row r="43" spans="1:13" ht="21" customHeight="1" x14ac:dyDescent="0.25">
      <c r="A43" s="9"/>
      <c r="B43" s="7" t="s">
        <v>53</v>
      </c>
      <c r="C43" s="6"/>
      <c r="D43" s="61">
        <v>-1074265</v>
      </c>
      <c r="E43" s="39">
        <v>-103</v>
      </c>
      <c r="F43" s="61">
        <f t="shared" ref="F43:M43" si="16">F42+F39</f>
        <v>0</v>
      </c>
      <c r="G43" s="39">
        <f t="shared" si="16"/>
        <v>0</v>
      </c>
      <c r="H43" s="61">
        <f>H42+H39</f>
        <v>-1074265</v>
      </c>
      <c r="I43" s="39">
        <f>I42+I39</f>
        <v>-103</v>
      </c>
      <c r="J43" s="61">
        <f t="shared" si="16"/>
        <v>0</v>
      </c>
      <c r="K43" s="39">
        <f t="shared" si="16"/>
        <v>0</v>
      </c>
      <c r="L43" s="61">
        <f t="shared" si="16"/>
        <v>-1074265</v>
      </c>
      <c r="M43" s="39">
        <f t="shared" si="16"/>
        <v>-103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-303879</v>
      </c>
      <c r="E51" s="65">
        <v>-552784</v>
      </c>
      <c r="F51" s="60">
        <f>H51-D51</f>
        <v>0</v>
      </c>
      <c r="G51" s="37">
        <f>I51-E51</f>
        <v>0</v>
      </c>
      <c r="H51" s="65">
        <f>D51</f>
        <v>-303879</v>
      </c>
      <c r="I51" s="66">
        <f>E51</f>
        <v>-552784</v>
      </c>
      <c r="J51" s="60"/>
      <c r="K51" s="38"/>
      <c r="L51" s="60">
        <f>H51+J51</f>
        <v>-303879</v>
      </c>
      <c r="M51" s="38">
        <f>I51+K51</f>
        <v>-552784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-480682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-480682</v>
      </c>
      <c r="J54" s="60"/>
      <c r="K54" s="38"/>
      <c r="L54" s="60">
        <f>H54+J54</f>
        <v>0</v>
      </c>
      <c r="M54" s="38">
        <f>I54+K54</f>
        <v>-480682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-3743124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-3743124</v>
      </c>
      <c r="J55" s="60"/>
      <c r="K55" s="38"/>
      <c r="L55" s="60">
        <f>H55+J55</f>
        <v>0</v>
      </c>
      <c r="M55" s="38">
        <f>I55+K55</f>
        <v>-3743124</v>
      </c>
    </row>
    <row r="56" spans="1:15" x14ac:dyDescent="0.25">
      <c r="A56" s="9"/>
      <c r="B56" s="7" t="s">
        <v>61</v>
      </c>
      <c r="C56" s="6"/>
      <c r="D56" s="61">
        <v>0</v>
      </c>
      <c r="E56" s="39">
        <v>-4223806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-4223806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-4223806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-113999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-113999</v>
      </c>
      <c r="J70" s="65"/>
      <c r="K70" s="38"/>
      <c r="L70" s="60">
        <f t="shared" si="20"/>
        <v>0</v>
      </c>
      <c r="M70" s="38">
        <f t="shared" si="20"/>
        <v>-113999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-113999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-113999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-113999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3743124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3743124</v>
      </c>
      <c r="J79" s="60"/>
      <c r="K79" s="38"/>
      <c r="L79" s="60">
        <f t="shared" si="23"/>
        <v>0</v>
      </c>
      <c r="M79" s="38">
        <f t="shared" si="23"/>
        <v>3743124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79691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79691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79691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U187"/>
  <sheetViews>
    <sheetView zoomScale="75" workbookViewId="0">
      <pane xSplit="3" ySplit="9" topLeftCell="D56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179</v>
      </c>
      <c r="I8" s="27"/>
      <c r="J8" s="26" t="s">
        <v>184</v>
      </c>
      <c r="K8" s="27"/>
      <c r="L8" s="26" t="s">
        <v>186</v>
      </c>
      <c r="M8" s="27"/>
      <c r="N8" s="26" t="s">
        <v>187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44681847</v>
      </c>
      <c r="E11" s="38">
        <f t="shared" si="0"/>
        <v>94208631.010000005</v>
      </c>
      <c r="F11" s="60">
        <f>'TIE-OUT'!F11+RECLASS!F11</f>
        <v>0</v>
      </c>
      <c r="G11" s="38">
        <f>'TIE-OUT'!G11+RECLASS!G11</f>
        <v>0</v>
      </c>
      <c r="H11" s="133">
        <f>+Actuals!E124</f>
        <v>45157332</v>
      </c>
      <c r="I11" s="134">
        <f>+Actuals!F124</f>
        <v>97335211.689999998</v>
      </c>
      <c r="J11" s="133">
        <f>+Actuals!G124</f>
        <v>-432877</v>
      </c>
      <c r="K11" s="134">
        <f>+Actuals!H124</f>
        <v>-3800107.47</v>
      </c>
      <c r="L11" s="133">
        <f>+Actuals!I124</f>
        <v>-50161</v>
      </c>
      <c r="M11" s="134">
        <f>+Actuals!J124</f>
        <v>377218.18</v>
      </c>
      <c r="N11" s="133">
        <f>+Actuals!K124</f>
        <v>0</v>
      </c>
      <c r="O11" s="134">
        <f>+Actuals!L124</f>
        <v>160829.51</v>
      </c>
      <c r="P11" s="133">
        <f>+Actuals!M124</f>
        <v>3556</v>
      </c>
      <c r="Q11" s="134">
        <f>+Actuals!N124</f>
        <v>6079.34</v>
      </c>
      <c r="R11" s="133">
        <f>+Actuals!O124</f>
        <v>6566</v>
      </c>
      <c r="S11" s="134">
        <f>+Actuals!P124</f>
        <v>5210.7</v>
      </c>
      <c r="T11" s="133">
        <f>+Actuals!Q124</f>
        <v>0</v>
      </c>
      <c r="U11" s="134">
        <f>+Actuals!R124</f>
        <v>-19014.04</v>
      </c>
      <c r="V11" s="133">
        <f>+Actuals!S124</f>
        <v>0</v>
      </c>
      <c r="W11" s="134">
        <f>+Actuals!T124</f>
        <v>0</v>
      </c>
      <c r="X11" s="133">
        <f>+Actuals!U124</f>
        <v>-2569</v>
      </c>
      <c r="Y11" s="134">
        <f>+Actuals!V124</f>
        <v>-24475.3</v>
      </c>
      <c r="Z11" s="133">
        <f>+Actuals!W124</f>
        <v>0</v>
      </c>
      <c r="AA11" s="134">
        <f>+Actuals!X124</f>
        <v>0</v>
      </c>
      <c r="AB11" s="133">
        <f>+Actuals!Y124</f>
        <v>0</v>
      </c>
      <c r="AC11" s="134">
        <f>+Actuals!Z124</f>
        <v>0</v>
      </c>
      <c r="AD11" s="133">
        <f>+Actuals!AA164</f>
        <v>0</v>
      </c>
      <c r="AE11" s="134">
        <f>+Actuals!AB164</f>
        <v>11500.1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34">
        <f>+Actuals!AH164</f>
        <v>0</v>
      </c>
      <c r="AL11" s="133">
        <f>+Actuals!AI164</f>
        <v>0</v>
      </c>
      <c r="AM11" s="165">
        <f>+Actuals!AJ164+145662</f>
        <v>156178.29999999999</v>
      </c>
      <c r="AN11" s="133">
        <f>+Actuals!AK164</f>
        <v>0</v>
      </c>
      <c r="AO11" s="165">
        <f>+Actuals!AL164</f>
        <v>0</v>
      </c>
      <c r="AP11" s="133">
        <f>+Actuals!AM164</f>
        <v>0</v>
      </c>
      <c r="AQ11" s="165">
        <f>+Actuals!AN164</f>
        <v>0</v>
      </c>
      <c r="AR11" s="133">
        <f>+Actuals!AO164</f>
        <v>0</v>
      </c>
      <c r="AS11" s="165">
        <f>+Actuals!AP164</f>
        <v>0</v>
      </c>
      <c r="AT11" s="133">
        <f>+Actuals!AQ164</f>
        <v>0</v>
      </c>
      <c r="AU11" s="165">
        <f>+Actuals!AR164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-9962194.8699999992</v>
      </c>
      <c r="F12" s="60">
        <f>'TIE-OUT'!F12+RECLASS!F12</f>
        <v>0</v>
      </c>
      <c r="G12" s="38">
        <f>'TIE-OUT'!G12+RECLASS!G12</f>
        <v>-9962194.8699999992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34">
        <f>+Actuals!J125</f>
        <v>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+Actuals!Y125</f>
        <v>0</v>
      </c>
      <c r="AC12" s="134">
        <f>+Actuals!Z125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  <c r="AL12" s="133">
        <f>+Actuals!AI165</f>
        <v>0</v>
      </c>
      <c r="AM12" s="134">
        <f>+Actuals!AJ165</f>
        <v>0</v>
      </c>
      <c r="AN12" s="133">
        <f>+Actuals!AK165</f>
        <v>0</v>
      </c>
      <c r="AO12" s="134">
        <f>+Actuals!AL165</f>
        <v>0</v>
      </c>
      <c r="AP12" s="133">
        <f>+Actuals!AM165</f>
        <v>0</v>
      </c>
      <c r="AQ12" s="134">
        <f>+Actuals!AN165</f>
        <v>0</v>
      </c>
      <c r="AR12" s="133">
        <f>+Actuals!AO165</f>
        <v>0</v>
      </c>
      <c r="AS12" s="134">
        <f>+Actuals!AP165</f>
        <v>0</v>
      </c>
      <c r="AT12" s="133">
        <f>+Actuals!AQ165</f>
        <v>0</v>
      </c>
      <c r="AU12" s="134">
        <f>+Actuals!AR165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14314155</v>
      </c>
      <c r="E13" s="38">
        <f t="shared" si="0"/>
        <v>25175609</v>
      </c>
      <c r="F13" s="60">
        <f>'TIE-OUT'!F13+RECLASS!F13</f>
        <v>0</v>
      </c>
      <c r="G13" s="38">
        <f>'TIE-OUT'!G13+RECLASS!G13</f>
        <v>0</v>
      </c>
      <c r="H13" s="133">
        <f>+Actuals!E126</f>
        <v>14314155</v>
      </c>
      <c r="I13" s="134">
        <f>+Actuals!F126</f>
        <v>25175609</v>
      </c>
      <c r="J13" s="133">
        <f>+Actuals!G126</f>
        <v>0</v>
      </c>
      <c r="K13" s="134">
        <f>+Actuals!H126</f>
        <v>0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-691</v>
      </c>
      <c r="P13" s="133">
        <f>+Actuals!M126</f>
        <v>0</v>
      </c>
      <c r="Q13" s="134">
        <f>+Actuals!N126</f>
        <v>0</v>
      </c>
      <c r="R13" s="133">
        <f>+Actuals!O126</f>
        <v>0</v>
      </c>
      <c r="S13" s="134">
        <f>+Actuals!P126</f>
        <v>0</v>
      </c>
      <c r="T13" s="133">
        <f>+Actuals!Q126</f>
        <v>0</v>
      </c>
      <c r="U13" s="134">
        <f>+Actuals!R126</f>
        <v>0</v>
      </c>
      <c r="V13" s="133">
        <f>+Actuals!S126</f>
        <v>0</v>
      </c>
      <c r="W13" s="134">
        <f>+Actuals!T126</f>
        <v>0</v>
      </c>
      <c r="X13" s="133">
        <f>+Actuals!U126</f>
        <v>29317</v>
      </c>
      <c r="Y13" s="134">
        <f>+Actuals!V126</f>
        <v>46020</v>
      </c>
      <c r="Z13" s="133">
        <f>+Actuals!W126</f>
        <v>29317</v>
      </c>
      <c r="AA13" s="134">
        <f>+Actuals!X126</f>
        <v>46020</v>
      </c>
      <c r="AB13" s="133">
        <f>+Actuals!Y126</f>
        <v>-58634</v>
      </c>
      <c r="AC13" s="134">
        <f>+Actuals!Z126</f>
        <v>-91349</v>
      </c>
      <c r="AD13" s="133">
        <f>+Actuals!AA166</f>
        <v>58634</v>
      </c>
      <c r="AE13" s="134">
        <f>+Actuals!AB166</f>
        <v>91349</v>
      </c>
      <c r="AF13" s="133">
        <f>+Actuals!AC166</f>
        <v>0</v>
      </c>
      <c r="AG13" s="134">
        <f>+Actuals!AD166</f>
        <v>0</v>
      </c>
      <c r="AH13" s="133">
        <f>+Actuals!AE166</f>
        <v>-58634</v>
      </c>
      <c r="AI13" s="134">
        <f>+Actuals!AF166</f>
        <v>-91349</v>
      </c>
      <c r="AJ13" s="133">
        <f>+Actuals!AG166</f>
        <v>0</v>
      </c>
      <c r="AK13" s="134">
        <f>+Actuals!AH166</f>
        <v>0</v>
      </c>
      <c r="AL13" s="133">
        <f>+Actuals!AI166</f>
        <v>0</v>
      </c>
      <c r="AM13" s="134">
        <f>+Actuals!AJ166</f>
        <v>0</v>
      </c>
      <c r="AN13" s="133">
        <f>+Actuals!AK166</f>
        <v>0</v>
      </c>
      <c r="AO13" s="134">
        <f>+Actuals!AL166</f>
        <v>0</v>
      </c>
      <c r="AP13" s="133">
        <f>+Actuals!AM166</f>
        <v>0</v>
      </c>
      <c r="AQ13" s="134">
        <f>+Actuals!AN166</f>
        <v>0</v>
      </c>
      <c r="AR13" s="133">
        <f>+Actuals!AO166</f>
        <v>0</v>
      </c>
      <c r="AS13" s="134">
        <f>+Actuals!AP166</f>
        <v>0</v>
      </c>
      <c r="AT13" s="133">
        <f>+Actuals!AQ166</f>
        <v>0</v>
      </c>
      <c r="AU13" s="134">
        <f>+Actuals!AR166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+Actuals!Y127</f>
        <v>0</v>
      </c>
      <c r="AC14" s="134">
        <f>+Actuals!Z127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  <c r="AL14" s="133">
        <f>+Actuals!AI167</f>
        <v>0</v>
      </c>
      <c r="AM14" s="134">
        <f>+Actuals!AJ167</f>
        <v>0</v>
      </c>
      <c r="AN14" s="133">
        <f>+Actuals!AK167</f>
        <v>0</v>
      </c>
      <c r="AO14" s="134">
        <f>+Actuals!AL167</f>
        <v>0</v>
      </c>
      <c r="AP14" s="133">
        <f>+Actuals!AM167</f>
        <v>0</v>
      </c>
      <c r="AQ14" s="134">
        <f>+Actuals!AN167</f>
        <v>0</v>
      </c>
      <c r="AR14" s="133">
        <f>+Actuals!AO167</f>
        <v>0</v>
      </c>
      <c r="AS14" s="134">
        <f>+Actuals!AP167</f>
        <v>0</v>
      </c>
      <c r="AT14" s="133">
        <f>+Actuals!AQ167</f>
        <v>0</v>
      </c>
      <c r="AU14" s="134">
        <f>+Actuals!AR167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-3043675.7</v>
      </c>
      <c r="F15" s="81">
        <f>'TIE-OUT'!F15+RECLASS!F15</f>
        <v>0</v>
      </c>
      <c r="G15" s="82">
        <f>'TIE-OUT'!G15+RECLASS!G15</f>
        <v>-3043675.7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+Actuals!Y128</f>
        <v>0</v>
      </c>
      <c r="AC15" s="135">
        <f>+Actuals!Z128</f>
        <v>0</v>
      </c>
      <c r="AD15" s="133">
        <f>+Actuals!AA168</f>
        <v>0</v>
      </c>
      <c r="AE15" s="134">
        <f>+Actuals!AB168</f>
        <v>0</v>
      </c>
      <c r="AF15" s="133">
        <f>+Actuals!AC168</f>
        <v>0</v>
      </c>
      <c r="AG15" s="134">
        <f>+Actuals!AD168</f>
        <v>0</v>
      </c>
      <c r="AH15" s="133">
        <f>+Actuals!AE168</f>
        <v>0</v>
      </c>
      <c r="AI15" s="134">
        <f>+Actuals!AF168</f>
        <v>0</v>
      </c>
      <c r="AJ15" s="133">
        <f>+Actuals!AG168</f>
        <v>0</v>
      </c>
      <c r="AK15" s="134">
        <f>+Actuals!AH168</f>
        <v>0</v>
      </c>
      <c r="AL15" s="133">
        <f>+Actuals!AI168</f>
        <v>0</v>
      </c>
      <c r="AM15" s="134">
        <f>+Actuals!AJ168</f>
        <v>0</v>
      </c>
      <c r="AN15" s="133">
        <f>+Actuals!AK168</f>
        <v>0</v>
      </c>
      <c r="AO15" s="134">
        <f>+Actuals!AL168</f>
        <v>0</v>
      </c>
      <c r="AP15" s="133">
        <f>+Actuals!AM168</f>
        <v>0</v>
      </c>
      <c r="AQ15" s="134">
        <f>+Actuals!AN168</f>
        <v>0</v>
      </c>
      <c r="AR15" s="133">
        <f>+Actuals!AO168</f>
        <v>0</v>
      </c>
      <c r="AS15" s="134">
        <f>+Actuals!AP168</f>
        <v>0</v>
      </c>
      <c r="AT15" s="133">
        <f>+Actuals!AQ168</f>
        <v>0</v>
      </c>
      <c r="AU15" s="134">
        <f>+Actuals!AR168</f>
        <v>0</v>
      </c>
    </row>
    <row r="16" spans="1:47" x14ac:dyDescent="0.25">
      <c r="A16" s="9"/>
      <c r="B16" s="7" t="s">
        <v>34</v>
      </c>
      <c r="C16" s="6"/>
      <c r="D16" s="61">
        <f t="shared" ref="D16:I16" si="1">SUM(D11:D15)</f>
        <v>58996002</v>
      </c>
      <c r="E16" s="39">
        <f t="shared" si="1"/>
        <v>106378369.44</v>
      </c>
      <c r="F16" s="61">
        <f t="shared" si="1"/>
        <v>0</v>
      </c>
      <c r="G16" s="39">
        <f t="shared" si="1"/>
        <v>-13005870.57</v>
      </c>
      <c r="H16" s="61">
        <f t="shared" si="1"/>
        <v>59471487</v>
      </c>
      <c r="I16" s="82">
        <f t="shared" si="1"/>
        <v>122510820.69</v>
      </c>
      <c r="J16" s="61">
        <f t="shared" ref="J16:AE16" si="2">SUM(J11:J15)</f>
        <v>-432877</v>
      </c>
      <c r="K16" s="82">
        <f t="shared" si="2"/>
        <v>-3800107.47</v>
      </c>
      <c r="L16" s="61">
        <f t="shared" si="2"/>
        <v>-50161</v>
      </c>
      <c r="M16" s="82">
        <f t="shared" si="2"/>
        <v>377218.18</v>
      </c>
      <c r="N16" s="61">
        <f t="shared" si="2"/>
        <v>0</v>
      </c>
      <c r="O16" s="82">
        <f t="shared" si="2"/>
        <v>160138.51</v>
      </c>
      <c r="P16" s="61">
        <f t="shared" si="2"/>
        <v>3556</v>
      </c>
      <c r="Q16" s="82">
        <f t="shared" si="2"/>
        <v>6079.34</v>
      </c>
      <c r="R16" s="61">
        <f t="shared" si="2"/>
        <v>6566</v>
      </c>
      <c r="S16" s="82">
        <f t="shared" si="2"/>
        <v>5210.7</v>
      </c>
      <c r="T16" s="61">
        <f t="shared" si="2"/>
        <v>0</v>
      </c>
      <c r="U16" s="82">
        <f t="shared" si="2"/>
        <v>-19014.04</v>
      </c>
      <c r="V16" s="61">
        <f t="shared" si="2"/>
        <v>0</v>
      </c>
      <c r="W16" s="82">
        <f t="shared" si="2"/>
        <v>0</v>
      </c>
      <c r="X16" s="61">
        <f t="shared" si="2"/>
        <v>26748</v>
      </c>
      <c r="Y16" s="82">
        <f t="shared" si="2"/>
        <v>21544.7</v>
      </c>
      <c r="Z16" s="61">
        <f t="shared" si="2"/>
        <v>29317</v>
      </c>
      <c r="AA16" s="82">
        <f t="shared" si="2"/>
        <v>46020</v>
      </c>
      <c r="AB16" s="61">
        <f t="shared" si="2"/>
        <v>-58634</v>
      </c>
      <c r="AC16" s="82">
        <f t="shared" si="2"/>
        <v>-91349</v>
      </c>
      <c r="AD16" s="61">
        <f t="shared" si="2"/>
        <v>58634</v>
      </c>
      <c r="AE16" s="39">
        <f t="shared" si="2"/>
        <v>102849.1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-58634</v>
      </c>
      <c r="AI16" s="39">
        <f t="shared" si="3"/>
        <v>-91349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156178.29999999999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-45082549</v>
      </c>
      <c r="E19" s="38">
        <f t="shared" si="5"/>
        <v>-79723326.00999999</v>
      </c>
      <c r="F19" s="64">
        <f>'TIE-OUT'!F19+RECLASS!F19</f>
        <v>0</v>
      </c>
      <c r="G19" s="68">
        <f>'TIE-OUT'!G19+RECLASS!G19</f>
        <v>1411504.76</v>
      </c>
      <c r="H19" s="133">
        <f>+Actuals!E129-98000</f>
        <v>-44951740</v>
      </c>
      <c r="I19" s="134">
        <f>+Actuals!F129-171500</f>
        <v>-80422841.129999995</v>
      </c>
      <c r="J19" s="133">
        <f>+Actuals!G129</f>
        <v>-139644</v>
      </c>
      <c r="K19" s="134">
        <f>+Actuals!H129</f>
        <v>196843.36</v>
      </c>
      <c r="L19" s="133">
        <f>+Actuals!I129</f>
        <v>-1668</v>
      </c>
      <c r="M19" s="134">
        <f>+Actuals!J129</f>
        <v>-755772.76</v>
      </c>
      <c r="N19" s="133">
        <f>+Actuals!K129</f>
        <v>0</v>
      </c>
      <c r="O19" s="134">
        <f>+Actuals!L129</f>
        <v>-271578.99</v>
      </c>
      <c r="P19" s="133">
        <f>+Actuals!M129</f>
        <v>0</v>
      </c>
      <c r="Q19" s="134">
        <f>+Actuals!N129</f>
        <v>-6139.76</v>
      </c>
      <c r="R19" s="133">
        <f>+Actuals!O129</f>
        <v>950</v>
      </c>
      <c r="S19" s="134">
        <f>+Actuals!P129</f>
        <v>-25564.13</v>
      </c>
      <c r="T19" s="133">
        <f>+Actuals!Q129</f>
        <v>0</v>
      </c>
      <c r="U19" s="134">
        <f>+Actuals!R129</f>
        <v>8369.86</v>
      </c>
      <c r="V19" s="133">
        <f>+Actuals!S129</f>
        <v>-4734</v>
      </c>
      <c r="W19" s="134">
        <f>+Actuals!T129</f>
        <v>-8284.5</v>
      </c>
      <c r="X19" s="133">
        <f>+Actuals!U129</f>
        <v>14287</v>
      </c>
      <c r="Y19" s="134">
        <f>+Actuals!V129</f>
        <v>27310.75</v>
      </c>
      <c r="Z19" s="133">
        <f>+Actuals!W129</f>
        <v>0</v>
      </c>
      <c r="AA19" s="134">
        <f>+Actuals!X129</f>
        <v>0</v>
      </c>
      <c r="AB19" s="133">
        <f>+Actuals!Y129</f>
        <v>0</v>
      </c>
      <c r="AC19" s="134">
        <f>+Actuals!Z129</f>
        <v>0</v>
      </c>
      <c r="AD19" s="133">
        <f>+Actuals!AA169</f>
        <v>0</v>
      </c>
      <c r="AE19" s="134">
        <f>+Actuals!AB169</f>
        <v>122826.53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0</v>
      </c>
      <c r="AL19" s="133">
        <f>+Actuals!AI169</f>
        <v>0</v>
      </c>
      <c r="AM19" s="134">
        <f>+Actuals!AJ169</f>
        <v>0</v>
      </c>
      <c r="AN19" s="133">
        <f>+Actuals!AK169</f>
        <v>0</v>
      </c>
      <c r="AO19" s="134">
        <f>+Actuals!AL169</f>
        <v>0</v>
      </c>
      <c r="AP19" s="133">
        <f>+Actuals!AM169</f>
        <v>0</v>
      </c>
      <c r="AQ19" s="134">
        <f>+Actuals!AN169</f>
        <v>0</v>
      </c>
      <c r="AR19" s="133">
        <f>+Actuals!AO169</f>
        <v>0</v>
      </c>
      <c r="AS19" s="134">
        <f>+Actuals!AP169</f>
        <v>0</v>
      </c>
      <c r="AT19" s="133">
        <f>+Actuals!AQ169</f>
        <v>0</v>
      </c>
      <c r="AU19" s="134">
        <f>+Actuals!AR169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213876.88</v>
      </c>
      <c r="F20" s="60">
        <f>'TIE-OUT'!F20+RECLASS!F20</f>
        <v>0</v>
      </c>
      <c r="G20" s="38">
        <f>'TIE-OUT'!G20+RECLASS!G20</f>
        <v>213876.88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+Actuals!Y130</f>
        <v>0</v>
      </c>
      <c r="AC20" s="134">
        <f>+Actuals!Z130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  <c r="AL20" s="133">
        <f>+Actuals!AI170</f>
        <v>0</v>
      </c>
      <c r="AM20" s="134">
        <f>+Actuals!AJ170</f>
        <v>0</v>
      </c>
      <c r="AN20" s="133">
        <f>+Actuals!AK170</f>
        <v>0</v>
      </c>
      <c r="AO20" s="134">
        <f>+Actuals!AL170</f>
        <v>0</v>
      </c>
      <c r="AP20" s="133">
        <f>+Actuals!AM170</f>
        <v>0</v>
      </c>
      <c r="AQ20" s="134">
        <f>+Actuals!AN170</f>
        <v>0</v>
      </c>
      <c r="AR20" s="133">
        <f>+Actuals!AO170</f>
        <v>0</v>
      </c>
      <c r="AS20" s="134">
        <f>+Actuals!AP170</f>
        <v>0</v>
      </c>
      <c r="AT20" s="133">
        <f>+Actuals!AQ170</f>
        <v>0</v>
      </c>
      <c r="AU20" s="134">
        <f>+Actuals!AR170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5"/>
        <v>-15162621</v>
      </c>
      <c r="E21" s="38">
        <f t="shared" si="5"/>
        <v>-26636734</v>
      </c>
      <c r="F21" s="60">
        <f>'TIE-OUT'!F21+RECLASS!F21</f>
        <v>0</v>
      </c>
      <c r="G21" s="38">
        <f>'TIE-OUT'!G21+RECLASS!G21</f>
        <v>0</v>
      </c>
      <c r="H21" s="133">
        <f>+Actuals!E131</f>
        <v>-15162621</v>
      </c>
      <c r="I21" s="134">
        <f>+Actuals!F131</f>
        <v>-26636734</v>
      </c>
      <c r="J21" s="133">
        <f>+Actuals!G131</f>
        <v>0</v>
      </c>
      <c r="K21" s="134">
        <f>+Actuals!H131</f>
        <v>0</v>
      </c>
      <c r="L21" s="133">
        <f>+Actuals!I131</f>
        <v>20000</v>
      </c>
      <c r="M21" s="134">
        <f>+Actuals!J131</f>
        <v>35523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5000</v>
      </c>
      <c r="U21" s="134">
        <f>+Actuals!R131</f>
        <v>8650</v>
      </c>
      <c r="V21" s="133">
        <f>+Actuals!S131</f>
        <v>0</v>
      </c>
      <c r="W21" s="134">
        <f>+Actuals!T131</f>
        <v>0</v>
      </c>
      <c r="X21" s="133">
        <f>+Actuals!U131</f>
        <v>-29317</v>
      </c>
      <c r="Y21" s="134">
        <f>+Actuals!V131</f>
        <v>-46020</v>
      </c>
      <c r="Z21" s="133">
        <f>+Actuals!W131</f>
        <v>-29317</v>
      </c>
      <c r="AA21" s="134">
        <f>+Actuals!X131</f>
        <v>-46020</v>
      </c>
      <c r="AB21" s="133">
        <f>+Actuals!Y131</f>
        <v>33634</v>
      </c>
      <c r="AC21" s="134">
        <f>+Actuals!Z131</f>
        <v>47867</v>
      </c>
      <c r="AD21" s="133">
        <f>+Actuals!AA171</f>
        <v>-33634</v>
      </c>
      <c r="AE21" s="134">
        <f>+Actuals!AB171</f>
        <v>-47867</v>
      </c>
      <c r="AF21" s="133">
        <f>+Actuals!AC171</f>
        <v>0</v>
      </c>
      <c r="AG21" s="134">
        <f>+Actuals!AD171</f>
        <v>0</v>
      </c>
      <c r="AH21" s="133">
        <f>+Actuals!AE171</f>
        <v>33634</v>
      </c>
      <c r="AI21" s="134">
        <f>+Actuals!AF171</f>
        <v>47867</v>
      </c>
      <c r="AJ21" s="133">
        <f>+Actuals!AG171</f>
        <v>0</v>
      </c>
      <c r="AK21" s="134">
        <f>+Actuals!AH171</f>
        <v>0</v>
      </c>
      <c r="AL21" s="133">
        <f>+Actuals!AI171</f>
        <v>0</v>
      </c>
      <c r="AM21" s="134">
        <f>+Actuals!AJ171</f>
        <v>0</v>
      </c>
      <c r="AN21" s="133">
        <f>+Actuals!AK171</f>
        <v>0</v>
      </c>
      <c r="AO21" s="134">
        <f>+Actuals!AL171</f>
        <v>0</v>
      </c>
      <c r="AP21" s="133">
        <f>+Actuals!AM171</f>
        <v>0</v>
      </c>
      <c r="AQ21" s="134">
        <f>+Actuals!AN171</f>
        <v>0</v>
      </c>
      <c r="AR21" s="133">
        <f>+Actuals!AO171</f>
        <v>0</v>
      </c>
      <c r="AS21" s="134">
        <f>+Actuals!AP171</f>
        <v>0</v>
      </c>
      <c r="AT21" s="133">
        <f>+Actuals!AQ171</f>
        <v>0</v>
      </c>
      <c r="AU21" s="134">
        <f>+Actuals!AR171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+Actuals!Y132</f>
        <v>0</v>
      </c>
      <c r="AC22" s="134">
        <f>+Actuals!Z132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  <c r="AL22" s="133">
        <f>+Actuals!AI172</f>
        <v>0</v>
      </c>
      <c r="AM22" s="134">
        <f>+Actuals!AJ172</f>
        <v>0</v>
      </c>
      <c r="AN22" s="133">
        <f>+Actuals!AK172</f>
        <v>0</v>
      </c>
      <c r="AO22" s="134">
        <f>+Actuals!AL172</f>
        <v>0</v>
      </c>
      <c r="AP22" s="133">
        <f>+Actuals!AM172</f>
        <v>0</v>
      </c>
      <c r="AQ22" s="134">
        <f>+Actuals!AN172</f>
        <v>0</v>
      </c>
      <c r="AR22" s="133">
        <f>+Actuals!AO172</f>
        <v>0</v>
      </c>
      <c r="AS22" s="134">
        <f>+Actuals!AP172</f>
        <v>0</v>
      </c>
      <c r="AT22" s="133">
        <f>+Actuals!AQ172</f>
        <v>0</v>
      </c>
      <c r="AU22" s="134">
        <f>+Actuals!AR172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5"/>
        <v>212651</v>
      </c>
      <c r="E23" s="38">
        <f t="shared" si="5"/>
        <v>381708.5500000001</v>
      </c>
      <c r="F23" s="81">
        <f>'TIE-OUT'!F23+RECLASS!F23</f>
        <v>0</v>
      </c>
      <c r="G23" s="82">
        <f>'TIE-OUT'!G23+RECLASS!G23</f>
        <v>0</v>
      </c>
      <c r="H23" s="133">
        <f>+Actuals!E133</f>
        <v>337997</v>
      </c>
      <c r="I23" s="135">
        <f>+Actuals!F133</f>
        <v>606704.62</v>
      </c>
      <c r="J23" s="133">
        <f>+Actuals!G133</f>
        <v>1698</v>
      </c>
      <c r="K23" s="135">
        <f>+Actuals!H133</f>
        <v>3047.91</v>
      </c>
      <c r="L23" s="133">
        <f>+Actuals!I133</f>
        <v>3704</v>
      </c>
      <c r="M23" s="135">
        <f>+Actuals!J133</f>
        <v>6648.68</v>
      </c>
      <c r="N23" s="133">
        <f>+Actuals!K133</f>
        <v>0</v>
      </c>
      <c r="O23" s="135">
        <f>+Actuals!L133</f>
        <v>0</v>
      </c>
      <c r="P23" s="133">
        <f>+Actuals!M133</f>
        <v>0</v>
      </c>
      <c r="Q23" s="135">
        <f>+Actuals!N133</f>
        <v>0</v>
      </c>
      <c r="R23" s="133">
        <f>+Actuals!O133</f>
        <v>-19</v>
      </c>
      <c r="S23" s="135">
        <f>+Actuals!P133</f>
        <v>-34.104999999999997</v>
      </c>
      <c r="T23" s="133">
        <f>+Actuals!Q133</f>
        <v>0</v>
      </c>
      <c r="U23" s="135">
        <f>+Actuals!R133</f>
        <v>0</v>
      </c>
      <c r="V23" s="133">
        <f>+Actuals!S133</f>
        <v>-139381</v>
      </c>
      <c r="W23" s="135">
        <f>+Actuals!T133</f>
        <v>-250188.89499999999</v>
      </c>
      <c r="X23" s="133">
        <f>+Actuals!U133</f>
        <v>8652</v>
      </c>
      <c r="Y23" s="135">
        <f>+Actuals!V133</f>
        <v>15530.34</v>
      </c>
      <c r="Z23" s="133">
        <f>+Actuals!W133</f>
        <v>0</v>
      </c>
      <c r="AA23" s="135">
        <f>+Actuals!X133</f>
        <v>0</v>
      </c>
      <c r="AB23" s="133">
        <f>+Actuals!Y133</f>
        <v>0</v>
      </c>
      <c r="AC23" s="135">
        <f>+Actuals!Z133</f>
        <v>0</v>
      </c>
      <c r="AD23" s="133">
        <f>+Actuals!AA173</f>
        <v>0</v>
      </c>
      <c r="AE23" s="134">
        <f>+Actuals!AB173</f>
        <v>0</v>
      </c>
      <c r="AF23" s="133">
        <f>+Actuals!AC173</f>
        <v>0</v>
      </c>
      <c r="AG23" s="134">
        <f>+Actuals!AD173</f>
        <v>0</v>
      </c>
      <c r="AH23" s="133">
        <f>+Actuals!AE173</f>
        <v>0</v>
      </c>
      <c r="AI23" s="134">
        <f>+Actuals!AF173</f>
        <v>0</v>
      </c>
      <c r="AJ23" s="133">
        <f>+Actuals!AG173</f>
        <v>0</v>
      </c>
      <c r="AK23" s="134">
        <f>+Actuals!AH173</f>
        <v>0</v>
      </c>
      <c r="AL23" s="133">
        <f>+Actuals!AI173</f>
        <v>0</v>
      </c>
      <c r="AM23" s="134">
        <f>+Actuals!AJ173</f>
        <v>0</v>
      </c>
      <c r="AN23" s="133">
        <f>+Actuals!AK173</f>
        <v>0</v>
      </c>
      <c r="AO23" s="134">
        <f>+Actuals!AL173</f>
        <v>0</v>
      </c>
      <c r="AP23" s="133">
        <f>+Actuals!AM173</f>
        <v>0</v>
      </c>
      <c r="AQ23" s="134">
        <f>+Actuals!AN173</f>
        <v>0</v>
      </c>
      <c r="AR23" s="133">
        <f>+Actuals!AO173</f>
        <v>0</v>
      </c>
      <c r="AS23" s="134">
        <f>+Actuals!AP173</f>
        <v>0</v>
      </c>
      <c r="AT23" s="133">
        <f>+Actuals!AQ173</f>
        <v>0</v>
      </c>
      <c r="AU23" s="134">
        <f>+Actuals!AR173</f>
        <v>0</v>
      </c>
    </row>
    <row r="24" spans="1:47" x14ac:dyDescent="0.25">
      <c r="A24" s="9"/>
      <c r="B24" s="7" t="s">
        <v>37</v>
      </c>
      <c r="C24" s="6"/>
      <c r="D24" s="61">
        <f t="shared" ref="D24:I24" si="6">SUM(D19:D23)</f>
        <v>-60032519</v>
      </c>
      <c r="E24" s="39">
        <f t="shared" si="6"/>
        <v>-105764474.58</v>
      </c>
      <c r="F24" s="61">
        <f t="shared" si="6"/>
        <v>0</v>
      </c>
      <c r="G24" s="39">
        <f t="shared" si="6"/>
        <v>1625381.6400000001</v>
      </c>
      <c r="H24" s="61">
        <f t="shared" si="6"/>
        <v>-59776364</v>
      </c>
      <c r="I24" s="39">
        <f t="shared" si="6"/>
        <v>-106452870.50999999</v>
      </c>
      <c r="J24" s="61">
        <f t="shared" ref="J24:AE24" si="7">SUM(J19:J23)</f>
        <v>-137946</v>
      </c>
      <c r="K24" s="39">
        <f t="shared" si="7"/>
        <v>199891.27</v>
      </c>
      <c r="L24" s="61">
        <f t="shared" si="7"/>
        <v>22036</v>
      </c>
      <c r="M24" s="39">
        <f t="shared" si="7"/>
        <v>-713601.08</v>
      </c>
      <c r="N24" s="61">
        <f t="shared" si="7"/>
        <v>0</v>
      </c>
      <c r="O24" s="39">
        <f t="shared" si="7"/>
        <v>-271578.99</v>
      </c>
      <c r="P24" s="61">
        <f t="shared" si="7"/>
        <v>0</v>
      </c>
      <c r="Q24" s="39">
        <f t="shared" si="7"/>
        <v>-6139.76</v>
      </c>
      <c r="R24" s="61">
        <f t="shared" si="7"/>
        <v>931</v>
      </c>
      <c r="S24" s="39">
        <f t="shared" si="7"/>
        <v>-25598.235000000001</v>
      </c>
      <c r="T24" s="61">
        <f t="shared" si="7"/>
        <v>5000</v>
      </c>
      <c r="U24" s="39">
        <f t="shared" si="7"/>
        <v>17019.86</v>
      </c>
      <c r="V24" s="61">
        <f t="shared" si="7"/>
        <v>-144115</v>
      </c>
      <c r="W24" s="39">
        <f t="shared" si="7"/>
        <v>-258473.39499999999</v>
      </c>
      <c r="X24" s="61">
        <f t="shared" si="7"/>
        <v>-6378</v>
      </c>
      <c r="Y24" s="39">
        <f t="shared" si="7"/>
        <v>-3178.91</v>
      </c>
      <c r="Z24" s="61">
        <f t="shared" si="7"/>
        <v>-29317</v>
      </c>
      <c r="AA24" s="39">
        <f t="shared" si="7"/>
        <v>-46020</v>
      </c>
      <c r="AB24" s="61">
        <f t="shared" si="7"/>
        <v>33634</v>
      </c>
      <c r="AC24" s="39">
        <f t="shared" si="7"/>
        <v>47867</v>
      </c>
      <c r="AD24" s="61">
        <f t="shared" si="7"/>
        <v>-33634</v>
      </c>
      <c r="AE24" s="39">
        <f t="shared" si="7"/>
        <v>74959.53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33634</v>
      </c>
      <c r="AI24" s="39">
        <f t="shared" si="8"/>
        <v>47867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337409</v>
      </c>
      <c r="E27" s="38">
        <f>SUM(G27,I27,K27,M27,O27,Q27,S27,U27,W27,Y27,AA27,AC27,AE27,AG27,AI27,AK27,AM27,AO27,AQ27,AS27,AU27)</f>
        <v>598943.06999999995</v>
      </c>
      <c r="F27" s="64">
        <f>'TIE-OUT'!F27+RECLASS!F27</f>
        <v>0</v>
      </c>
      <c r="G27" s="68">
        <f>'TIE-OUT'!G27+RECLASS!G27</f>
        <v>0</v>
      </c>
      <c r="H27" s="133">
        <f>+Actuals!E134</f>
        <v>337409</v>
      </c>
      <c r="I27" s="134">
        <f>+Actuals!F134</f>
        <v>598943.06999999995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+Actuals!Y134</f>
        <v>0</v>
      </c>
      <c r="AC27" s="134">
        <f>+Actuals!Z134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  <c r="AL27" s="133">
        <f>+Actuals!AI174</f>
        <v>0</v>
      </c>
      <c r="AM27" s="134">
        <f>+Actuals!AJ174</f>
        <v>0</v>
      </c>
      <c r="AN27" s="133">
        <f>+Actuals!AK174</f>
        <v>0</v>
      </c>
      <c r="AO27" s="134">
        <f>+Actuals!AL174</f>
        <v>0</v>
      </c>
      <c r="AP27" s="133">
        <f>+Actuals!AM174</f>
        <v>0</v>
      </c>
      <c r="AQ27" s="134">
        <f>+Actuals!AN174</f>
        <v>0</v>
      </c>
      <c r="AR27" s="133">
        <f>+Actuals!AO174</f>
        <v>0</v>
      </c>
      <c r="AS27" s="134">
        <f>+Actuals!AP174</f>
        <v>0</v>
      </c>
      <c r="AT27" s="133">
        <f>+Actuals!AQ174</f>
        <v>0</v>
      </c>
      <c r="AU27" s="134">
        <f>+Actuals!AR174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-613076</v>
      </c>
      <c r="E28" s="38">
        <f>SUM(G28,I28,K28,M28,O28,Q28,S28,U28,W28,Y28,AA28,AC28,AE28,AG28,AI28,AK28,AM28,AO28,AQ28,AS28,AU28)</f>
        <v>-1110780.1499999999</v>
      </c>
      <c r="F28" s="81">
        <f>'TIE-OUT'!F28+RECLASS!F28</f>
        <v>0</v>
      </c>
      <c r="G28" s="82">
        <f>'TIE-OUT'!G28+RECLASS!G28</f>
        <v>0</v>
      </c>
      <c r="H28" s="133">
        <f>+Actuals!E135</f>
        <v>-613076</v>
      </c>
      <c r="I28" s="134">
        <f>+Actuals!F135</f>
        <v>-1110780.1499999999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+Actuals!Y135</f>
        <v>0</v>
      </c>
      <c r="AC28" s="134">
        <f>+Actuals!Z135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  <c r="AL28" s="133">
        <f>+Actuals!AI175</f>
        <v>0</v>
      </c>
      <c r="AM28" s="134">
        <f>+Actuals!AJ175</f>
        <v>0</v>
      </c>
      <c r="AN28" s="133">
        <f>+Actuals!AK175</f>
        <v>0</v>
      </c>
      <c r="AO28" s="134">
        <f>+Actuals!AL175</f>
        <v>0</v>
      </c>
      <c r="AP28" s="133">
        <f>+Actuals!AM175</f>
        <v>0</v>
      </c>
      <c r="AQ28" s="134">
        <f>+Actuals!AN175</f>
        <v>0</v>
      </c>
      <c r="AR28" s="133">
        <f>+Actuals!AO175</f>
        <v>0</v>
      </c>
      <c r="AS28" s="134">
        <f>+Actuals!AP175</f>
        <v>0</v>
      </c>
      <c r="AT28" s="133">
        <f>+Actuals!AQ175</f>
        <v>0</v>
      </c>
      <c r="AU28" s="134">
        <f>+Actuals!AR175</f>
        <v>0</v>
      </c>
    </row>
    <row r="29" spans="1:47" x14ac:dyDescent="0.25">
      <c r="A29" s="9"/>
      <c r="B29" s="7" t="s">
        <v>41</v>
      </c>
      <c r="C29" s="18"/>
      <c r="D29" s="61">
        <f t="shared" ref="D29:I29" si="10">SUM(D27:D28)</f>
        <v>-275667</v>
      </c>
      <c r="E29" s="39">
        <f t="shared" si="10"/>
        <v>-511837.07999999996</v>
      </c>
      <c r="F29" s="61">
        <f t="shared" si="10"/>
        <v>0</v>
      </c>
      <c r="G29" s="39">
        <f t="shared" si="10"/>
        <v>0</v>
      </c>
      <c r="H29" s="61">
        <f t="shared" si="10"/>
        <v>-275667</v>
      </c>
      <c r="I29" s="39">
        <f t="shared" si="10"/>
        <v>-511837.07999999996</v>
      </c>
      <c r="J29" s="61">
        <f t="shared" ref="J29:AE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si="11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-10799</v>
      </c>
      <c r="E32" s="38">
        <f t="shared" si="14"/>
        <v>-19385.005000000023</v>
      </c>
      <c r="F32" s="64">
        <f>'TIE-OUT'!F32+RECLASS!F32</f>
        <v>0</v>
      </c>
      <c r="G32" s="68">
        <f>'TIE-OUT'!G32+RECLASS!G32</f>
        <v>0</v>
      </c>
      <c r="H32" s="133">
        <f>+Actuals!E136</f>
        <v>-119042</v>
      </c>
      <c r="I32" s="134">
        <f>+Actuals!F136</f>
        <v>-213680.39</v>
      </c>
      <c r="J32" s="133">
        <f>+Actuals!G136</f>
        <v>117607</v>
      </c>
      <c r="K32" s="134">
        <f>+Actuals!H136</f>
        <v>211381.52</v>
      </c>
      <c r="L32" s="133">
        <f>+Actuals!I136</f>
        <v>0</v>
      </c>
      <c r="M32" s="134">
        <f>+Actuals!J136</f>
        <v>-265.47500000000002</v>
      </c>
      <c r="N32" s="133">
        <f>+Actuals!K136</f>
        <v>-8032</v>
      </c>
      <c r="O32" s="134">
        <f>+Actuals!L136</f>
        <v>-18887.877</v>
      </c>
      <c r="P32" s="133">
        <f>+Actuals!M136</f>
        <v>-375</v>
      </c>
      <c r="Q32" s="134">
        <f>+Actuals!N136</f>
        <v>175.78639999999999</v>
      </c>
      <c r="R32" s="133">
        <f>+Actuals!O136</f>
        <v>-957</v>
      </c>
      <c r="S32" s="134">
        <f>+Actuals!P136</f>
        <v>-2762.1383999999998</v>
      </c>
      <c r="T32" s="133">
        <f>+Actuals!Q136</f>
        <v>0</v>
      </c>
      <c r="U32" s="134">
        <f>+Actuals!R136</f>
        <v>-11954.493</v>
      </c>
      <c r="V32" s="133">
        <f>+Actuals!S136</f>
        <v>0</v>
      </c>
      <c r="W32" s="134">
        <f>+Actuals!T136</f>
        <v>8293.2009999999991</v>
      </c>
      <c r="X32" s="133">
        <f>+Actuals!U136</f>
        <v>0</v>
      </c>
      <c r="Y32" s="134">
        <f>+Actuals!V136</f>
        <v>8314.8610000000008</v>
      </c>
      <c r="Z32" s="133">
        <f>+Actuals!W136</f>
        <v>0</v>
      </c>
      <c r="AA32" s="134">
        <f>+Actuals!X136</f>
        <v>0</v>
      </c>
      <c r="AB32" s="133">
        <f>+Actuals!Y136</f>
        <v>0</v>
      </c>
      <c r="AC32" s="134">
        <f>+Actuals!Z136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  <c r="AL32" s="133">
        <f>+Actuals!AI176</f>
        <v>0</v>
      </c>
      <c r="AM32" s="134">
        <f>+Actuals!AJ176</f>
        <v>0</v>
      </c>
      <c r="AN32" s="133">
        <f>+Actuals!AK176</f>
        <v>0</v>
      </c>
      <c r="AO32" s="134">
        <f>+Actuals!AL176</f>
        <v>0</v>
      </c>
      <c r="AP32" s="133">
        <f>+Actuals!AM176</f>
        <v>0</v>
      </c>
      <c r="AQ32" s="134">
        <f>+Actuals!AN176</f>
        <v>0</v>
      </c>
      <c r="AR32" s="133">
        <f>+Actuals!AO176</f>
        <v>0</v>
      </c>
      <c r="AS32" s="134">
        <f>+Actuals!AP176</f>
        <v>0</v>
      </c>
      <c r="AT32" s="133">
        <f>+Actuals!AQ176</f>
        <v>0</v>
      </c>
      <c r="AU32" s="134">
        <f>+Actuals!AR176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4"/>
        <v>-5188</v>
      </c>
      <c r="E33" s="38">
        <f t="shared" si="14"/>
        <v>-8789.18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-4930</v>
      </c>
      <c r="K33" s="134">
        <f>+Actuals!H137</f>
        <v>-8354.4</v>
      </c>
      <c r="L33" s="133">
        <f>+Actuals!I137</f>
        <v>-258</v>
      </c>
      <c r="M33" s="134">
        <f>+Actuals!J137</f>
        <v>-434.78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0</v>
      </c>
      <c r="S33" s="134">
        <f>+Actuals!P137</f>
        <v>0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+Actuals!Y137</f>
        <v>0</v>
      </c>
      <c r="AC33" s="134">
        <f>+Actuals!Z137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  <c r="AL33" s="133">
        <f>+Actuals!AI177</f>
        <v>0</v>
      </c>
      <c r="AM33" s="134">
        <f>+Actuals!AJ177</f>
        <v>0</v>
      </c>
      <c r="AN33" s="133">
        <f>+Actuals!AK177</f>
        <v>0</v>
      </c>
      <c r="AO33" s="134">
        <f>+Actuals!AL177</f>
        <v>0</v>
      </c>
      <c r="AP33" s="133">
        <f>+Actuals!AM177</f>
        <v>0</v>
      </c>
      <c r="AQ33" s="134">
        <f>+Actuals!AN177</f>
        <v>0</v>
      </c>
      <c r="AR33" s="133">
        <f>+Actuals!AO177</f>
        <v>0</v>
      </c>
      <c r="AS33" s="134">
        <f>+Actuals!AP177</f>
        <v>0</v>
      </c>
      <c r="AT33" s="133">
        <f>+Actuals!AQ177</f>
        <v>0</v>
      </c>
      <c r="AU33" s="134">
        <f>+Actuals!AR177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4"/>
        <v>27813</v>
      </c>
      <c r="E34" s="38">
        <f t="shared" si="14"/>
        <v>20460.309999999998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27355</v>
      </c>
      <c r="K34" s="134">
        <f>+Actuals!H138</f>
        <v>19664.3</v>
      </c>
      <c r="L34" s="133">
        <f>+Actuals!I138</f>
        <v>458</v>
      </c>
      <c r="M34" s="134">
        <f>+Actuals!J138</f>
        <v>796.01</v>
      </c>
      <c r="N34" s="133">
        <f>+Actuals!K138</f>
        <v>0</v>
      </c>
      <c r="O34" s="134">
        <f>+Actuals!L138</f>
        <v>0</v>
      </c>
      <c r="P34" s="133">
        <f>+Actuals!M138</f>
        <v>0</v>
      </c>
      <c r="Q34" s="134">
        <f>+Actuals!N138</f>
        <v>0</v>
      </c>
      <c r="R34" s="133">
        <f>+Actuals!O138</f>
        <v>0</v>
      </c>
      <c r="S34" s="134">
        <f>+Actuals!P138</f>
        <v>0</v>
      </c>
      <c r="T34" s="133">
        <f>+Actuals!Q138</f>
        <v>0</v>
      </c>
      <c r="U34" s="134">
        <f>+Actuals!R138</f>
        <v>0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+Actuals!Y138</f>
        <v>0</v>
      </c>
      <c r="AC34" s="134">
        <f>+Actuals!Z138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  <c r="AL34" s="133">
        <f>+Actuals!AI178</f>
        <v>0</v>
      </c>
      <c r="AM34" s="134">
        <f>+Actuals!AJ178</f>
        <v>0</v>
      </c>
      <c r="AN34" s="133">
        <f>+Actuals!AK178</f>
        <v>0</v>
      </c>
      <c r="AO34" s="134">
        <f>+Actuals!AL178</f>
        <v>0</v>
      </c>
      <c r="AP34" s="133">
        <f>+Actuals!AM178</f>
        <v>0</v>
      </c>
      <c r="AQ34" s="134">
        <f>+Actuals!AN178</f>
        <v>0</v>
      </c>
      <c r="AR34" s="133">
        <f>+Actuals!AO178</f>
        <v>0</v>
      </c>
      <c r="AS34" s="134">
        <f>+Actuals!AP178</f>
        <v>0</v>
      </c>
      <c r="AT34" s="133">
        <f>+Actuals!AQ178</f>
        <v>0</v>
      </c>
      <c r="AU34" s="134">
        <f>+Actuals!AR178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4"/>
        <v>415138</v>
      </c>
      <c r="E35" s="38">
        <f t="shared" si="14"/>
        <v>707028.11</v>
      </c>
      <c r="F35" s="81">
        <f>'TIE-OUT'!F35+RECLASS!F35</f>
        <v>0</v>
      </c>
      <c r="G35" s="82">
        <f>'TIE-OUT'!G35+RECLASS!G35</f>
        <v>0</v>
      </c>
      <c r="H35" s="133">
        <f>+Actuals!E139</f>
        <v>423849</v>
      </c>
      <c r="I35" s="134">
        <f>+Actuals!F139</f>
        <v>-0.01</v>
      </c>
      <c r="J35" s="133">
        <f>+Actuals!G139</f>
        <v>-60</v>
      </c>
      <c r="K35" s="134">
        <f>+Actuals!H139</f>
        <v>0</v>
      </c>
      <c r="L35" s="133">
        <f>+Actuals!I139</f>
        <v>1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0</v>
      </c>
      <c r="R35" s="133">
        <f>+Actuals!O139</f>
        <v>0</v>
      </c>
      <c r="S35" s="134">
        <f>+Actuals!P139</f>
        <v>707028.12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-8652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+Actuals!Y139</f>
        <v>0</v>
      </c>
      <c r="AC35" s="134">
        <f>+Actuals!Z139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  <c r="AL35" s="133">
        <f>+Actuals!AI179</f>
        <v>0</v>
      </c>
      <c r="AM35" s="134">
        <f>+Actuals!AJ179</f>
        <v>0</v>
      </c>
      <c r="AN35" s="133">
        <f>+Actuals!AK179</f>
        <v>0</v>
      </c>
      <c r="AO35" s="134">
        <f>+Actuals!AL179</f>
        <v>0</v>
      </c>
      <c r="AP35" s="133">
        <f>+Actuals!AM179</f>
        <v>0</v>
      </c>
      <c r="AQ35" s="134">
        <f>+Actuals!AN179</f>
        <v>0</v>
      </c>
      <c r="AR35" s="133">
        <f>+Actuals!AO179</f>
        <v>0</v>
      </c>
      <c r="AS35" s="134">
        <f>+Actuals!AP179</f>
        <v>0</v>
      </c>
      <c r="AT35" s="133">
        <f>+Actuals!AQ179</f>
        <v>0</v>
      </c>
      <c r="AU35" s="134">
        <f>+Actuals!AR179</f>
        <v>0</v>
      </c>
    </row>
    <row r="36" spans="1:47" x14ac:dyDescent="0.25">
      <c r="A36" s="9"/>
      <c r="B36" s="7" t="s">
        <v>47</v>
      </c>
      <c r="C36" s="6"/>
      <c r="D36" s="61">
        <f t="shared" ref="D36:I36" si="15">SUM(D32:D35)</f>
        <v>426964</v>
      </c>
      <c r="E36" s="39">
        <f t="shared" si="15"/>
        <v>699314.23499999999</v>
      </c>
      <c r="F36" s="61">
        <f t="shared" si="15"/>
        <v>0</v>
      </c>
      <c r="G36" s="39">
        <f t="shared" si="15"/>
        <v>0</v>
      </c>
      <c r="H36" s="61">
        <f t="shared" si="15"/>
        <v>304807</v>
      </c>
      <c r="I36" s="39">
        <f t="shared" si="15"/>
        <v>-213680.40000000002</v>
      </c>
      <c r="J36" s="61">
        <f t="shared" ref="J36:AE36" si="16">SUM(J32:J35)</f>
        <v>139972</v>
      </c>
      <c r="K36" s="39">
        <f t="shared" si="16"/>
        <v>222691.41999999998</v>
      </c>
      <c r="L36" s="61">
        <f t="shared" si="16"/>
        <v>201</v>
      </c>
      <c r="M36" s="39">
        <f t="shared" si="16"/>
        <v>95.754999999999995</v>
      </c>
      <c r="N36" s="61">
        <f t="shared" si="16"/>
        <v>-8032</v>
      </c>
      <c r="O36" s="39">
        <f t="shared" si="16"/>
        <v>-18887.877</v>
      </c>
      <c r="P36" s="61">
        <f t="shared" si="16"/>
        <v>-375</v>
      </c>
      <c r="Q36" s="39">
        <f t="shared" si="16"/>
        <v>175.78639999999999</v>
      </c>
      <c r="R36" s="61">
        <f t="shared" si="16"/>
        <v>-957</v>
      </c>
      <c r="S36" s="39">
        <f t="shared" si="16"/>
        <v>704265.98159999994</v>
      </c>
      <c r="T36" s="61">
        <f t="shared" si="16"/>
        <v>0</v>
      </c>
      <c r="U36" s="39">
        <f t="shared" si="16"/>
        <v>-11954.493</v>
      </c>
      <c r="V36" s="61">
        <f t="shared" si="16"/>
        <v>0</v>
      </c>
      <c r="W36" s="39">
        <f t="shared" si="16"/>
        <v>8293.2009999999991</v>
      </c>
      <c r="X36" s="61">
        <f t="shared" si="16"/>
        <v>-8652</v>
      </c>
      <c r="Y36" s="39">
        <f t="shared" si="16"/>
        <v>8314.8610000000008</v>
      </c>
      <c r="Z36" s="61">
        <f t="shared" si="16"/>
        <v>0</v>
      </c>
      <c r="AA36" s="39">
        <f t="shared" si="16"/>
        <v>0</v>
      </c>
      <c r="AB36" s="61">
        <f t="shared" si="16"/>
        <v>0</v>
      </c>
      <c r="AC36" s="39">
        <f t="shared" si="16"/>
        <v>0</v>
      </c>
      <c r="AD36" s="61">
        <f t="shared" si="16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87224</v>
      </c>
      <c r="E39" s="38">
        <f t="shared" si="19"/>
        <v>156567.09</v>
      </c>
      <c r="F39" s="64">
        <f>'TIE-OUT'!F39+RECLASS!F39</f>
        <v>0</v>
      </c>
      <c r="G39" s="68">
        <f>'TIE-OUT'!G39+RECLASS!G39</f>
        <v>0</v>
      </c>
      <c r="H39" s="133">
        <f>+Actuals!E140</f>
        <v>90645</v>
      </c>
      <c r="I39" s="134">
        <f>+Actuals!F140</f>
        <v>162707.78</v>
      </c>
      <c r="J39" s="133">
        <f>+Actuals!G140</f>
        <v>-3421</v>
      </c>
      <c r="K39" s="134">
        <f>+Actuals!H140</f>
        <v>-6140.69</v>
      </c>
      <c r="L39" s="133">
        <f>+Actuals!I140</f>
        <v>0</v>
      </c>
      <c r="M39" s="134">
        <f>+Actuals!J140</f>
        <v>0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+Actuals!Y140</f>
        <v>0</v>
      </c>
      <c r="AC39" s="134">
        <f>+Actuals!Z140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  <c r="AL39" s="133">
        <f>+Actuals!AI180</f>
        <v>0</v>
      </c>
      <c r="AM39" s="134">
        <f>+Actuals!AJ180</f>
        <v>0</v>
      </c>
      <c r="AN39" s="133">
        <f>+Actuals!AK180</f>
        <v>0</v>
      </c>
      <c r="AO39" s="134">
        <f>+Actuals!AL180</f>
        <v>0</v>
      </c>
      <c r="AP39" s="133">
        <f>+Actuals!AM180</f>
        <v>0</v>
      </c>
      <c r="AQ39" s="134">
        <f>+Actuals!AN180</f>
        <v>0</v>
      </c>
      <c r="AR39" s="133">
        <f>+Actuals!AO180</f>
        <v>0</v>
      </c>
      <c r="AS39" s="134">
        <f>+Actuals!AP180</f>
        <v>0</v>
      </c>
      <c r="AT39" s="133">
        <f>+Actuals!AQ180</f>
        <v>0</v>
      </c>
      <c r="AU39" s="134">
        <f>+Actuals!AR180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9"/>
        <v>39511</v>
      </c>
      <c r="E40" s="38">
        <f t="shared" si="19"/>
        <v>0</v>
      </c>
      <c r="F40" s="60">
        <f>'TIE-OUT'!F40+RECLASS!F40</f>
        <v>0</v>
      </c>
      <c r="G40" s="38">
        <f>'TIE-OUT'!G40+RECLASS!G40</f>
        <v>0</v>
      </c>
      <c r="H40" s="133">
        <f>+Actuals!E141</f>
        <v>0</v>
      </c>
      <c r="I40" s="134">
        <f>+Actuals!F141</f>
        <v>0</v>
      </c>
      <c r="J40" s="133">
        <f>+Actuals!G141</f>
        <v>-100108</v>
      </c>
      <c r="K40" s="134">
        <f>+Actuals!H141</f>
        <v>-0.01</v>
      </c>
      <c r="L40" s="133">
        <f>+Actuals!I141</f>
        <v>0</v>
      </c>
      <c r="M40" s="134">
        <f>+Actuals!J141</f>
        <v>0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0</v>
      </c>
      <c r="U40" s="134">
        <f>+Actuals!R141</f>
        <v>0</v>
      </c>
      <c r="V40" s="133">
        <f>+Actuals!S141</f>
        <v>139619</v>
      </c>
      <c r="W40" s="134">
        <f>+Actuals!T141</f>
        <v>0.01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+Actuals!Y141</f>
        <v>0</v>
      </c>
      <c r="AC40" s="134">
        <f>+Actuals!Z141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  <c r="AL40" s="133">
        <f>+Actuals!AI181</f>
        <v>0</v>
      </c>
      <c r="AM40" s="134">
        <f>+Actuals!AJ181</f>
        <v>0</v>
      </c>
      <c r="AN40" s="133">
        <f>+Actuals!AK181</f>
        <v>0</v>
      </c>
      <c r="AO40" s="134">
        <f>+Actuals!AL181</f>
        <v>0</v>
      </c>
      <c r="AP40" s="133">
        <f>+Actuals!AM181</f>
        <v>0</v>
      </c>
      <c r="AQ40" s="134">
        <f>+Actuals!AN181</f>
        <v>0</v>
      </c>
      <c r="AR40" s="133">
        <f>+Actuals!AO181</f>
        <v>0</v>
      </c>
      <c r="AS40" s="134">
        <f>+Actuals!AP181</f>
        <v>0</v>
      </c>
      <c r="AT40" s="133">
        <f>+Actuals!AQ181</f>
        <v>0</v>
      </c>
      <c r="AU40" s="134">
        <f>+Actuals!AR181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+Actuals!Y142</f>
        <v>0</v>
      </c>
      <c r="AC41" s="134">
        <f>+Actuals!Z142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  <c r="AL41" s="133">
        <f>+Actuals!AI182</f>
        <v>0</v>
      </c>
      <c r="AM41" s="134">
        <f>+Actuals!AJ182</f>
        <v>0</v>
      </c>
      <c r="AN41" s="133">
        <f>+Actuals!AK182</f>
        <v>0</v>
      </c>
      <c r="AO41" s="134">
        <f>+Actuals!AL182</f>
        <v>0</v>
      </c>
      <c r="AP41" s="133">
        <f>+Actuals!AM182</f>
        <v>0</v>
      </c>
      <c r="AQ41" s="134">
        <f>+Actuals!AN182</f>
        <v>0</v>
      </c>
      <c r="AR41" s="133">
        <f>+Actuals!AO182</f>
        <v>0</v>
      </c>
      <c r="AS41" s="134">
        <f>+Actuals!AP182</f>
        <v>0</v>
      </c>
      <c r="AT41" s="133">
        <f>+Actuals!AQ182</f>
        <v>0</v>
      </c>
      <c r="AU41" s="134">
        <f>+Actuals!AR182</f>
        <v>0</v>
      </c>
    </row>
    <row r="42" spans="1:47" x14ac:dyDescent="0.25">
      <c r="A42" s="9"/>
      <c r="B42" s="7"/>
      <c r="C42" s="53" t="s">
        <v>52</v>
      </c>
      <c r="D42" s="61">
        <f t="shared" ref="D42:I42" si="20">SUM(D40:D41)</f>
        <v>39511</v>
      </c>
      <c r="E42" s="39">
        <f t="shared" si="20"/>
        <v>0</v>
      </c>
      <c r="F42" s="61">
        <f t="shared" si="20"/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ref="J42:AE42" si="21">SUM(J40:J41)</f>
        <v>-100108</v>
      </c>
      <c r="K42" s="39">
        <f t="shared" si="21"/>
        <v>-0.01</v>
      </c>
      <c r="L42" s="61">
        <f t="shared" si="21"/>
        <v>0</v>
      </c>
      <c r="M42" s="39">
        <f t="shared" si="21"/>
        <v>0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139619</v>
      </c>
      <c r="W42" s="39">
        <f t="shared" si="21"/>
        <v>0.01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si="21"/>
        <v>0</v>
      </c>
      <c r="AC42" s="39">
        <f t="shared" si="21"/>
        <v>0</v>
      </c>
      <c r="AD42" s="61">
        <f t="shared" si="21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I43" si="24">D42+D39</f>
        <v>126735</v>
      </c>
      <c r="E43" s="39">
        <f t="shared" si="24"/>
        <v>156567.09</v>
      </c>
      <c r="F43" s="61">
        <f t="shared" si="24"/>
        <v>0</v>
      </c>
      <c r="G43" s="39">
        <f t="shared" si="24"/>
        <v>0</v>
      </c>
      <c r="H43" s="61">
        <f t="shared" si="24"/>
        <v>90645</v>
      </c>
      <c r="I43" s="39">
        <f t="shared" si="24"/>
        <v>162707.78</v>
      </c>
      <c r="J43" s="61">
        <f t="shared" ref="J43:AE43" si="25">J42+J39</f>
        <v>-103529</v>
      </c>
      <c r="K43" s="39">
        <f t="shared" si="25"/>
        <v>-6140.7</v>
      </c>
      <c r="L43" s="61">
        <f t="shared" si="25"/>
        <v>0</v>
      </c>
      <c r="M43" s="39">
        <f t="shared" si="25"/>
        <v>0</v>
      </c>
      <c r="N43" s="61">
        <f t="shared" si="25"/>
        <v>0</v>
      </c>
      <c r="O43" s="39">
        <f t="shared" si="25"/>
        <v>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139619</v>
      </c>
      <c r="W43" s="39">
        <f t="shared" si="25"/>
        <v>0.01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si="25"/>
        <v>0</v>
      </c>
      <c r="AC43" s="39">
        <f t="shared" si="25"/>
        <v>0</v>
      </c>
      <c r="AD43" s="61">
        <f t="shared" si="25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+Actuals!Y143</f>
        <v>0</v>
      </c>
      <c r="AC45" s="134">
        <f>+Actuals!Z143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  <c r="AL45" s="133">
        <f>+Actuals!AI183</f>
        <v>0</v>
      </c>
      <c r="AM45" s="134">
        <f>+Actuals!AJ183</f>
        <v>0</v>
      </c>
      <c r="AN45" s="133">
        <f>+Actuals!AK183</f>
        <v>0</v>
      </c>
      <c r="AO45" s="134">
        <f>+Actuals!AL183</f>
        <v>0</v>
      </c>
      <c r="AP45" s="133">
        <f>+Actuals!AM183</f>
        <v>0</v>
      </c>
      <c r="AQ45" s="134">
        <f>+Actuals!AN183</f>
        <v>0</v>
      </c>
      <c r="AR45" s="133">
        <f>+Actuals!AO183</f>
        <v>0</v>
      </c>
      <c r="AS45" s="134">
        <f>+Actuals!AP183</f>
        <v>0</v>
      </c>
      <c r="AT45" s="133">
        <f>+Actuals!AQ183</f>
        <v>0</v>
      </c>
      <c r="AU45" s="134">
        <f>+Actuals!AR183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+Actuals!Y144</f>
        <v>0</v>
      </c>
      <c r="AC47" s="134">
        <f>+Actuals!Z144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  <c r="AL47" s="133">
        <f>+Actuals!AI184</f>
        <v>0</v>
      </c>
      <c r="AM47" s="134">
        <f>+Actuals!AJ184</f>
        <v>0</v>
      </c>
      <c r="AN47" s="133">
        <f>+Actuals!AK184</f>
        <v>0</v>
      </c>
      <c r="AO47" s="134">
        <f>+Actuals!AL184</f>
        <v>0</v>
      </c>
      <c r="AP47" s="133">
        <f>+Actuals!AM184</f>
        <v>0</v>
      </c>
      <c r="AQ47" s="134">
        <f>+Actuals!AN184</f>
        <v>0</v>
      </c>
      <c r="AR47" s="133">
        <f>+Actuals!AO184</f>
        <v>0</v>
      </c>
      <c r="AS47" s="134">
        <f>+Actuals!AP184</f>
        <v>0</v>
      </c>
      <c r="AT47" s="133">
        <f>+Actuals!AQ184</f>
        <v>0</v>
      </c>
      <c r="AU47" s="134">
        <f>+Actuals!AR184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758485</v>
      </c>
      <c r="E49" s="38">
        <f t="shared" si="28"/>
        <v>1361083.105</v>
      </c>
      <c r="F49" s="60">
        <f>'TIE-OUT'!F49+RECLASS!F49</f>
        <v>0</v>
      </c>
      <c r="G49" s="38">
        <f>'TIE-OUT'!G49+RECLASS!G49</f>
        <v>0</v>
      </c>
      <c r="H49" s="133">
        <f>+Actuals!E145</f>
        <v>185092</v>
      </c>
      <c r="I49" s="134">
        <f>+Actuals!F145</f>
        <v>332240.14</v>
      </c>
      <c r="J49" s="133">
        <f>+Actuals!G145</f>
        <v>534380</v>
      </c>
      <c r="K49" s="134">
        <f>+Actuals!H145</f>
        <v>959212.1</v>
      </c>
      <c r="L49" s="133">
        <f>+Actuals!I145</f>
        <v>27924</v>
      </c>
      <c r="M49" s="134">
        <f>+Actuals!J145</f>
        <v>-1472872.89</v>
      </c>
      <c r="N49" s="133">
        <f>+Actuals!K145</f>
        <v>8032</v>
      </c>
      <c r="O49" s="134">
        <f>+Actuals!L145</f>
        <v>1537016.44</v>
      </c>
      <c r="P49" s="133">
        <f>+Actuals!M145</f>
        <v>-3181</v>
      </c>
      <c r="Q49" s="134">
        <f>+Actuals!N145</f>
        <v>-5709.8950000000004</v>
      </c>
      <c r="R49" s="133">
        <f>+Actuals!O145</f>
        <v>-6540</v>
      </c>
      <c r="S49" s="134">
        <f>+Actuals!P145</f>
        <v>-11739.3</v>
      </c>
      <c r="T49" s="133">
        <f>+Actuals!Q145</f>
        <v>-5000</v>
      </c>
      <c r="U49" s="134">
        <f>+Actuals!R145</f>
        <v>-8975</v>
      </c>
      <c r="V49" s="133">
        <f>+Actuals!S145</f>
        <v>4496</v>
      </c>
      <c r="W49" s="134">
        <f>+Actuals!T145</f>
        <v>8070.32</v>
      </c>
      <c r="X49" s="133">
        <f>+Actuals!U145</f>
        <v>-11718</v>
      </c>
      <c r="Y49" s="134">
        <f>+Actuals!V145</f>
        <v>-21033.81</v>
      </c>
      <c r="Z49" s="133">
        <f>+Actuals!W145</f>
        <v>0</v>
      </c>
      <c r="AA49" s="134">
        <f>+Actuals!X145</f>
        <v>0</v>
      </c>
      <c r="AB49" s="133">
        <f>+Actuals!Y145</f>
        <v>25000</v>
      </c>
      <c r="AC49" s="134">
        <f>+Actuals!Z145</f>
        <v>44875</v>
      </c>
      <c r="AD49" s="133">
        <f>+Actuals!AA185</f>
        <v>-25000</v>
      </c>
      <c r="AE49" s="134">
        <f>+Actuals!AB185</f>
        <v>-44875</v>
      </c>
      <c r="AF49" s="133">
        <f>+Actuals!AC185</f>
        <v>0</v>
      </c>
      <c r="AG49" s="134">
        <f>+Actuals!AD185</f>
        <v>0</v>
      </c>
      <c r="AH49" s="133">
        <f>+Actuals!AE185</f>
        <v>25000</v>
      </c>
      <c r="AI49" s="134">
        <f>+Actuals!AF185</f>
        <v>44875</v>
      </c>
      <c r="AJ49" s="133">
        <f>+Actuals!AG185</f>
        <v>0</v>
      </c>
      <c r="AK49" s="134">
        <f>+Actuals!AH185</f>
        <v>0</v>
      </c>
      <c r="AL49" s="133">
        <f>+Actuals!AI185</f>
        <v>0</v>
      </c>
      <c r="AM49" s="134">
        <f>+Actuals!AJ185</f>
        <v>0</v>
      </c>
      <c r="AN49" s="133">
        <f>+Actuals!AK185</f>
        <v>0</v>
      </c>
      <c r="AO49" s="134">
        <f>+Actuals!AL185</f>
        <v>0</v>
      </c>
      <c r="AP49" s="133">
        <f>+Actuals!AM185</f>
        <v>0</v>
      </c>
      <c r="AQ49" s="134">
        <f>+Actuals!AN185</f>
        <v>0</v>
      </c>
      <c r="AR49" s="133">
        <f>+Actuals!AO185</f>
        <v>0</v>
      </c>
      <c r="AS49" s="134">
        <f>+Actuals!AP185</f>
        <v>0</v>
      </c>
      <c r="AT49" s="133">
        <f>+Actuals!AQ185</f>
        <v>0</v>
      </c>
      <c r="AU49" s="134">
        <f>+Actuals!AR185</f>
        <v>0</v>
      </c>
    </row>
    <row r="50" spans="1:47" x14ac:dyDescent="0.25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8"/>
        <v>-212651</v>
      </c>
      <c r="E51" s="38">
        <f t="shared" si="28"/>
        <v>-381708.5500000001</v>
      </c>
      <c r="F51" s="60">
        <f>'TIE-OUT'!F51+RECLASS!F51</f>
        <v>0</v>
      </c>
      <c r="G51" s="38">
        <f>'TIE-OUT'!G51+RECLASS!G51</f>
        <v>0</v>
      </c>
      <c r="H51" s="133">
        <f>+Actuals!E146</f>
        <v>-337997</v>
      </c>
      <c r="I51" s="134">
        <f>+Actuals!F146</f>
        <v>-606704.62</v>
      </c>
      <c r="J51" s="133">
        <f>+Actuals!G146</f>
        <v>-1698</v>
      </c>
      <c r="K51" s="134">
        <f>+Actuals!H146</f>
        <v>-3047.91</v>
      </c>
      <c r="L51" s="133">
        <f>+Actuals!I146</f>
        <v>-3704</v>
      </c>
      <c r="M51" s="134">
        <f>+Actuals!J146</f>
        <v>-6648.68</v>
      </c>
      <c r="N51" s="133">
        <f>+Actuals!K146</f>
        <v>0</v>
      </c>
      <c r="O51" s="134">
        <f>+Actuals!L146</f>
        <v>0</v>
      </c>
      <c r="P51" s="133">
        <f>+Actuals!M146</f>
        <v>0</v>
      </c>
      <c r="Q51" s="134">
        <f>+Actuals!N146</f>
        <v>0</v>
      </c>
      <c r="R51" s="133">
        <f>+Actuals!O146</f>
        <v>19</v>
      </c>
      <c r="S51" s="134">
        <f>+Actuals!P146</f>
        <v>34.104999999999997</v>
      </c>
      <c r="T51" s="133">
        <f>+Actuals!Q146</f>
        <v>0</v>
      </c>
      <c r="U51" s="134">
        <f>+Actuals!R146</f>
        <v>0</v>
      </c>
      <c r="V51" s="133">
        <f>+Actuals!S146</f>
        <v>139381</v>
      </c>
      <c r="W51" s="134">
        <f>+Actuals!T146</f>
        <v>250188.89499999999</v>
      </c>
      <c r="X51" s="133">
        <f>+Actuals!U146</f>
        <v>-8652</v>
      </c>
      <c r="Y51" s="134">
        <f>+Actuals!V146</f>
        <v>-15530.34</v>
      </c>
      <c r="Z51" s="133">
        <f>+Actuals!W146</f>
        <v>0</v>
      </c>
      <c r="AA51" s="134">
        <f>+Actuals!X146</f>
        <v>0</v>
      </c>
      <c r="AB51" s="133">
        <f>+Actuals!Y146</f>
        <v>0</v>
      </c>
      <c r="AC51" s="134">
        <f>+Actuals!Z146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  <c r="AL51" s="133">
        <f>+Actuals!AI186</f>
        <v>0</v>
      </c>
      <c r="AM51" s="134">
        <f>+Actuals!AJ186</f>
        <v>0</v>
      </c>
      <c r="AN51" s="133">
        <f>+Actuals!AK186</f>
        <v>0</v>
      </c>
      <c r="AO51" s="134">
        <f>+Actuals!AL186</f>
        <v>0</v>
      </c>
      <c r="AP51" s="133">
        <f>+Actuals!AM186</f>
        <v>0</v>
      </c>
      <c r="AQ51" s="134">
        <f>+Actuals!AN186</f>
        <v>0</v>
      </c>
      <c r="AR51" s="133">
        <f>+Actuals!AO186</f>
        <v>0</v>
      </c>
      <c r="AS51" s="134">
        <f>+Actuals!AP186</f>
        <v>0</v>
      </c>
      <c r="AT51" s="133">
        <f>+Actuals!AQ186</f>
        <v>0</v>
      </c>
      <c r="AU51" s="134">
        <f>+Actuals!AR186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-13277425</v>
      </c>
      <c r="E54" s="38">
        <f>SUM(G54,I54,K54,M54,O54,Q54,S54,U54,W54,Y54,AA54,AC54,AE54,AG54,AI54,AK54,AM54,AO54,AQ54,AS54,AU54)</f>
        <v>-863495.22</v>
      </c>
      <c r="F54" s="64">
        <f>'TIE-OUT'!F54+RECLASS!F54</f>
        <v>0</v>
      </c>
      <c r="G54" s="68">
        <f>'TIE-OUT'!G54+RECLASS!G54</f>
        <v>0</v>
      </c>
      <c r="H54" s="133">
        <f>+Actuals!E147</f>
        <v>-7786218</v>
      </c>
      <c r="I54" s="134">
        <f>+Actuals!F147</f>
        <v>-943765.71</v>
      </c>
      <c r="J54" s="133">
        <f>+Actuals!G147</f>
        <v>-4825601</v>
      </c>
      <c r="K54" s="134">
        <f>+Actuals!H147</f>
        <v>95300.44</v>
      </c>
      <c r="L54" s="133">
        <f>+Actuals!I147</f>
        <v>-647955</v>
      </c>
      <c r="M54" s="134">
        <f>+Actuals!J147</f>
        <v>-6937.09</v>
      </c>
      <c r="N54" s="133">
        <f>+Actuals!K147</f>
        <v>0</v>
      </c>
      <c r="O54" s="134">
        <f>+Actuals!L147</f>
        <v>0</v>
      </c>
      <c r="P54" s="133">
        <f>+Actuals!M147</f>
        <v>0</v>
      </c>
      <c r="Q54" s="134">
        <f>+Actuals!N147</f>
        <v>0</v>
      </c>
      <c r="R54" s="133">
        <f>+Actuals!O147</f>
        <v>950</v>
      </c>
      <c r="S54" s="134">
        <f>+Actuals!P147</f>
        <v>199.5</v>
      </c>
      <c r="T54" s="133">
        <f>+Actuals!Q147</f>
        <v>-16064</v>
      </c>
      <c r="U54" s="134">
        <f>+Actuals!R147</f>
        <v>-3258.58</v>
      </c>
      <c r="V54" s="133">
        <f>+Actuals!S147</f>
        <v>-2537</v>
      </c>
      <c r="W54" s="134">
        <f>+Actuals!T147</f>
        <v>-430.9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-4219.01</v>
      </c>
      <c r="AB54" s="133">
        <f>+Actuals!Y147</f>
        <v>0</v>
      </c>
      <c r="AC54" s="134">
        <f>+Actuals!Z147</f>
        <v>0</v>
      </c>
      <c r="AD54" s="133">
        <f>+Actuals!AA187</f>
        <v>0</v>
      </c>
      <c r="AE54" s="134">
        <f>+Actuals!AB187</f>
        <v>-383.87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  <c r="AL54" s="133">
        <f>+Actuals!AI187</f>
        <v>0</v>
      </c>
      <c r="AM54" s="134">
        <f>+Actuals!AJ187</f>
        <v>0</v>
      </c>
      <c r="AN54" s="133">
        <f>+Actuals!AK187</f>
        <v>0</v>
      </c>
      <c r="AO54" s="134">
        <f>+Actuals!AL187</f>
        <v>0</v>
      </c>
      <c r="AP54" s="133">
        <f>+Actuals!AM187</f>
        <v>0</v>
      </c>
      <c r="AQ54" s="134">
        <f>+Actuals!AN187</f>
        <v>0</v>
      </c>
      <c r="AR54" s="133">
        <f>+Actuals!AO187</f>
        <v>0</v>
      </c>
      <c r="AS54" s="134">
        <f>+Actuals!AP187</f>
        <v>0</v>
      </c>
      <c r="AT54" s="133">
        <f>+Actuals!AQ187</f>
        <v>0</v>
      </c>
      <c r="AU54" s="134">
        <f>+Actuals!AR187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-2122112.1599999997</v>
      </c>
      <c r="F55" s="81">
        <f>'TIE-OUT'!F55+RECLASS!F55</f>
        <v>0</v>
      </c>
      <c r="G55" s="82">
        <f>'TIE-OUT'!G55+RECLASS!G55</f>
        <v>235669.68</v>
      </c>
      <c r="H55" s="133">
        <f>+Actuals!E148</f>
        <v>0</v>
      </c>
      <c r="I55" s="134">
        <f>+Actuals!F148</f>
        <v>-971138.62</v>
      </c>
      <c r="J55" s="133">
        <f>+Actuals!G148</f>
        <v>0</v>
      </c>
      <c r="K55" s="134">
        <f>+Actuals!H148</f>
        <v>-1443566.2</v>
      </c>
      <c r="L55" s="133">
        <f>+Actuals!I148</f>
        <v>0</v>
      </c>
      <c r="M55" s="134">
        <f>+Actuals!J148</f>
        <v>0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0</v>
      </c>
      <c r="R55" s="133">
        <f>+Actuals!O148</f>
        <v>0</v>
      </c>
      <c r="S55" s="134">
        <f>+Actuals!P148</f>
        <v>55102.98</v>
      </c>
      <c r="T55" s="133">
        <f>+Actuals!Q148</f>
        <v>0</v>
      </c>
      <c r="U55" s="134">
        <f>+Actuals!R148</f>
        <v>1819.99</v>
      </c>
      <c r="V55" s="133">
        <f>+Actuals!S148</f>
        <v>0</v>
      </c>
      <c r="W55" s="134">
        <f>+Actuals!T148</f>
        <v>0.01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+Actuals!Y148</f>
        <v>0</v>
      </c>
      <c r="AC55" s="134">
        <f>+Actuals!Z148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  <c r="AL55" s="133">
        <f>+Actuals!AI188</f>
        <v>0</v>
      </c>
      <c r="AM55" s="134">
        <f>+Actuals!AJ188</f>
        <v>0</v>
      </c>
      <c r="AN55" s="133">
        <f>+Actuals!AK188</f>
        <v>0</v>
      </c>
      <c r="AO55" s="134">
        <f>+Actuals!AL188</f>
        <v>0</v>
      </c>
      <c r="AP55" s="133">
        <f>+Actuals!AM188</f>
        <v>0</v>
      </c>
      <c r="AQ55" s="134">
        <f>+Actuals!AN188</f>
        <v>0</v>
      </c>
      <c r="AR55" s="133">
        <f>+Actuals!AO188</f>
        <v>0</v>
      </c>
      <c r="AS55" s="134">
        <f>+Actuals!AP188</f>
        <v>0</v>
      </c>
      <c r="AT55" s="133">
        <f>+Actuals!AQ188</f>
        <v>0</v>
      </c>
      <c r="AU55" s="134">
        <f>+Actuals!AR188</f>
        <v>0</v>
      </c>
    </row>
    <row r="56" spans="1:47" x14ac:dyDescent="0.25">
      <c r="A56" s="9"/>
      <c r="B56" s="7" t="s">
        <v>61</v>
      </c>
      <c r="C56" s="6"/>
      <c r="D56" s="61">
        <f t="shared" ref="D56:I56" si="29">SUM(D54:D55)</f>
        <v>-13277425</v>
      </c>
      <c r="E56" s="39">
        <f t="shared" si="29"/>
        <v>-2985607.38</v>
      </c>
      <c r="F56" s="61">
        <f t="shared" si="29"/>
        <v>0</v>
      </c>
      <c r="G56" s="39">
        <f t="shared" si="29"/>
        <v>235669.68</v>
      </c>
      <c r="H56" s="61">
        <f t="shared" si="29"/>
        <v>-7786218</v>
      </c>
      <c r="I56" s="39">
        <f t="shared" si="29"/>
        <v>-1914904.33</v>
      </c>
      <c r="J56" s="61">
        <f t="shared" ref="J56:AE56" si="30">SUM(J54:J55)</f>
        <v>-4825601</v>
      </c>
      <c r="K56" s="39">
        <f t="shared" si="30"/>
        <v>-1348265.76</v>
      </c>
      <c r="L56" s="61">
        <f t="shared" si="30"/>
        <v>-647955</v>
      </c>
      <c r="M56" s="39">
        <f t="shared" si="30"/>
        <v>-6937.09</v>
      </c>
      <c r="N56" s="61">
        <f t="shared" si="30"/>
        <v>0</v>
      </c>
      <c r="O56" s="39">
        <f t="shared" si="30"/>
        <v>0</v>
      </c>
      <c r="P56" s="61">
        <f t="shared" si="30"/>
        <v>0</v>
      </c>
      <c r="Q56" s="39">
        <f t="shared" si="30"/>
        <v>0</v>
      </c>
      <c r="R56" s="61">
        <f t="shared" si="30"/>
        <v>950</v>
      </c>
      <c r="S56" s="39">
        <f t="shared" si="30"/>
        <v>55302.48</v>
      </c>
      <c r="T56" s="61">
        <f t="shared" si="30"/>
        <v>-16064</v>
      </c>
      <c r="U56" s="39">
        <f t="shared" si="30"/>
        <v>-1438.59</v>
      </c>
      <c r="V56" s="61">
        <f t="shared" si="30"/>
        <v>-2537</v>
      </c>
      <c r="W56" s="39">
        <f t="shared" si="30"/>
        <v>-430.89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-4219.01</v>
      </c>
      <c r="AB56" s="61">
        <f t="shared" si="30"/>
        <v>0</v>
      </c>
      <c r="AC56" s="39">
        <f t="shared" si="30"/>
        <v>0</v>
      </c>
      <c r="AD56" s="61">
        <f t="shared" si="30"/>
        <v>0</v>
      </c>
      <c r="AE56" s="39">
        <f t="shared" si="30"/>
        <v>-383.87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+Actuals!Y149</f>
        <v>0</v>
      </c>
      <c r="AC59" s="134">
        <f>+Actuals!Z149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  <c r="AL59" s="133">
        <f>+Actuals!AI189</f>
        <v>0</v>
      </c>
      <c r="AM59" s="134">
        <f>+Actuals!AJ189</f>
        <v>0</v>
      </c>
      <c r="AN59" s="133">
        <f>+Actuals!AK189</f>
        <v>0</v>
      </c>
      <c r="AO59" s="134">
        <f>+Actuals!AL189</f>
        <v>0</v>
      </c>
      <c r="AP59" s="133">
        <f>+Actuals!AM189</f>
        <v>0</v>
      </c>
      <c r="AQ59" s="134">
        <f>+Actuals!AN189</f>
        <v>0</v>
      </c>
      <c r="AR59" s="133">
        <f>+Actuals!AO189</f>
        <v>0</v>
      </c>
      <c r="AS59" s="134">
        <f>+Actuals!AP189</f>
        <v>0</v>
      </c>
      <c r="AT59" s="133">
        <f>+Actuals!AQ189</f>
        <v>0</v>
      </c>
      <c r="AU59" s="134">
        <f>+Actuals!AR189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+Actuals!Y150</f>
        <v>0</v>
      </c>
      <c r="AC60" s="134">
        <f>+Actuals!Z150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  <c r="AL60" s="133">
        <f>+Actuals!AI190</f>
        <v>0</v>
      </c>
      <c r="AM60" s="134">
        <f>+Actuals!AJ190</f>
        <v>0</v>
      </c>
      <c r="AN60" s="133">
        <f>+Actuals!AK190</f>
        <v>0</v>
      </c>
      <c r="AO60" s="134">
        <f>+Actuals!AL190</f>
        <v>0</v>
      </c>
      <c r="AP60" s="133">
        <f>+Actuals!AM190</f>
        <v>0</v>
      </c>
      <c r="AQ60" s="134">
        <f>+Actuals!AN190</f>
        <v>0</v>
      </c>
      <c r="AR60" s="133">
        <f>+Actuals!AO190</f>
        <v>0</v>
      </c>
      <c r="AS60" s="134">
        <f>+Actuals!AP190</f>
        <v>0</v>
      </c>
      <c r="AT60" s="133">
        <f>+Actuals!AQ190</f>
        <v>0</v>
      </c>
      <c r="AU60" s="134">
        <f>+Actuals!AR190</f>
        <v>0</v>
      </c>
    </row>
    <row r="61" spans="1:47" x14ac:dyDescent="0.25">
      <c r="A61" s="9"/>
      <c r="B61" s="62" t="s">
        <v>65</v>
      </c>
      <c r="C61" s="6"/>
      <c r="D61" s="61">
        <f t="shared" ref="D61:I61" si="33">SUM(D59:D60)</f>
        <v>0</v>
      </c>
      <c r="E61" s="39">
        <f t="shared" si="33"/>
        <v>0</v>
      </c>
      <c r="F61" s="61">
        <f t="shared" si="33"/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ref="J61:AE61" si="34">SUM(J59:J60)</f>
        <v>0</v>
      </c>
      <c r="K61" s="39">
        <f t="shared" si="34"/>
        <v>0</v>
      </c>
      <c r="L61" s="61">
        <f t="shared" si="34"/>
        <v>0</v>
      </c>
      <c r="M61" s="39">
        <f t="shared" si="34"/>
        <v>0</v>
      </c>
      <c r="N61" s="61">
        <f t="shared" si="34"/>
        <v>0</v>
      </c>
      <c r="O61" s="39">
        <f t="shared" si="34"/>
        <v>0</v>
      </c>
      <c r="P61" s="61">
        <f t="shared" si="34"/>
        <v>0</v>
      </c>
      <c r="Q61" s="39">
        <f t="shared" si="34"/>
        <v>0</v>
      </c>
      <c r="R61" s="61">
        <f t="shared" si="34"/>
        <v>0</v>
      </c>
      <c r="S61" s="39">
        <f t="shared" si="34"/>
        <v>0</v>
      </c>
      <c r="T61" s="61">
        <f t="shared" si="34"/>
        <v>0</v>
      </c>
      <c r="U61" s="39">
        <f t="shared" si="34"/>
        <v>0</v>
      </c>
      <c r="V61" s="61">
        <f t="shared" si="34"/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+Actuals!Y151</f>
        <v>0</v>
      </c>
      <c r="AC64" s="134">
        <f>+Actuals!Z151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  <c r="AL64" s="133">
        <f>+Actuals!AI191</f>
        <v>0</v>
      </c>
      <c r="AM64" s="134">
        <f>+Actuals!AJ191</f>
        <v>0</v>
      </c>
      <c r="AN64" s="133">
        <f>+Actuals!AK191</f>
        <v>0</v>
      </c>
      <c r="AO64" s="134">
        <f>+Actuals!AL191</f>
        <v>0</v>
      </c>
      <c r="AP64" s="133">
        <f>+Actuals!AM191</f>
        <v>0</v>
      </c>
      <c r="AQ64" s="134">
        <f>+Actuals!AN191</f>
        <v>0</v>
      </c>
      <c r="AR64" s="133">
        <f>+Actuals!AO191</f>
        <v>0</v>
      </c>
      <c r="AS64" s="134">
        <f>+Actuals!AP191</f>
        <v>0</v>
      </c>
      <c r="AT64" s="133">
        <f>+Actuals!AQ191</f>
        <v>0</v>
      </c>
      <c r="AU64" s="134">
        <f>+Actuals!AR191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+Actuals!Y152</f>
        <v>0</v>
      </c>
      <c r="AC65" s="134">
        <f>+Actuals!Z152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  <c r="AL65" s="133">
        <f>+Actuals!AI192</f>
        <v>0</v>
      </c>
      <c r="AM65" s="134">
        <f>+Actuals!AJ192</f>
        <v>0</v>
      </c>
      <c r="AN65" s="133">
        <f>+Actuals!AK192</f>
        <v>0</v>
      </c>
      <c r="AO65" s="134">
        <f>+Actuals!AL192</f>
        <v>0</v>
      </c>
      <c r="AP65" s="133">
        <f>+Actuals!AM192</f>
        <v>0</v>
      </c>
      <c r="AQ65" s="134">
        <f>+Actuals!AN192</f>
        <v>0</v>
      </c>
      <c r="AR65" s="133">
        <f>+Actuals!AO192</f>
        <v>0</v>
      </c>
      <c r="AS65" s="134">
        <f>+Actuals!AP192</f>
        <v>0</v>
      </c>
      <c r="AT65" s="133">
        <f>+Actuals!AQ192</f>
        <v>0</v>
      </c>
      <c r="AU65" s="134">
        <f>+Actuals!AR192</f>
        <v>0</v>
      </c>
    </row>
    <row r="66" spans="1:47" x14ac:dyDescent="0.25">
      <c r="A66" s="9"/>
      <c r="B66" s="7" t="s">
        <v>68</v>
      </c>
      <c r="C66" s="6"/>
      <c r="D66" s="61">
        <f t="shared" ref="D66:I66" si="37">SUM(D64:D65)</f>
        <v>0</v>
      </c>
      <c r="E66" s="39">
        <f t="shared" si="37"/>
        <v>0</v>
      </c>
      <c r="F66" s="61">
        <f t="shared" si="37"/>
        <v>0</v>
      </c>
      <c r="G66" s="39">
        <f t="shared" si="37"/>
        <v>0</v>
      </c>
      <c r="H66" s="61">
        <f t="shared" si="37"/>
        <v>0</v>
      </c>
      <c r="I66" s="39">
        <f t="shared" si="37"/>
        <v>0</v>
      </c>
      <c r="J66" s="61">
        <f t="shared" ref="J66:AE66" si="38">SUM(J64:J65)</f>
        <v>0</v>
      </c>
      <c r="K66" s="39">
        <f t="shared" si="38"/>
        <v>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si="38"/>
        <v>0</v>
      </c>
      <c r="V66" s="61">
        <f t="shared" si="38"/>
        <v>0</v>
      </c>
      <c r="W66" s="39">
        <f t="shared" si="38"/>
        <v>0</v>
      </c>
      <c r="X66" s="61">
        <f t="shared" si="38"/>
        <v>0</v>
      </c>
      <c r="Y66" s="39">
        <f t="shared" si="38"/>
        <v>0</v>
      </c>
      <c r="Z66" s="61">
        <f t="shared" si="38"/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1012601</v>
      </c>
      <c r="F70" s="64">
        <f>'TIE-OUT'!F70+RECLASS!F70</f>
        <v>0</v>
      </c>
      <c r="G70" s="68">
        <f>'TIE-OUT'!G70+RECLASS!G70</f>
        <v>1012601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+Actuals!Y153</f>
        <v>0</v>
      </c>
      <c r="AC70" s="134">
        <f>+Actuals!Z153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  <c r="AL70" s="133">
        <f>+Actuals!AI193</f>
        <v>0</v>
      </c>
      <c r="AM70" s="134">
        <f>+Actuals!AJ193</f>
        <v>0</v>
      </c>
      <c r="AN70" s="133">
        <f>+Actuals!AK193</f>
        <v>0</v>
      </c>
      <c r="AO70" s="134">
        <f>+Actuals!AL193</f>
        <v>0</v>
      </c>
      <c r="AP70" s="133">
        <f>+Actuals!AM193</f>
        <v>0</v>
      </c>
      <c r="AQ70" s="134">
        <f>+Actuals!AN193</f>
        <v>0</v>
      </c>
      <c r="AR70" s="133">
        <f>+Actuals!AO193</f>
        <v>0</v>
      </c>
      <c r="AS70" s="134">
        <f>+Actuals!AP193</f>
        <v>0</v>
      </c>
      <c r="AT70" s="133">
        <f>+Actuals!AQ193</f>
        <v>0</v>
      </c>
      <c r="AU70" s="134">
        <f>+Actuals!AR193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+Actuals!Y154</f>
        <v>0</v>
      </c>
      <c r="AC71" s="134">
        <f>+Actuals!Z154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  <c r="AL71" s="133">
        <f>+Actuals!AI194</f>
        <v>0</v>
      </c>
      <c r="AM71" s="134">
        <f>+Actuals!AJ194</f>
        <v>0</v>
      </c>
      <c r="AN71" s="133">
        <f>+Actuals!AK194</f>
        <v>0</v>
      </c>
      <c r="AO71" s="134">
        <f>+Actuals!AL194</f>
        <v>0</v>
      </c>
      <c r="AP71" s="133">
        <f>+Actuals!AM194</f>
        <v>0</v>
      </c>
      <c r="AQ71" s="134">
        <f>+Actuals!AN194</f>
        <v>0</v>
      </c>
      <c r="AR71" s="133">
        <f>+Actuals!AO194</f>
        <v>0</v>
      </c>
      <c r="AS71" s="134">
        <f>+Actuals!AP194</f>
        <v>0</v>
      </c>
      <c r="AT71" s="133">
        <f>+Actuals!AQ194</f>
        <v>0</v>
      </c>
      <c r="AU71" s="134">
        <f>+Actuals!AR194</f>
        <v>0</v>
      </c>
    </row>
    <row r="72" spans="1:47" x14ac:dyDescent="0.25">
      <c r="A72" s="9"/>
      <c r="B72" s="3"/>
      <c r="C72" s="55" t="s">
        <v>73</v>
      </c>
      <c r="D72" s="61">
        <f t="shared" ref="D72:I72" si="41">SUM(D70:D71)</f>
        <v>0</v>
      </c>
      <c r="E72" s="39">
        <f t="shared" si="41"/>
        <v>1012601</v>
      </c>
      <c r="F72" s="61">
        <f t="shared" si="41"/>
        <v>0</v>
      </c>
      <c r="G72" s="39">
        <f t="shared" si="41"/>
        <v>1012601</v>
      </c>
      <c r="H72" s="61">
        <f t="shared" si="41"/>
        <v>0</v>
      </c>
      <c r="I72" s="39">
        <f t="shared" si="41"/>
        <v>0</v>
      </c>
      <c r="J72" s="61">
        <f t="shared" ref="J72:AE72" si="42">SUM(J70:J71)</f>
        <v>0</v>
      </c>
      <c r="K72" s="39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si="42"/>
        <v>0</v>
      </c>
      <c r="V72" s="61">
        <f t="shared" si="42"/>
        <v>0</v>
      </c>
      <c r="W72" s="39">
        <f t="shared" si="42"/>
        <v>0</v>
      </c>
      <c r="X72" s="61">
        <f t="shared" si="42"/>
        <v>0</v>
      </c>
      <c r="Y72" s="39">
        <f t="shared" si="42"/>
        <v>0</v>
      </c>
      <c r="Z72" s="61">
        <f t="shared" si="42"/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+Actuals!Y155</f>
        <v>0</v>
      </c>
      <c r="AC73" s="134">
        <f>+Actuals!Z155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  <c r="AL73" s="133">
        <f>+Actuals!AI195</f>
        <v>0</v>
      </c>
      <c r="AM73" s="134">
        <f>+Actuals!AJ195</f>
        <v>0</v>
      </c>
      <c r="AN73" s="133">
        <f>+Actuals!AK195</f>
        <v>0</v>
      </c>
      <c r="AO73" s="134">
        <f>+Actuals!AL195</f>
        <v>0</v>
      </c>
      <c r="AP73" s="133">
        <f>+Actuals!AM195</f>
        <v>0</v>
      </c>
      <c r="AQ73" s="134">
        <f>+Actuals!AN195</f>
        <v>0</v>
      </c>
      <c r="AR73" s="133">
        <f>+Actuals!AO195</f>
        <v>0</v>
      </c>
      <c r="AS73" s="134">
        <f>+Actuals!AP195</f>
        <v>0</v>
      </c>
      <c r="AT73" s="133">
        <f>+Actuals!AQ195</f>
        <v>0</v>
      </c>
      <c r="AU73" s="134">
        <f>+Actuals!AR195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-763897.26</v>
      </c>
      <c r="F74" s="60">
        <f>'TIE-OUT'!F74+RECLASS!F74</f>
        <v>0</v>
      </c>
      <c r="G74" s="60">
        <f>'TIE-OUT'!G74+RECLASS!G74</f>
        <v>-763897.26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72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+Actuals!Y156</f>
        <v>0</v>
      </c>
      <c r="AC74" s="134">
        <f>+Actuals!Z156</f>
        <v>0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  <c r="AL74" s="133">
        <f>+Actuals!AI196</f>
        <v>0</v>
      </c>
      <c r="AM74" s="134">
        <f>+Actuals!AJ196</f>
        <v>0</v>
      </c>
      <c r="AN74" s="133">
        <f>+Actuals!AK196</f>
        <v>0</v>
      </c>
      <c r="AO74" s="134">
        <f>+Actuals!AL196</f>
        <v>0</v>
      </c>
      <c r="AP74" s="133">
        <f>+Actuals!AM196</f>
        <v>0</v>
      </c>
      <c r="AQ74" s="134">
        <f>+Actuals!AN196</f>
        <v>0</v>
      </c>
      <c r="AR74" s="133">
        <f>+Actuals!AO196</f>
        <v>0</v>
      </c>
      <c r="AS74" s="134">
        <f>+Actuals!AP196</f>
        <v>0</v>
      </c>
      <c r="AT74" s="133">
        <f>+Actuals!AQ196</f>
        <v>0</v>
      </c>
      <c r="AU74" s="134">
        <f>+Actuals!AR196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57200</v>
      </c>
      <c r="F75" s="60">
        <f>'TIE-OUT'!F75+RECLASS!F75</f>
        <v>0</v>
      </c>
      <c r="G75" s="60">
        <f>'TIE-OUT'!G75+RECLASS!G75</f>
        <v>57200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+Actuals!Y157</f>
        <v>0</v>
      </c>
      <c r="AC75" s="134">
        <f>+Actuals!Z157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  <c r="AL75" s="133">
        <f>+Actuals!AI197</f>
        <v>0</v>
      </c>
      <c r="AM75" s="134">
        <f>+Actuals!AJ197</f>
        <v>0</v>
      </c>
      <c r="AN75" s="133">
        <f>+Actuals!AK197</f>
        <v>0</v>
      </c>
      <c r="AO75" s="134">
        <f>+Actuals!AL197</f>
        <v>0</v>
      </c>
      <c r="AP75" s="133">
        <f>+Actuals!AM197</f>
        <v>0</v>
      </c>
      <c r="AQ75" s="134">
        <f>+Actuals!AN197</f>
        <v>0</v>
      </c>
      <c r="AR75" s="133">
        <f>+Actuals!AO197</f>
        <v>0</v>
      </c>
      <c r="AS75" s="134">
        <f>+Actuals!AP197</f>
        <v>0</v>
      </c>
      <c r="AT75" s="133">
        <f>+Actuals!AQ197</f>
        <v>0</v>
      </c>
      <c r="AU75" s="134">
        <f>+Actuals!AR197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-4337.63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0</v>
      </c>
      <c r="J76" s="133">
        <f>+Actuals!G158</f>
        <v>0</v>
      </c>
      <c r="K76" s="134">
        <f>+Actuals!H158</f>
        <v>-562.73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0</v>
      </c>
      <c r="V76" s="133">
        <f>+Actuals!S158</f>
        <v>0</v>
      </c>
      <c r="W76" s="134">
        <f>+Actuals!T158</f>
        <v>-3774.9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+Actuals!Y158</f>
        <v>0</v>
      </c>
      <c r="AC76" s="134">
        <f>+Actuals!Z158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  <c r="AL76" s="133">
        <f>+Actuals!AI198</f>
        <v>0</v>
      </c>
      <c r="AM76" s="134">
        <f>+Actuals!AJ198</f>
        <v>0</v>
      </c>
      <c r="AN76" s="133">
        <f>+Actuals!AK198</f>
        <v>0</v>
      </c>
      <c r="AO76" s="134">
        <f>+Actuals!AL198</f>
        <v>0</v>
      </c>
      <c r="AP76" s="133">
        <f>+Actuals!AM198</f>
        <v>0</v>
      </c>
      <c r="AQ76" s="134">
        <f>+Actuals!AN198</f>
        <v>0</v>
      </c>
      <c r="AR76" s="133">
        <f>+Actuals!AO198</f>
        <v>0</v>
      </c>
      <c r="AS76" s="134">
        <f>+Actuals!AP198</f>
        <v>0</v>
      </c>
      <c r="AT76" s="133">
        <f>+Actuals!AQ198</f>
        <v>0</v>
      </c>
      <c r="AU76" s="134">
        <f>+Actuals!AR198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+Actuals!Y159</f>
        <v>0</v>
      </c>
      <c r="AC77" s="134">
        <f>+Actuals!Z159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  <c r="AL77" s="133">
        <f>+Actuals!AI199</f>
        <v>0</v>
      </c>
      <c r="AM77" s="134">
        <f>+Actuals!AJ199</f>
        <v>0</v>
      </c>
      <c r="AN77" s="133">
        <f>+Actuals!AK199</f>
        <v>0</v>
      </c>
      <c r="AO77" s="134">
        <f>+Actuals!AL199</f>
        <v>0</v>
      </c>
      <c r="AP77" s="133">
        <f>+Actuals!AM199</f>
        <v>0</v>
      </c>
      <c r="AQ77" s="134">
        <f>+Actuals!AN199</f>
        <v>0</v>
      </c>
      <c r="AR77" s="133">
        <f>+Actuals!AO199</f>
        <v>0</v>
      </c>
      <c r="AS77" s="134">
        <f>+Actuals!AP199</f>
        <v>0</v>
      </c>
      <c r="AT77" s="133">
        <f>+Actuals!AQ199</f>
        <v>0</v>
      </c>
      <c r="AU77" s="134">
        <f>+Actuals!AR199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+Actuals!Y160</f>
        <v>0</v>
      </c>
      <c r="AC78" s="134">
        <f>+Actuals!Z160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  <c r="AL78" s="133">
        <f>+Actuals!AI200</f>
        <v>0</v>
      </c>
      <c r="AM78" s="134">
        <f>+Actuals!AJ200</f>
        <v>0</v>
      </c>
      <c r="AN78" s="133">
        <f>+Actuals!AK200</f>
        <v>0</v>
      </c>
      <c r="AO78" s="134">
        <f>+Actuals!AL200</f>
        <v>0</v>
      </c>
      <c r="AP78" s="133">
        <f>+Actuals!AM200</f>
        <v>0</v>
      </c>
      <c r="AQ78" s="134">
        <f>+Actuals!AN200</f>
        <v>0</v>
      </c>
      <c r="AR78" s="133">
        <f>+Actuals!AO200</f>
        <v>0</v>
      </c>
      <c r="AS78" s="134">
        <f>+Actuals!AP200</f>
        <v>0</v>
      </c>
      <c r="AT78" s="133">
        <f>+Actuals!AQ200</f>
        <v>0</v>
      </c>
      <c r="AU78" s="134">
        <f>+Actuals!AR200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+Actuals!Y161</f>
        <v>0</v>
      </c>
      <c r="AC79" s="134">
        <f>+Actuals!Z161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  <c r="AL79" s="133">
        <f>+Actuals!AI201</f>
        <v>0</v>
      </c>
      <c r="AM79" s="134">
        <f>+Actuals!AJ201</f>
        <v>0</v>
      </c>
      <c r="AN79" s="133">
        <f>+Actuals!AK201</f>
        <v>0</v>
      </c>
      <c r="AO79" s="134">
        <f>+Actuals!AL201</f>
        <v>0</v>
      </c>
      <c r="AP79" s="133">
        <f>+Actuals!AM201</f>
        <v>0</v>
      </c>
      <c r="AQ79" s="134">
        <f>+Actuals!AN201</f>
        <v>0</v>
      </c>
      <c r="AR79" s="133">
        <f>+Actuals!AO201</f>
        <v>0</v>
      </c>
      <c r="AS79" s="134">
        <f>+Actuals!AP201</f>
        <v>0</v>
      </c>
      <c r="AT79" s="133">
        <f>+Actuals!AQ201</f>
        <v>0</v>
      </c>
      <c r="AU79" s="134">
        <f>+Actuals!AR201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+Actuals!Y162</f>
        <v>0</v>
      </c>
      <c r="AC80" s="134">
        <f>+Actuals!Z162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  <c r="AL80" s="133">
        <f>+Actuals!AI202</f>
        <v>0</v>
      </c>
      <c r="AM80" s="134">
        <f>+Actuals!AJ202</f>
        <v>0</v>
      </c>
      <c r="AN80" s="133">
        <f>+Actuals!AK202</f>
        <v>0</v>
      </c>
      <c r="AO80" s="134">
        <f>+Actuals!AL202</f>
        <v>0</v>
      </c>
      <c r="AP80" s="133">
        <f>+Actuals!AM202</f>
        <v>0</v>
      </c>
      <c r="AQ80" s="134">
        <f>+Actuals!AN202</f>
        <v>0</v>
      </c>
      <c r="AR80" s="133">
        <f>+Actuals!AO202</f>
        <v>0</v>
      </c>
      <c r="AS80" s="134">
        <f>+Actuals!AP202</f>
        <v>0</v>
      </c>
      <c r="AT80" s="133">
        <f>+Actuals!AQ202</f>
        <v>0</v>
      </c>
      <c r="AU80" s="134">
        <f>+Actuals!AR202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875475.91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249550</v>
      </c>
      <c r="L81" s="133">
        <f>+Actuals!I163</f>
        <v>0</v>
      </c>
      <c r="M81" s="134">
        <f>+Actuals!J163</f>
        <v>5925.91</v>
      </c>
      <c r="N81" s="133">
        <f>+Actuals!K163</f>
        <v>0</v>
      </c>
      <c r="O81" s="134">
        <f>+Actuals!L163</f>
        <v>0</v>
      </c>
      <c r="P81" s="133">
        <f>+Actuals!M163</f>
        <v>0</v>
      </c>
      <c r="Q81" s="134">
        <f>+Actuals!N163</f>
        <v>0</v>
      </c>
      <c r="R81" s="133">
        <f>+Actuals!O163</f>
        <v>0</v>
      </c>
      <c r="S81" s="134">
        <f>+Actuals!P163</f>
        <v>0</v>
      </c>
      <c r="T81" s="133">
        <f>+Actuals!Q163</f>
        <v>0</v>
      </c>
      <c r="U81" s="134">
        <f>+Actuals!R163+620000</f>
        <v>620000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+Actuals!Y163</f>
        <v>0</v>
      </c>
      <c r="AC81" s="134">
        <f>+Actuals!Z163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  <c r="AL81" s="133">
        <f>+Actuals!AI203</f>
        <v>0</v>
      </c>
      <c r="AM81" s="134">
        <f>+Actuals!AJ203</f>
        <v>0</v>
      </c>
      <c r="AN81" s="133">
        <f>+Actuals!AK203</f>
        <v>0</v>
      </c>
      <c r="AO81" s="134">
        <f>+Actuals!AL203</f>
        <v>0</v>
      </c>
      <c r="AP81" s="133">
        <f>+Actuals!AM203</f>
        <v>0</v>
      </c>
      <c r="AQ81" s="134">
        <f>+Actuals!AN203</f>
        <v>0</v>
      </c>
      <c r="AR81" s="133">
        <f>+Actuals!AO203</f>
        <v>0</v>
      </c>
      <c r="AS81" s="134">
        <f>+Actuals!AP203</f>
        <v>0</v>
      </c>
      <c r="AT81" s="133">
        <f>+Actuals!AQ203</f>
        <v>0</v>
      </c>
      <c r="AU81" s="134">
        <f>+Actuals!AR203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128748.29999999469</v>
      </c>
      <c r="F82" s="92">
        <f>F16+F24+F29+F36+F43+F45+F47+F49</f>
        <v>0</v>
      </c>
      <c r="G82" s="93">
        <f>SUM(G72:G81)+G16+G24+G29+G36+G43+G45+G47+G49+G51+G56+G61+G66</f>
        <v>-10838915.51</v>
      </c>
      <c r="H82" s="92">
        <f>H16+H24+H29+H36+H43+H45+H47+H49</f>
        <v>0</v>
      </c>
      <c r="I82" s="166">
        <f>SUM(I72:I81)+I16+I24+I29+I36+I43+I45+I47+I49+I51+I56+I61+I66</f>
        <v>13305771.670000007</v>
      </c>
      <c r="J82" s="92">
        <f>J16+J24+J29+J36+J43+J45+J47+J49</f>
        <v>0</v>
      </c>
      <c r="K82" s="166">
        <f>SUM(K72:K81)+K16+K24+K29+K36+K43+K45+K47+K49+K51+K56+K61+K66</f>
        <v>-3526779.7800000003</v>
      </c>
      <c r="L82" s="92">
        <f>L16+L24+L29+L36+L43+L45+L47+L49</f>
        <v>0</v>
      </c>
      <c r="M82" s="93">
        <f>SUM(M72:M81)+M16+M24+M29+M36+M43+M45+M47+M49+M51+M56+M61+M66</f>
        <v>-1816819.895</v>
      </c>
      <c r="N82" s="92">
        <f>N16+N24+N29+N36+N43+N45+N47+N49</f>
        <v>0</v>
      </c>
      <c r="O82" s="93">
        <f>SUM(O72:O81)+O16+O24+O29+O36+O43+O45+O47+O49+O51+O56+O61+O66</f>
        <v>1406688.0829999999</v>
      </c>
      <c r="P82" s="92">
        <f>P16+P24+P29+P36+P43+P45+P47+P49</f>
        <v>0</v>
      </c>
      <c r="Q82" s="93">
        <f>SUM(Q72:Q81)+Q16+Q24+Q29+Q36+Q43+Q45+Q47+Q49+Q51+Q56+Q61+Q66</f>
        <v>-5594.5286000000006</v>
      </c>
      <c r="R82" s="92">
        <f>R16+R24+R29+R36+R43+R45+R47+R49</f>
        <v>0</v>
      </c>
      <c r="S82" s="93">
        <f>SUM(S72:S81)+S16+S24+S29+S36+S43+S45+S47+S49+S51+S56+S61+S66</f>
        <v>727475.73159999982</v>
      </c>
      <c r="T82" s="92">
        <f>T16+T24+T29+T36+T43+T45+T47+T49</f>
        <v>0</v>
      </c>
      <c r="U82" s="93">
        <f>SUM(U72:U81)+U16+U24+U29+U36+U43+U45+U47+U49+U51+U56+U61+U66</f>
        <v>595637.73699999996</v>
      </c>
      <c r="V82" s="92">
        <f>V16+V24+V29+V36+V43+V45+V47+V49</f>
        <v>0</v>
      </c>
      <c r="W82" s="93">
        <f>SUM(W72:W81)+W16+W24+W29+W36+W43+W45+W47+W49+W51+W56+W61+W66</f>
        <v>3873.2410000000232</v>
      </c>
      <c r="X82" s="92">
        <f>X16+X24+X29+X36+X43+X45+X47+X49</f>
        <v>0</v>
      </c>
      <c r="Y82" s="93">
        <f>SUM(Y72:Y81)+Y16+Y24+Y29+Y36+Y43+Y45+Y47+Y49+Y51+Y56+Y61+Y66</f>
        <v>-9883.4989999999998</v>
      </c>
      <c r="Z82" s="92">
        <f>Z16+Z24+Z29+Z36+Z43+Z45+Z47+Z49</f>
        <v>0</v>
      </c>
      <c r="AA82" s="93">
        <f>SUM(AA72:AA81)+AA16+AA24+AA29+AA36+AA43+AA45+AA47+AA49+AA51+AA56+AA61+AA66</f>
        <v>-4219.01</v>
      </c>
      <c r="AB82" s="92">
        <f>AB16+AB24+AB29+AB36+AB43+AB45+AB47+AB49</f>
        <v>0</v>
      </c>
      <c r="AC82" s="93">
        <f>SUM(AC72:AC81)+AC16+AC24+AC29+AC36+AC43+AC45+AC47+AC49+AC51+AC56+AC61+AC66</f>
        <v>1393</v>
      </c>
      <c r="AD82" s="92">
        <f>AD16+AD24+AD29+AD36+AD43+AD45+AD47+AD49</f>
        <v>0</v>
      </c>
      <c r="AE82" s="93">
        <f>SUM(AE72:AE81)+AE16+AE24+AE29+AE36+AE43+AE45+AE47+AE49+AE51+AE56+AE61+AE66</f>
        <v>132549.76000000001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1393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156178.29999999999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</row>
    <row r="85" spans="1:47" x14ac:dyDescent="0.25">
      <c r="A85" s="4"/>
      <c r="B85" s="3"/>
      <c r="G85" s="31"/>
      <c r="I85" s="31"/>
      <c r="K85" s="31"/>
      <c r="M85" s="31"/>
      <c r="O85" s="31"/>
      <c r="Q85" s="31"/>
      <c r="S85" s="31"/>
      <c r="U85" s="31"/>
      <c r="W85" s="31"/>
      <c r="Y85" s="31"/>
      <c r="AA85" s="31"/>
      <c r="AC85" s="31"/>
      <c r="AE85" s="31"/>
      <c r="AG85" s="31"/>
      <c r="AI85" s="31"/>
      <c r="AK85" s="31"/>
      <c r="AM85" s="31"/>
      <c r="AO85" s="31"/>
      <c r="AQ85" s="31"/>
      <c r="AS85" s="31"/>
      <c r="AU85" s="31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U187"/>
  <sheetViews>
    <sheetView zoomScale="75" workbookViewId="0">
      <pane xSplit="3" ySplit="9" topLeftCell="AM64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U84" sqref="AU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101717689</v>
      </c>
      <c r="E11" s="38">
        <f t="shared" si="0"/>
        <v>219479974.54000002</v>
      </c>
      <c r="F11" s="60">
        <f>'TIE-OUT'!H11+RECLASS!H11</f>
        <v>0</v>
      </c>
      <c r="G11" s="38">
        <f>'TIE-OUT'!I11+RECLASS!I11</f>
        <v>0</v>
      </c>
      <c r="H11" s="133">
        <f>+Actuals!E164</f>
        <v>101777747</v>
      </c>
      <c r="I11" s="134">
        <f>+Actuals!F164</f>
        <v>213982835.48000005</v>
      </c>
      <c r="J11" s="133">
        <f>+Actuals!G164</f>
        <v>-33056</v>
      </c>
      <c r="K11" s="153">
        <f>+Actuals!H164</f>
        <v>6500173.3500000015</v>
      </c>
      <c r="L11" s="133">
        <f>+Actuals!I164</f>
        <v>-25720</v>
      </c>
      <c r="M11" s="134">
        <f>+Actuals!J164</f>
        <v>-4943124.49</v>
      </c>
      <c r="N11" s="133">
        <f>+Actuals!K164</f>
        <v>1</v>
      </c>
      <c r="O11" s="134">
        <f>+Actuals!L164</f>
        <v>-84440.65</v>
      </c>
      <c r="P11" s="133">
        <f>+Actuals!M164</f>
        <v>-250</v>
      </c>
      <c r="Q11" s="134">
        <f>+Actuals!N164</f>
        <v>28733.85</v>
      </c>
      <c r="R11" s="133">
        <f>+Actuals!O164</f>
        <v>-3201</v>
      </c>
      <c r="S11" s="134">
        <f>+Actuals!P164</f>
        <v>-5411.38</v>
      </c>
      <c r="T11" s="133">
        <f>+Actuals!Q164</f>
        <v>0</v>
      </c>
      <c r="U11" s="134">
        <f>+Actuals!R164</f>
        <v>61667.5</v>
      </c>
      <c r="V11" s="133">
        <f>+Actuals!S164</f>
        <v>0</v>
      </c>
      <c r="W11" s="134">
        <f>+Actuals!T164</f>
        <v>0</v>
      </c>
      <c r="X11" s="133">
        <f>+Actuals!U164</f>
        <v>0</v>
      </c>
      <c r="Y11" s="134">
        <f>+Actuals!V164</f>
        <v>3711877</v>
      </c>
      <c r="Z11" s="133">
        <f>+Actuals!W164</f>
        <v>0</v>
      </c>
      <c r="AA11" s="134">
        <f>+Actuals!X164</f>
        <v>0</v>
      </c>
      <c r="AB11" s="133">
        <f>+Actuals!Y164</f>
        <v>0</v>
      </c>
      <c r="AC11" s="134">
        <f>+Actuals!Z164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0</v>
      </c>
      <c r="AK11" s="134">
        <f>+Actuals!AH244</f>
        <v>0</v>
      </c>
      <c r="AL11" s="133">
        <f>+Actuals!AI244</f>
        <v>2167</v>
      </c>
      <c r="AM11" s="134">
        <f>+Actuals!AJ244</f>
        <v>6379.98</v>
      </c>
      <c r="AN11" s="133">
        <f>+Actuals!AK244</f>
        <v>0</v>
      </c>
      <c r="AO11" s="134">
        <f>+Actuals!AL244</f>
        <v>-9157.4</v>
      </c>
      <c r="AP11" s="133">
        <f>+Actuals!AM244</f>
        <v>0</v>
      </c>
      <c r="AQ11" s="134">
        <f>+Actuals!AN244</f>
        <v>0</v>
      </c>
      <c r="AR11" s="133">
        <f>+Actuals!AO244</f>
        <v>0</v>
      </c>
      <c r="AS11" s="134">
        <f>+Actuals!AP244</f>
        <v>0</v>
      </c>
      <c r="AT11" s="133">
        <v>1</v>
      </c>
      <c r="AU11" s="134">
        <v>230441.3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'TIE-OUT'!H12+RECLASS!H12</f>
        <v>0</v>
      </c>
      <c r="G12" s="38">
        <f>'TIE-OUT'!I12+RECLASS!I12</f>
        <v>-10594664.110000001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</f>
        <v>0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+Actuals!Y165</f>
        <v>0</v>
      </c>
      <c r="AC12" s="134">
        <f>+Actuals!Z165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  <c r="AL12" s="133">
        <f>+Actuals!AI245</f>
        <v>0</v>
      </c>
      <c r="AM12" s="134">
        <f>+Actuals!AJ245</f>
        <v>0</v>
      </c>
      <c r="AN12" s="133">
        <f>+Actuals!AK245</f>
        <v>0</v>
      </c>
      <c r="AO12" s="134">
        <f>+Actuals!AL245</f>
        <v>0</v>
      </c>
      <c r="AP12" s="133">
        <f>+Actuals!AM245</f>
        <v>0</v>
      </c>
      <c r="AQ12" s="134">
        <f>+Actuals!AN245</f>
        <v>0</v>
      </c>
      <c r="AR12" s="133">
        <f>+Actuals!AO245</f>
        <v>0</v>
      </c>
      <c r="AS12" s="134">
        <f>+Actuals!AP245</f>
        <v>0</v>
      </c>
      <c r="AT12" s="133">
        <f>+Actuals!AQ245</f>
        <v>0</v>
      </c>
      <c r="AU12" s="134">
        <f>+Actuals!AR245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51679271</v>
      </c>
      <c r="E13" s="38">
        <f t="shared" si="0"/>
        <v>98255083</v>
      </c>
      <c r="F13" s="60">
        <f>'TIE-OUT'!H13+RECLASS!H13</f>
        <v>0</v>
      </c>
      <c r="G13" s="38">
        <f>'TIE-OUT'!I13+RECLASS!I13</f>
        <v>0</v>
      </c>
      <c r="H13" s="133">
        <f>+Actuals!E166</f>
        <v>51679271</v>
      </c>
      <c r="I13" s="134">
        <f>+Actuals!F166</f>
        <v>98255083</v>
      </c>
      <c r="J13" s="133">
        <f>+Actuals!G166</f>
        <v>0</v>
      </c>
      <c r="K13" s="153">
        <f>+Actuals!H166</f>
        <v>0</v>
      </c>
      <c r="L13" s="133">
        <f>+Actuals!I166</f>
        <v>-214075</v>
      </c>
      <c r="M13" s="134">
        <f>+Actuals!J166</f>
        <v>-374265</v>
      </c>
      <c r="N13" s="133">
        <f>+Actuals!K166</f>
        <v>0</v>
      </c>
      <c r="O13" s="134">
        <f>+Actuals!L166</f>
        <v>0</v>
      </c>
      <c r="P13" s="133">
        <f>+Actuals!M166</f>
        <v>-4494</v>
      </c>
      <c r="Q13" s="134">
        <f>+Actuals!N166</f>
        <v>-7707</v>
      </c>
      <c r="R13" s="133">
        <f>+Actuals!O166</f>
        <v>0</v>
      </c>
      <c r="S13" s="134">
        <f>+Actuals!P166</f>
        <v>0</v>
      </c>
      <c r="T13" s="133">
        <f>+Actuals!Q166</f>
        <v>0</v>
      </c>
      <c r="U13" s="134">
        <f>+Actuals!R166</f>
        <v>0</v>
      </c>
      <c r="V13" s="133">
        <f>+Actuals!S166</f>
        <v>0</v>
      </c>
      <c r="W13" s="134">
        <f>+Actuals!T166</f>
        <v>0</v>
      </c>
      <c r="X13" s="133">
        <f>+Actuals!U166</f>
        <v>212581</v>
      </c>
      <c r="Y13" s="134">
        <f>+Actuals!V166</f>
        <v>370643</v>
      </c>
      <c r="Z13" s="133">
        <f>+Actuals!W166</f>
        <v>258531</v>
      </c>
      <c r="AA13" s="134">
        <f>+Actuals!X166</f>
        <v>452217</v>
      </c>
      <c r="AB13" s="133">
        <f>+Actuals!Y166</f>
        <v>-252543</v>
      </c>
      <c r="AC13" s="134">
        <f>+Actuals!Z166</f>
        <v>-440888</v>
      </c>
      <c r="AD13" s="133">
        <f>+Actuals!AA246</f>
        <v>252543</v>
      </c>
      <c r="AE13" s="134">
        <f>+Actuals!AB246</f>
        <v>440888</v>
      </c>
      <c r="AF13" s="133">
        <f>+Actuals!AC246</f>
        <v>0</v>
      </c>
      <c r="AG13" s="134">
        <f>+Actuals!AD246</f>
        <v>0</v>
      </c>
      <c r="AH13" s="133">
        <f>+Actuals!AE246</f>
        <v>-252543</v>
      </c>
      <c r="AI13" s="134">
        <f>+Actuals!AF246</f>
        <v>-440888</v>
      </c>
      <c r="AJ13" s="133">
        <f>+Actuals!AG246</f>
        <v>0</v>
      </c>
      <c r="AK13" s="134">
        <f>+Actuals!AH246</f>
        <v>0</v>
      </c>
      <c r="AL13" s="133">
        <f>+Actuals!AI246</f>
        <v>0</v>
      </c>
      <c r="AM13" s="134">
        <f>+Actuals!AJ246</f>
        <v>0</v>
      </c>
      <c r="AN13" s="133">
        <f>+Actuals!AK246</f>
        <v>0</v>
      </c>
      <c r="AO13" s="134">
        <f>+Actuals!AL246</f>
        <v>0</v>
      </c>
      <c r="AP13" s="133">
        <f>+Actuals!AM246</f>
        <v>0</v>
      </c>
      <c r="AQ13" s="134">
        <f>+Actuals!AN246</f>
        <v>0</v>
      </c>
      <c r="AR13" s="133">
        <f>+Actuals!AO246</f>
        <v>0</v>
      </c>
      <c r="AS13" s="134">
        <f>+Actuals!AP246</f>
        <v>0</v>
      </c>
      <c r="AT13" s="133">
        <f>+Actuals!AQ246</f>
        <v>0</v>
      </c>
      <c r="AU13" s="134">
        <f>+Actuals!AR246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+Actuals!Y167</f>
        <v>0</v>
      </c>
      <c r="AC14" s="134">
        <f>+Actuals!Z167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  <c r="AL14" s="133">
        <f>+Actuals!AI247</f>
        <v>0</v>
      </c>
      <c r="AM14" s="134">
        <f>+Actuals!AJ247</f>
        <v>0</v>
      </c>
      <c r="AN14" s="133">
        <f>+Actuals!AK247</f>
        <v>0</v>
      </c>
      <c r="AO14" s="134">
        <f>+Actuals!AL247</f>
        <v>0</v>
      </c>
      <c r="AP14" s="133">
        <f>+Actuals!AM247</f>
        <v>0</v>
      </c>
      <c r="AQ14" s="134">
        <f>+Actuals!AN247</f>
        <v>0</v>
      </c>
      <c r="AR14" s="133">
        <f>+Actuals!AO247</f>
        <v>0</v>
      </c>
      <c r="AS14" s="134">
        <f>+Actuals!AP247</f>
        <v>0</v>
      </c>
      <c r="AT14" s="133">
        <f>+Actuals!AQ247</f>
        <v>0</v>
      </c>
      <c r="AU14" s="134">
        <f>+Actuals!AR247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'TIE-OUT'!H15+RECLASS!H15</f>
        <v>0</v>
      </c>
      <c r="G15" s="82">
        <f>'TIE-OUT'!I15+RECLASS!I15</f>
        <v>0</v>
      </c>
      <c r="H15" s="133">
        <f>+Actuals!E168</f>
        <v>0</v>
      </c>
      <c r="I15" s="134">
        <f>+Actuals!F168</f>
        <v>0</v>
      </c>
      <c r="J15" s="133">
        <f>+Actuals!G168</f>
        <v>0</v>
      </c>
      <c r="K15" s="153">
        <f>+Actuals!H168</f>
        <v>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+Actuals!Y168</f>
        <v>0</v>
      </c>
      <c r="AC15" s="134">
        <f>+Actuals!Z168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  <c r="AL15" s="133">
        <f>+Actuals!AI248</f>
        <v>0</v>
      </c>
      <c r="AM15" s="134">
        <f>+Actuals!AJ248</f>
        <v>0</v>
      </c>
      <c r="AN15" s="133">
        <f>+Actuals!AK248</f>
        <v>0</v>
      </c>
      <c r="AO15" s="134">
        <f>+Actuals!AL248</f>
        <v>0</v>
      </c>
      <c r="AP15" s="133">
        <f>+Actuals!AM248</f>
        <v>0</v>
      </c>
      <c r="AQ15" s="134">
        <f>+Actuals!AN248</f>
        <v>0</v>
      </c>
      <c r="AR15" s="133">
        <f>+Actuals!AO248</f>
        <v>0</v>
      </c>
      <c r="AS15" s="134">
        <f>+Actuals!AP248</f>
        <v>0</v>
      </c>
      <c r="AT15" s="133">
        <f>+Actuals!AQ248</f>
        <v>0</v>
      </c>
      <c r="AU15" s="134">
        <f>+Actuals!AR248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153396960</v>
      </c>
      <c r="E16" s="39">
        <f t="shared" si="1"/>
        <v>307140393.43000001</v>
      </c>
      <c r="F16" s="61">
        <f t="shared" si="1"/>
        <v>0</v>
      </c>
      <c r="G16" s="39">
        <f t="shared" si="1"/>
        <v>-10594664.110000001</v>
      </c>
      <c r="H16" s="61">
        <f t="shared" si="1"/>
        <v>153457018</v>
      </c>
      <c r="I16" s="39">
        <f t="shared" si="1"/>
        <v>312237918.48000002</v>
      </c>
      <c r="J16" s="61">
        <f t="shared" si="1"/>
        <v>-33056</v>
      </c>
      <c r="K16" s="154">
        <f t="shared" si="1"/>
        <v>6500173.3500000015</v>
      </c>
      <c r="L16" s="61">
        <f t="shared" si="1"/>
        <v>-239795</v>
      </c>
      <c r="M16" s="39">
        <f t="shared" si="1"/>
        <v>-5317389.49</v>
      </c>
      <c r="N16" s="61">
        <f t="shared" si="1"/>
        <v>1</v>
      </c>
      <c r="O16" s="39">
        <f t="shared" si="1"/>
        <v>-84440.65</v>
      </c>
      <c r="P16" s="61">
        <f t="shared" si="1"/>
        <v>-4744</v>
      </c>
      <c r="Q16" s="39">
        <f t="shared" si="1"/>
        <v>21026.85</v>
      </c>
      <c r="R16" s="61">
        <f t="shared" si="1"/>
        <v>-3201</v>
      </c>
      <c r="S16" s="39">
        <f t="shared" si="1"/>
        <v>-5411.38</v>
      </c>
      <c r="T16" s="61">
        <f t="shared" si="1"/>
        <v>0</v>
      </c>
      <c r="U16" s="39">
        <f t="shared" si="1"/>
        <v>61667.5</v>
      </c>
      <c r="V16" s="61">
        <f t="shared" si="1"/>
        <v>0</v>
      </c>
      <c r="W16" s="39">
        <f t="shared" si="1"/>
        <v>0</v>
      </c>
      <c r="X16" s="61">
        <f t="shared" si="1"/>
        <v>212581</v>
      </c>
      <c r="Y16" s="39">
        <f t="shared" si="1"/>
        <v>4082520</v>
      </c>
      <c r="Z16" s="61">
        <f t="shared" si="1"/>
        <v>258531</v>
      </c>
      <c r="AA16" s="39">
        <f t="shared" si="1"/>
        <v>452217</v>
      </c>
      <c r="AB16" s="61">
        <f t="shared" si="1"/>
        <v>-252543</v>
      </c>
      <c r="AC16" s="39">
        <f t="shared" si="1"/>
        <v>-440888</v>
      </c>
      <c r="AD16" s="61">
        <f t="shared" si="1"/>
        <v>252543</v>
      </c>
      <c r="AE16" s="39">
        <f t="shared" si="1"/>
        <v>440888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-252543</v>
      </c>
      <c r="AI16" s="39">
        <f t="shared" si="2"/>
        <v>-440888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2167</v>
      </c>
      <c r="AM16" s="39">
        <f t="shared" si="3"/>
        <v>6379.98</v>
      </c>
      <c r="AN16" s="61">
        <f t="shared" si="3"/>
        <v>0</v>
      </c>
      <c r="AO16" s="39">
        <f t="shared" si="3"/>
        <v>-9157.4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1</v>
      </c>
      <c r="AU16" s="39">
        <f>SUM(AU11:AU15)</f>
        <v>230441.3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-100742252</v>
      </c>
      <c r="E19" s="38">
        <f t="shared" si="4"/>
        <v>-190050101.29000002</v>
      </c>
      <c r="F19" s="64">
        <f>'TIE-OUT'!H19+RECLASS!H19</f>
        <v>0</v>
      </c>
      <c r="G19" s="68">
        <f>'TIE-OUT'!I19+RECLASS!I19</f>
        <v>0</v>
      </c>
      <c r="H19" s="133">
        <f>+Actuals!E169</f>
        <v>-100804275</v>
      </c>
      <c r="I19" s="134">
        <f>+Actuals!F169</f>
        <v>-187151056.24000001</v>
      </c>
      <c r="J19" s="133">
        <f>+Actuals!G169</f>
        <v>201126</v>
      </c>
      <c r="K19" s="153">
        <f>+Actuals!H169</f>
        <v>-2519806.14</v>
      </c>
      <c r="L19" s="133">
        <f>+Actuals!I169</f>
        <v>-91034</v>
      </c>
      <c r="M19" s="134">
        <f>+Actuals!J169</f>
        <v>-338678.19</v>
      </c>
      <c r="N19" s="133">
        <f>+Actuals!K169</f>
        <v>-20032</v>
      </c>
      <c r="O19" s="134">
        <f>+Actuals!L169</f>
        <v>-40530.03</v>
      </c>
      <c r="P19" s="133">
        <f>+Actuals!M169</f>
        <v>-2846</v>
      </c>
      <c r="Q19" s="134">
        <f>+Actuals!N169</f>
        <v>15375.9</v>
      </c>
      <c r="R19" s="133">
        <f>+Actuals!O169</f>
        <v>4611</v>
      </c>
      <c r="S19" s="134">
        <f>+Actuals!P169</f>
        <v>4728.29</v>
      </c>
      <c r="T19" s="133">
        <f>+Actuals!Q169</f>
        <v>2508</v>
      </c>
      <c r="U19" s="134">
        <f>+Actuals!R169</f>
        <v>26466.1</v>
      </c>
      <c r="V19" s="133">
        <f>+Actuals!S169</f>
        <v>2</v>
      </c>
      <c r="W19" s="134">
        <f>+Actuals!T169</f>
        <v>9.75</v>
      </c>
      <c r="X19" s="133">
        <f>+Actuals!U169</f>
        <v>-32164</v>
      </c>
      <c r="Y19" s="134">
        <f>+Actuals!V169</f>
        <v>-46014.43</v>
      </c>
      <c r="Z19" s="133">
        <f>+Actuals!W169</f>
        <v>0</v>
      </c>
      <c r="AA19" s="134">
        <f>+Actuals!X169</f>
        <v>0</v>
      </c>
      <c r="AB19" s="133">
        <f>+Actuals!Y169</f>
        <v>0</v>
      </c>
      <c r="AC19" s="134">
        <f>+Actuals!Z169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0</v>
      </c>
      <c r="AK19" s="134">
        <f>+Actuals!AH249</f>
        <v>0</v>
      </c>
      <c r="AL19" s="133">
        <f>+Actuals!AI249</f>
        <v>-148</v>
      </c>
      <c r="AM19" s="134">
        <f>+Actuals!AJ249</f>
        <v>-596.29999999999995</v>
      </c>
      <c r="AN19" s="133">
        <f>+Actuals!AK249</f>
        <v>0</v>
      </c>
      <c r="AO19" s="134">
        <f>+Actuals!AL249</f>
        <v>0</v>
      </c>
      <c r="AP19" s="133">
        <f>+Actuals!AM249</f>
        <v>0</v>
      </c>
      <c r="AQ19" s="134">
        <f>+Actuals!AN249</f>
        <v>0</v>
      </c>
      <c r="AR19" s="133">
        <f>+Actuals!AO249</f>
        <v>0</v>
      </c>
      <c r="AS19" s="134">
        <f>+Actuals!AP249</f>
        <v>0</v>
      </c>
      <c r="AT19" s="133">
        <f>+Actuals!AQ249</f>
        <v>0</v>
      </c>
      <c r="AU19" s="134">
        <f>+Actuals!AR249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3776970.28</v>
      </c>
      <c r="F20" s="60">
        <f>'TIE-OUT'!H20+RECLASS!H20</f>
        <v>0</v>
      </c>
      <c r="G20" s="38">
        <f>'TIE-OUT'!I20+RECLASS!I20</f>
        <v>3776970.28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+Actuals!Y170</f>
        <v>0</v>
      </c>
      <c r="AC20" s="134">
        <f>+Actuals!Z170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  <c r="AL20" s="133">
        <f>+Actuals!AI250</f>
        <v>0</v>
      </c>
      <c r="AM20" s="134">
        <f>+Actuals!AJ250</f>
        <v>0</v>
      </c>
      <c r="AN20" s="133">
        <f>+Actuals!AK250</f>
        <v>0</v>
      </c>
      <c r="AO20" s="134">
        <f>+Actuals!AL250</f>
        <v>0</v>
      </c>
      <c r="AP20" s="133">
        <f>+Actuals!AM250</f>
        <v>0</v>
      </c>
      <c r="AQ20" s="134">
        <f>+Actuals!AN250</f>
        <v>0</v>
      </c>
      <c r="AR20" s="133">
        <f>+Actuals!AO250</f>
        <v>0</v>
      </c>
      <c r="AS20" s="134">
        <f>+Actuals!AP250</f>
        <v>0</v>
      </c>
      <c r="AT20" s="133">
        <f>+Actuals!AQ250</f>
        <v>0</v>
      </c>
      <c r="AU20" s="134">
        <f>+Actuals!AR250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-50191436</v>
      </c>
      <c r="E21" s="38">
        <f t="shared" si="4"/>
        <v>-95514268</v>
      </c>
      <c r="F21" s="60">
        <f>'TIE-OUT'!H21+RECLASS!H21</f>
        <v>0</v>
      </c>
      <c r="G21" s="38">
        <f>'TIE-OUT'!I21+RECLASS!I21</f>
        <v>0</v>
      </c>
      <c r="H21" s="133">
        <f>+Actuals!E171</f>
        <v>-50191436</v>
      </c>
      <c r="I21" s="134">
        <f>+Actuals!F171</f>
        <v>-95514268</v>
      </c>
      <c r="J21" s="133">
        <f>+Actuals!G171</f>
        <v>0</v>
      </c>
      <c r="K21" s="153">
        <f>+Actuals!H171</f>
        <v>0</v>
      </c>
      <c r="L21" s="133">
        <f>+Actuals!I171</f>
        <v>199516</v>
      </c>
      <c r="M21" s="134">
        <f>+Actuals!J171</f>
        <v>332885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0</v>
      </c>
      <c r="W21" s="134">
        <f>+Actuals!T171</f>
        <v>0</v>
      </c>
      <c r="X21" s="133">
        <f>+Actuals!U171</f>
        <v>-212581</v>
      </c>
      <c r="Y21" s="134">
        <f>+Actuals!V171</f>
        <v>-370643</v>
      </c>
      <c r="Z21" s="133">
        <f>+Actuals!W171</f>
        <v>-258531</v>
      </c>
      <c r="AA21" s="134">
        <f>+Actuals!X171</f>
        <v>-452217</v>
      </c>
      <c r="AB21" s="133">
        <f>+Actuals!Y171</f>
        <v>271596</v>
      </c>
      <c r="AC21" s="134">
        <f>+Actuals!Z171</f>
        <v>489975</v>
      </c>
      <c r="AD21" s="133">
        <f>+Actuals!AA251</f>
        <v>-271596</v>
      </c>
      <c r="AE21" s="134">
        <f>+Actuals!AB251</f>
        <v>-489975</v>
      </c>
      <c r="AF21" s="133">
        <f>+Actuals!AC251</f>
        <v>0</v>
      </c>
      <c r="AG21" s="134">
        <f>+Actuals!AD251</f>
        <v>0</v>
      </c>
      <c r="AH21" s="133">
        <f>+Actuals!AE251</f>
        <v>271596</v>
      </c>
      <c r="AI21" s="134">
        <f>+Actuals!AF251</f>
        <v>489975</v>
      </c>
      <c r="AJ21" s="133">
        <f>+Actuals!AG251</f>
        <v>0</v>
      </c>
      <c r="AK21" s="134">
        <f>+Actuals!AH251</f>
        <v>0</v>
      </c>
      <c r="AL21" s="133">
        <f>+Actuals!AI251</f>
        <v>0</v>
      </c>
      <c r="AM21" s="134">
        <f>+Actuals!AJ251</f>
        <v>0</v>
      </c>
      <c r="AN21" s="133">
        <f>+Actuals!AK251</f>
        <v>0</v>
      </c>
      <c r="AO21" s="134">
        <f>+Actuals!AL251</f>
        <v>0</v>
      </c>
      <c r="AP21" s="133">
        <f>+Actuals!AM251</f>
        <v>0</v>
      </c>
      <c r="AQ21" s="134">
        <f>+Actuals!AN251</f>
        <v>0</v>
      </c>
      <c r="AR21" s="133">
        <f>+Actuals!AO251</f>
        <v>0</v>
      </c>
      <c r="AS21" s="134">
        <f>+Actuals!AP251</f>
        <v>0</v>
      </c>
      <c r="AT21" s="133">
        <f>+Actuals!AQ251</f>
        <v>0</v>
      </c>
      <c r="AU21" s="134">
        <f>+Actuals!AR251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+Actuals!Y172</f>
        <v>0</v>
      </c>
      <c r="AC22" s="134">
        <f>+Actuals!Z172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  <c r="AL22" s="133">
        <f>+Actuals!AI252</f>
        <v>0</v>
      </c>
      <c r="AM22" s="134">
        <f>+Actuals!AJ252</f>
        <v>0</v>
      </c>
      <c r="AN22" s="133">
        <f>+Actuals!AK252</f>
        <v>0</v>
      </c>
      <c r="AO22" s="134">
        <f>+Actuals!AL252</f>
        <v>0</v>
      </c>
      <c r="AP22" s="133">
        <f>+Actuals!AM252</f>
        <v>0</v>
      </c>
      <c r="AQ22" s="134">
        <f>+Actuals!AN252</f>
        <v>0</v>
      </c>
      <c r="AR22" s="133">
        <f>+Actuals!AO252</f>
        <v>0</v>
      </c>
      <c r="AS22" s="134">
        <f>+Actuals!AP252</f>
        <v>0</v>
      </c>
      <c r="AT22" s="133">
        <f>+Actuals!AQ252</f>
        <v>0</v>
      </c>
      <c r="AU22" s="134">
        <f>+Actuals!AR252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895129</v>
      </c>
      <c r="E23" s="38">
        <f t="shared" si="4"/>
        <v>1600490.656</v>
      </c>
      <c r="F23" s="81">
        <f>'TIE-OUT'!H23+RECLASS!H23</f>
        <v>0</v>
      </c>
      <c r="G23" s="82">
        <f>'TIE-OUT'!I23+RECLASS!I23</f>
        <v>0</v>
      </c>
      <c r="H23" s="133">
        <f>+Actuals!E173</f>
        <v>1038487</v>
      </c>
      <c r="I23" s="134">
        <f>+Actuals!F173</f>
        <v>1856814.76</v>
      </c>
      <c r="J23" s="133">
        <f>+Actuals!G173</f>
        <v>-175151</v>
      </c>
      <c r="K23" s="153">
        <f>+Actuals!H173</f>
        <v>-313169.98800000001</v>
      </c>
      <c r="L23" s="133">
        <f>+Actuals!I173</f>
        <v>34742</v>
      </c>
      <c r="M23" s="134">
        <f>+Actuals!J173</f>
        <v>62118.696000000004</v>
      </c>
      <c r="N23" s="133">
        <f>+Actuals!K173</f>
        <v>136</v>
      </c>
      <c r="O23" s="134">
        <f>+Actuals!L173</f>
        <v>243.16800000000001</v>
      </c>
      <c r="P23" s="133">
        <f>+Actuals!M173</f>
        <v>-3084</v>
      </c>
      <c r="Q23" s="134">
        <f>+Actuals!N173</f>
        <v>-5514.192</v>
      </c>
      <c r="R23" s="133">
        <f>+Actuals!O173</f>
        <v>-1</v>
      </c>
      <c r="S23" s="134">
        <f>+Actuals!P173</f>
        <v>-1.788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+Actuals!Y173</f>
        <v>0</v>
      </c>
      <c r="AC23" s="134">
        <f>+Actuals!Z173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  <c r="AL23" s="133">
        <f>+Actuals!AI253</f>
        <v>0</v>
      </c>
      <c r="AM23" s="134">
        <f>+Actuals!AJ253</f>
        <v>0</v>
      </c>
      <c r="AN23" s="133">
        <f>+Actuals!AK253</f>
        <v>0</v>
      </c>
      <c r="AO23" s="134">
        <f>+Actuals!AL253</f>
        <v>0</v>
      </c>
      <c r="AP23" s="133">
        <f>+Actuals!AM253</f>
        <v>0</v>
      </c>
      <c r="AQ23" s="134">
        <f>+Actuals!AN253</f>
        <v>0</v>
      </c>
      <c r="AR23" s="133">
        <f>+Actuals!AO253</f>
        <v>0</v>
      </c>
      <c r="AS23" s="134">
        <f>+Actuals!AP253</f>
        <v>0</v>
      </c>
      <c r="AT23" s="133">
        <f>+Actuals!AQ253</f>
        <v>0</v>
      </c>
      <c r="AU23" s="134">
        <f>+Actuals!AR253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-150038559</v>
      </c>
      <c r="E24" s="39">
        <f t="shared" si="5"/>
        <v>-280186908.35399997</v>
      </c>
      <c r="F24" s="61">
        <f t="shared" si="5"/>
        <v>0</v>
      </c>
      <c r="G24" s="39">
        <f t="shared" si="5"/>
        <v>3776970.28</v>
      </c>
      <c r="H24" s="61">
        <f t="shared" si="5"/>
        <v>-149957224</v>
      </c>
      <c r="I24" s="39">
        <f t="shared" si="5"/>
        <v>-280808509.48000002</v>
      </c>
      <c r="J24" s="61">
        <f t="shared" si="5"/>
        <v>25975</v>
      </c>
      <c r="K24" s="154">
        <f t="shared" si="5"/>
        <v>-2832976.128</v>
      </c>
      <c r="L24" s="61">
        <f t="shared" si="5"/>
        <v>143224</v>
      </c>
      <c r="M24" s="39">
        <f t="shared" si="5"/>
        <v>56325.506000000001</v>
      </c>
      <c r="N24" s="61">
        <f t="shared" si="5"/>
        <v>-19896</v>
      </c>
      <c r="O24" s="39">
        <f t="shared" si="5"/>
        <v>-40286.862000000001</v>
      </c>
      <c r="P24" s="61">
        <f t="shared" si="5"/>
        <v>-5930</v>
      </c>
      <c r="Q24" s="39">
        <f t="shared" si="5"/>
        <v>9861.7079999999987</v>
      </c>
      <c r="R24" s="61">
        <f t="shared" si="5"/>
        <v>4610</v>
      </c>
      <c r="S24" s="39">
        <f t="shared" si="5"/>
        <v>4726.5020000000004</v>
      </c>
      <c r="T24" s="61">
        <f t="shared" si="5"/>
        <v>2508</v>
      </c>
      <c r="U24" s="39">
        <f t="shared" si="5"/>
        <v>26466.1</v>
      </c>
      <c r="V24" s="61">
        <f t="shared" si="5"/>
        <v>2</v>
      </c>
      <c r="W24" s="39">
        <f t="shared" si="5"/>
        <v>9.75</v>
      </c>
      <c r="X24" s="61">
        <f t="shared" si="5"/>
        <v>-244745</v>
      </c>
      <c r="Y24" s="39">
        <f t="shared" si="5"/>
        <v>-416657.43</v>
      </c>
      <c r="Z24" s="61">
        <f t="shared" si="5"/>
        <v>-258531</v>
      </c>
      <c r="AA24" s="39">
        <f t="shared" si="5"/>
        <v>-452217</v>
      </c>
      <c r="AB24" s="61">
        <f t="shared" si="5"/>
        <v>271596</v>
      </c>
      <c r="AC24" s="39">
        <f t="shared" si="5"/>
        <v>489975</v>
      </c>
      <c r="AD24" s="61">
        <f t="shared" si="5"/>
        <v>-271596</v>
      </c>
      <c r="AE24" s="39">
        <f t="shared" si="5"/>
        <v>-489975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271596</v>
      </c>
      <c r="AI24" s="39">
        <f t="shared" si="6"/>
        <v>489975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-148</v>
      </c>
      <c r="AM24" s="39">
        <f t="shared" si="7"/>
        <v>-596.29999999999995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8074037</v>
      </c>
      <c r="E27" s="38">
        <f>SUM(G27,I27,K27,M27,O27,Q27,S27,U27,W27,Y27,AA27,AC27,AE27,AG27,AI27,AK27,AM27,AO27,AQ27,AS27,AU27)</f>
        <v>14398794.130000001</v>
      </c>
      <c r="F27" s="64">
        <f>'TIE-OUT'!H27+RECLASS!H27</f>
        <v>0</v>
      </c>
      <c r="G27" s="68">
        <f>'TIE-OUT'!I27+RECLASS!I27</f>
        <v>0</v>
      </c>
      <c r="H27" s="133">
        <f>+Actuals!E174</f>
        <v>8074037</v>
      </c>
      <c r="I27" s="134">
        <f>+Actuals!F174</f>
        <v>16143036.380000001</v>
      </c>
      <c r="J27" s="133">
        <f>+Actuals!G174</f>
        <v>0</v>
      </c>
      <c r="K27" s="153">
        <f>+Actuals!H174</f>
        <v>-1890126.68</v>
      </c>
      <c r="L27" s="133">
        <f>+Actuals!I174</f>
        <v>0</v>
      </c>
      <c r="M27" s="134">
        <f>+Actuals!J174</f>
        <v>112786.51</v>
      </c>
      <c r="N27" s="133">
        <f>+Actuals!K174</f>
        <v>0</v>
      </c>
      <c r="O27" s="134">
        <f>+Actuals!L174</f>
        <v>33097.919999999998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+Actuals!Y174</f>
        <v>0</v>
      </c>
      <c r="AC27" s="134">
        <f>+Actuals!Z174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  <c r="AL27" s="133">
        <f>+Actuals!AI254</f>
        <v>0</v>
      </c>
      <c r="AM27" s="134">
        <f>+Actuals!AJ254</f>
        <v>0</v>
      </c>
      <c r="AN27" s="133">
        <f>+Actuals!AK254</f>
        <v>0</v>
      </c>
      <c r="AO27" s="134">
        <f>+Actuals!AL254</f>
        <v>0</v>
      </c>
      <c r="AP27" s="133">
        <f>+Actuals!AM254</f>
        <v>0</v>
      </c>
      <c r="AQ27" s="134">
        <f>+Actuals!AN254</f>
        <v>0</v>
      </c>
      <c r="AR27" s="133">
        <f>+Actuals!AO254</f>
        <v>0</v>
      </c>
      <c r="AS27" s="134">
        <f>+Actuals!AP254</f>
        <v>0</v>
      </c>
      <c r="AT27" s="133">
        <f>+Actuals!AQ254</f>
        <v>0</v>
      </c>
      <c r="AU27" s="134">
        <f>+Actuals!AR254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-1763144</v>
      </c>
      <c r="E28" s="38">
        <f>SUM(G28,I28,K28,M28,O28,Q28,S28,U28,W28,Y28,AA28,AC28,AE28,AG28,AI28,AK28,AM28,AO28,AQ28,AS28,AU28)</f>
        <v>-3119865.53</v>
      </c>
      <c r="F28" s="81">
        <f>'TIE-OUT'!H28+RECLASS!H28</f>
        <v>0</v>
      </c>
      <c r="G28" s="82">
        <f>'TIE-OUT'!I28+RECLASS!I28</f>
        <v>0</v>
      </c>
      <c r="H28" s="133">
        <f>+Actuals!E175</f>
        <v>-1820006</v>
      </c>
      <c r="I28" s="134">
        <f>+Actuals!F175</f>
        <v>-3602316</v>
      </c>
      <c r="J28" s="133">
        <f>+Actuals!G175</f>
        <v>43186</v>
      </c>
      <c r="K28" s="153">
        <f>+Actuals!H175</f>
        <v>78425.600000000006</v>
      </c>
      <c r="L28" s="133">
        <f>+Actuals!I175</f>
        <v>13676</v>
      </c>
      <c r="M28" s="134">
        <f>+Actuals!J175</f>
        <v>381774.39</v>
      </c>
      <c r="N28" s="133">
        <f>+Actuals!K175</f>
        <v>0</v>
      </c>
      <c r="O28" s="134">
        <f>+Actuals!L175</f>
        <v>19110.34</v>
      </c>
      <c r="P28" s="133">
        <f>+Actuals!M175</f>
        <v>0</v>
      </c>
      <c r="Q28" s="134">
        <f>+Actuals!N175</f>
        <v>3140.14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+Actuals!Y175</f>
        <v>0</v>
      </c>
      <c r="AC28" s="134">
        <f>+Actuals!Z175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  <c r="AL28" s="133">
        <f>+Actuals!AI255</f>
        <v>0</v>
      </c>
      <c r="AM28" s="134">
        <f>+Actuals!AJ255</f>
        <v>0</v>
      </c>
      <c r="AN28" s="133">
        <f>+Actuals!AK255</f>
        <v>0</v>
      </c>
      <c r="AO28" s="134">
        <f>+Actuals!AL255</f>
        <v>0</v>
      </c>
      <c r="AP28" s="133">
        <f>+Actuals!AM255</f>
        <v>0</v>
      </c>
      <c r="AQ28" s="134">
        <f>+Actuals!AN255</f>
        <v>0</v>
      </c>
      <c r="AR28" s="133">
        <f>+Actuals!AO255</f>
        <v>0</v>
      </c>
      <c r="AS28" s="134">
        <f>+Actuals!AP255</f>
        <v>0</v>
      </c>
      <c r="AT28" s="133">
        <f>+Actuals!AQ255</f>
        <v>0</v>
      </c>
      <c r="AU28" s="134">
        <f>+Actuals!AR255</f>
        <v>0</v>
      </c>
    </row>
    <row r="29" spans="1:47" x14ac:dyDescent="0.25">
      <c r="A29" s="9"/>
      <c r="B29" s="7" t="s">
        <v>41</v>
      </c>
      <c r="C29" s="18"/>
      <c r="D29" s="61">
        <f t="shared" ref="D29:AE29" si="8">SUM(D27:D28)</f>
        <v>6310893</v>
      </c>
      <c r="E29" s="39">
        <f t="shared" si="8"/>
        <v>11278928.600000001</v>
      </c>
      <c r="F29" s="61">
        <f t="shared" si="8"/>
        <v>0</v>
      </c>
      <c r="G29" s="39">
        <f t="shared" si="8"/>
        <v>0</v>
      </c>
      <c r="H29" s="61">
        <f t="shared" si="8"/>
        <v>6254031</v>
      </c>
      <c r="I29" s="39">
        <f t="shared" si="8"/>
        <v>12540720.380000001</v>
      </c>
      <c r="J29" s="61">
        <f t="shared" si="8"/>
        <v>43186</v>
      </c>
      <c r="K29" s="154">
        <f t="shared" si="8"/>
        <v>-1811701.0799999998</v>
      </c>
      <c r="L29" s="61">
        <f t="shared" si="8"/>
        <v>13676</v>
      </c>
      <c r="M29" s="39">
        <f t="shared" si="8"/>
        <v>494560.9</v>
      </c>
      <c r="N29" s="61">
        <f t="shared" si="8"/>
        <v>0</v>
      </c>
      <c r="O29" s="39">
        <f t="shared" si="8"/>
        <v>52208.259999999995</v>
      </c>
      <c r="P29" s="61">
        <f t="shared" si="8"/>
        <v>0</v>
      </c>
      <c r="Q29" s="39">
        <f t="shared" si="8"/>
        <v>3140.14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-94281</v>
      </c>
      <c r="E32" s="38">
        <f t="shared" si="11"/>
        <v>-168573.77299999996</v>
      </c>
      <c r="F32" s="64">
        <f>'TIE-OUT'!H32+RECLASS!H32</f>
        <v>0</v>
      </c>
      <c r="G32" s="68">
        <f>'TIE-OUT'!I32+RECLASS!I32</f>
        <v>0</v>
      </c>
      <c r="H32" s="133">
        <f>+Actuals!E176</f>
        <v>-25563</v>
      </c>
      <c r="I32" s="134">
        <f>+Actuals!F176</f>
        <v>-45706.64</v>
      </c>
      <c r="J32" s="133">
        <f>+Actuals!G176</f>
        <v>-909372</v>
      </c>
      <c r="K32" s="153">
        <f>+Actuals!H176</f>
        <v>-1465148.32</v>
      </c>
      <c r="L32" s="133">
        <f>+Actuals!I176</f>
        <v>69197</v>
      </c>
      <c r="M32" s="134">
        <f>+Actuals!J176</f>
        <v>-132315.764</v>
      </c>
      <c r="N32" s="133">
        <f>+Actuals!K176</f>
        <v>400923</v>
      </c>
      <c r="O32" s="134">
        <f>+Actuals!L176</f>
        <v>548531.39899999998</v>
      </c>
      <c r="P32" s="133">
        <f>+Actuals!M176</f>
        <v>42022</v>
      </c>
      <c r="Q32" s="134">
        <f>+Actuals!N176</f>
        <v>152233.728</v>
      </c>
      <c r="R32" s="133">
        <f>+Actuals!O176</f>
        <v>35302</v>
      </c>
      <c r="S32" s="134">
        <f>+Actuals!P176</f>
        <v>64738.482000000004</v>
      </c>
      <c r="T32" s="133">
        <f>+Actuals!Q176</f>
        <v>278040</v>
      </c>
      <c r="U32" s="134">
        <f>+Actuals!R176</f>
        <v>501155.67499999999</v>
      </c>
      <c r="V32" s="133">
        <f>+Actuals!S176</f>
        <v>3867</v>
      </c>
      <c r="W32" s="134">
        <f>+Actuals!T176</f>
        <v>34162.482000000004</v>
      </c>
      <c r="X32" s="133">
        <f>+Actuals!U176</f>
        <v>12227</v>
      </c>
      <c r="Y32" s="134">
        <f>+Actuals!V176</f>
        <v>175427.29500000001</v>
      </c>
      <c r="Z32" s="133">
        <f>+Actuals!W176</f>
        <v>0</v>
      </c>
      <c r="AA32" s="134">
        <f>+Actuals!X176</f>
        <v>0</v>
      </c>
      <c r="AB32" s="133">
        <f>+Actuals!Y176</f>
        <v>0</v>
      </c>
      <c r="AC32" s="134">
        <f>+Actuals!Z176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  <c r="AL32" s="133">
        <f>+Actuals!AI256</f>
        <v>0</v>
      </c>
      <c r="AM32" s="134">
        <f>+Actuals!AJ256</f>
        <v>0</v>
      </c>
      <c r="AN32" s="133">
        <f>+Actuals!AK256</f>
        <v>0</v>
      </c>
      <c r="AO32" s="134">
        <f>+Actuals!AL256</f>
        <v>0</v>
      </c>
      <c r="AP32" s="133">
        <f>+Actuals!AM256</f>
        <v>0</v>
      </c>
      <c r="AQ32" s="134">
        <f>+Actuals!AN256</f>
        <v>0</v>
      </c>
      <c r="AR32" s="133">
        <f>+Actuals!AO256</f>
        <v>0</v>
      </c>
      <c r="AS32" s="134">
        <f>+Actuals!AP256</f>
        <v>0</v>
      </c>
      <c r="AT32" s="133">
        <v>-924</v>
      </c>
      <c r="AU32" s="134">
        <v>-1652.11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-103848</v>
      </c>
      <c r="E33" s="38">
        <f t="shared" si="11"/>
        <v>-180480.98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-567</v>
      </c>
      <c r="K33" s="153">
        <f>+Actuals!H177</f>
        <v>-1022.22</v>
      </c>
      <c r="L33" s="133">
        <f>+Actuals!I177</f>
        <v>-23655</v>
      </c>
      <c r="M33" s="134">
        <f>+Actuals!J177</f>
        <v>-41258.28</v>
      </c>
      <c r="N33" s="133">
        <f>+Actuals!K177</f>
        <v>-30214</v>
      </c>
      <c r="O33" s="134">
        <f>+Actuals!L177</f>
        <v>-53658.2</v>
      </c>
      <c r="P33" s="133">
        <f>+Actuals!M177</f>
        <v>-1251</v>
      </c>
      <c r="Q33" s="134">
        <f>+Actuals!N177</f>
        <v>-2203.04</v>
      </c>
      <c r="R33" s="133">
        <f>+Actuals!O177</f>
        <v>-43471</v>
      </c>
      <c r="S33" s="134">
        <f>+Actuals!P177</f>
        <v>-74097.27</v>
      </c>
      <c r="T33" s="133">
        <f>+Actuals!Q177</f>
        <v>0</v>
      </c>
      <c r="U33" s="134">
        <f>+Actuals!R177</f>
        <v>0</v>
      </c>
      <c r="V33" s="133">
        <f>+Actuals!S177</f>
        <v>-3869</v>
      </c>
      <c r="W33" s="134">
        <f>+Actuals!T177</f>
        <v>-6809.44</v>
      </c>
      <c r="X33" s="133">
        <f>+Actuals!U177</f>
        <v>-38</v>
      </c>
      <c r="Y33" s="134">
        <f>+Actuals!V177</f>
        <v>-64.03</v>
      </c>
      <c r="Z33" s="133">
        <f>+Actuals!W177</f>
        <v>0</v>
      </c>
      <c r="AA33" s="134">
        <f>+Actuals!X177</f>
        <v>0</v>
      </c>
      <c r="AB33" s="133">
        <f>+Actuals!Y177</f>
        <v>0</v>
      </c>
      <c r="AC33" s="134">
        <f>+Actuals!Z177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  <c r="AL33" s="133">
        <f>+Actuals!AI257</f>
        <v>0</v>
      </c>
      <c r="AM33" s="134">
        <f>+Actuals!AJ257</f>
        <v>0</v>
      </c>
      <c r="AN33" s="133">
        <f>+Actuals!AK257</f>
        <v>0</v>
      </c>
      <c r="AO33" s="134">
        <f>+Actuals!AL257</f>
        <v>0</v>
      </c>
      <c r="AP33" s="133">
        <f>+Actuals!AM257</f>
        <v>0</v>
      </c>
      <c r="AQ33" s="134">
        <f>+Actuals!AN257</f>
        <v>0</v>
      </c>
      <c r="AR33" s="133">
        <f>+Actuals!AO257</f>
        <v>0</v>
      </c>
      <c r="AS33" s="134">
        <f>+Actuals!AP257</f>
        <v>0</v>
      </c>
      <c r="AT33" s="133">
        <v>-783</v>
      </c>
      <c r="AU33" s="134">
        <v>-1368.5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202782</v>
      </c>
      <c r="E34" s="38">
        <f t="shared" si="11"/>
        <v>350711.18999999994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162100</v>
      </c>
      <c r="K34" s="153">
        <f>+Actuals!H178</f>
        <v>281403.63</v>
      </c>
      <c r="L34" s="133">
        <f>+Actuals!I178</f>
        <v>956</v>
      </c>
      <c r="M34" s="134">
        <f>+Actuals!J178</f>
        <v>1696.91</v>
      </c>
      <c r="N34" s="133">
        <f>+Actuals!K178</f>
        <v>7</v>
      </c>
      <c r="O34" s="134">
        <f>+Actuals!L178</f>
        <v>12.11</v>
      </c>
      <c r="P34" s="133">
        <f>+Actuals!M178</f>
        <v>7121</v>
      </c>
      <c r="Q34" s="134">
        <f>+Actuals!N178</f>
        <v>12608.18</v>
      </c>
      <c r="R34" s="133">
        <f>+Actuals!O178</f>
        <v>396</v>
      </c>
      <c r="S34" s="134">
        <f>+Actuals!P178</f>
        <v>726.77</v>
      </c>
      <c r="T34" s="133">
        <f>+Actuals!Q178</f>
        <v>0</v>
      </c>
      <c r="U34" s="134">
        <f>+Actuals!R178</f>
        <v>0</v>
      </c>
      <c r="V34" s="133">
        <f>+Actuals!S178</f>
        <v>0</v>
      </c>
      <c r="W34" s="134">
        <f>+Actuals!T178</f>
        <v>0</v>
      </c>
      <c r="X34" s="133">
        <f>+Actuals!U178</f>
        <v>32202</v>
      </c>
      <c r="Y34" s="134">
        <f>+Actuals!V178</f>
        <v>54263.59</v>
      </c>
      <c r="Z34" s="133">
        <f>+Actuals!W178</f>
        <v>0</v>
      </c>
      <c r="AA34" s="134">
        <f>+Actuals!X178</f>
        <v>0</v>
      </c>
      <c r="AB34" s="133">
        <f>+Actuals!Y178</f>
        <v>0</v>
      </c>
      <c r="AC34" s="134">
        <f>+Actuals!Z178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  <c r="AL34" s="133">
        <f>+Actuals!AI258</f>
        <v>0</v>
      </c>
      <c r="AM34" s="134">
        <f>+Actuals!AJ258</f>
        <v>0</v>
      </c>
      <c r="AN34" s="133">
        <f>+Actuals!AK258</f>
        <v>0</v>
      </c>
      <c r="AO34" s="134">
        <f>+Actuals!AL258</f>
        <v>0</v>
      </c>
      <c r="AP34" s="133">
        <f>+Actuals!AM258</f>
        <v>0</v>
      </c>
      <c r="AQ34" s="134">
        <f>+Actuals!AN258</f>
        <v>0</v>
      </c>
      <c r="AR34" s="133">
        <f>+Actuals!AO258</f>
        <v>0</v>
      </c>
      <c r="AS34" s="134">
        <f>+Actuals!AP258</f>
        <v>0</v>
      </c>
      <c r="AT34" s="133">
        <f>+Actuals!AQ258</f>
        <v>0</v>
      </c>
      <c r="AU34" s="134">
        <f>+Actuals!AR258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-36367</v>
      </c>
      <c r="F35" s="81">
        <f>'TIE-OUT'!H35+RECLASS!H35</f>
        <v>0</v>
      </c>
      <c r="G35" s="82">
        <f>'TIE-OUT'!I35+RECLASS!I35</f>
        <v>0</v>
      </c>
      <c r="H35" s="133">
        <f>+Actuals!E179</f>
        <v>0</v>
      </c>
      <c r="I35" s="134">
        <f>+Actuals!F179</f>
        <v>0</v>
      </c>
      <c r="J35" s="133">
        <f>+Actuals!G179</f>
        <v>364400</v>
      </c>
      <c r="K35" s="153">
        <f>+Actuals!H179</f>
        <v>0</v>
      </c>
      <c r="L35" s="133">
        <f>+Actuals!I179</f>
        <v>0</v>
      </c>
      <c r="M35" s="134">
        <f>+Actuals!J179</f>
        <v>0</v>
      </c>
      <c r="N35" s="133">
        <f>+Actuals!K179</f>
        <v>-364400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0</v>
      </c>
      <c r="X35" s="133">
        <f>+Actuals!U179</f>
        <v>0</v>
      </c>
      <c r="Y35" s="134">
        <f>+Actuals!V179</f>
        <v>-36367</v>
      </c>
      <c r="Z35" s="133">
        <f>+Actuals!W179</f>
        <v>0</v>
      </c>
      <c r="AA35" s="134">
        <f>+Actuals!X179</f>
        <v>0</v>
      </c>
      <c r="AB35" s="133">
        <f>+Actuals!Y179</f>
        <v>0</v>
      </c>
      <c r="AC35" s="134">
        <f>+Actuals!Z179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  <c r="AL35" s="133">
        <f>+Actuals!AI259</f>
        <v>0</v>
      </c>
      <c r="AM35" s="134">
        <f>+Actuals!AJ259</f>
        <v>0</v>
      </c>
      <c r="AN35" s="133">
        <f>+Actuals!AK259</f>
        <v>0</v>
      </c>
      <c r="AO35" s="134">
        <f>+Actuals!AL259</f>
        <v>0</v>
      </c>
      <c r="AP35" s="133">
        <f>+Actuals!AM259</f>
        <v>0</v>
      </c>
      <c r="AQ35" s="134">
        <f>+Actuals!AN259</f>
        <v>0</v>
      </c>
      <c r="AR35" s="133">
        <f>+Actuals!AO259</f>
        <v>0</v>
      </c>
      <c r="AS35" s="134">
        <f>+Actuals!AP259</f>
        <v>0</v>
      </c>
      <c r="AT35" s="133">
        <f>+Actuals!AQ259</f>
        <v>0</v>
      </c>
      <c r="AU35" s="134">
        <f>+Actuals!AR259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4653</v>
      </c>
      <c r="E36" s="39">
        <f t="shared" si="12"/>
        <v>-34710.563000000024</v>
      </c>
      <c r="F36" s="61">
        <f t="shared" si="12"/>
        <v>0</v>
      </c>
      <c r="G36" s="39">
        <f t="shared" si="12"/>
        <v>0</v>
      </c>
      <c r="H36" s="61">
        <f t="shared" si="12"/>
        <v>-25563</v>
      </c>
      <c r="I36" s="39">
        <f t="shared" si="12"/>
        <v>-45706.64</v>
      </c>
      <c r="J36" s="61">
        <f t="shared" si="12"/>
        <v>-383439</v>
      </c>
      <c r="K36" s="154">
        <f t="shared" si="12"/>
        <v>-1184766.9100000001</v>
      </c>
      <c r="L36" s="61">
        <f t="shared" si="12"/>
        <v>46498</v>
      </c>
      <c r="M36" s="39">
        <f t="shared" si="12"/>
        <v>-171877.13399999999</v>
      </c>
      <c r="N36" s="61">
        <f t="shared" si="12"/>
        <v>6316</v>
      </c>
      <c r="O36" s="39">
        <f t="shared" si="12"/>
        <v>494885.30899999995</v>
      </c>
      <c r="P36" s="61">
        <f t="shared" si="12"/>
        <v>47892</v>
      </c>
      <c r="Q36" s="39">
        <f t="shared" si="12"/>
        <v>162638.86799999999</v>
      </c>
      <c r="R36" s="61">
        <f t="shared" si="12"/>
        <v>-7773</v>
      </c>
      <c r="S36" s="39">
        <f t="shared" si="12"/>
        <v>-8632.018</v>
      </c>
      <c r="T36" s="61">
        <f t="shared" si="12"/>
        <v>278040</v>
      </c>
      <c r="U36" s="39">
        <f t="shared" si="12"/>
        <v>501155.67499999999</v>
      </c>
      <c r="V36" s="61">
        <f t="shared" si="12"/>
        <v>-2</v>
      </c>
      <c r="W36" s="39">
        <f t="shared" si="12"/>
        <v>27353.042000000005</v>
      </c>
      <c r="X36" s="61">
        <f t="shared" si="12"/>
        <v>44391</v>
      </c>
      <c r="Y36" s="39">
        <f t="shared" si="12"/>
        <v>193259.85500000001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-1707</v>
      </c>
      <c r="AU36" s="39">
        <f>SUM(AU32:AU35)</f>
        <v>-3020.6099999999997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-5666</v>
      </c>
      <c r="E39" s="38">
        <f t="shared" si="15"/>
        <v>-13116.79</v>
      </c>
      <c r="F39" s="64">
        <f>'TIE-OUT'!H39+RECLASS!H39</f>
        <v>0</v>
      </c>
      <c r="G39" s="68">
        <f>'TIE-OUT'!I39+RECLASS!I39</f>
        <v>0</v>
      </c>
      <c r="H39" s="133">
        <f>+Actuals!E180</f>
        <v>0</v>
      </c>
      <c r="I39" s="134">
        <f>+Actuals!F180</f>
        <v>0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0</v>
      </c>
      <c r="O39" s="134">
        <f>+Actuals!L180</f>
        <v>0</v>
      </c>
      <c r="P39" s="133">
        <f>+Actuals!M180</f>
        <v>-5666</v>
      </c>
      <c r="Q39" s="134">
        <f>+Actuals!N180</f>
        <v>-13116.79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+Actuals!Y180</f>
        <v>0</v>
      </c>
      <c r="AC39" s="134">
        <f>+Actuals!Z180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f>+Actuals!AH260</f>
        <v>0</v>
      </c>
      <c r="AL39" s="133">
        <f>+Actuals!AI260</f>
        <v>0</v>
      </c>
      <c r="AM39" s="134">
        <f>+Actuals!AJ260</f>
        <v>0</v>
      </c>
      <c r="AN39" s="133">
        <f>+Actuals!AK260</f>
        <v>0</v>
      </c>
      <c r="AO39" s="134">
        <f>+Actuals!AL260</f>
        <v>0</v>
      </c>
      <c r="AP39" s="133">
        <f>+Actuals!AM260</f>
        <v>0</v>
      </c>
      <c r="AQ39" s="134">
        <f>+Actuals!AN260</f>
        <v>0</v>
      </c>
      <c r="AR39" s="133">
        <f>+Actuals!AO260</f>
        <v>0</v>
      </c>
      <c r="AS39" s="134">
        <f>+Actuals!AP260</f>
        <v>0</v>
      </c>
      <c r="AT39" s="133">
        <f>+Actuals!AQ260</f>
        <v>0</v>
      </c>
      <c r="AU39" s="134">
        <f>+Actuals!AR260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-8999127</v>
      </c>
      <c r="E40" s="38">
        <f t="shared" si="15"/>
        <v>-20191031.359999999</v>
      </c>
      <c r="F40" s="60">
        <f>'TIE-OUT'!H40+RECLASS!H40</f>
        <v>0</v>
      </c>
      <c r="G40" s="38">
        <f>'TIE-OUT'!I40+RECLASS!I40</f>
        <v>0</v>
      </c>
      <c r="H40" s="133">
        <f>+Actuals!E181</f>
        <v>-10091728</v>
      </c>
      <c r="I40" s="134">
        <f>+Actuals!F181</f>
        <v>-6970484.7400000002</v>
      </c>
      <c r="J40" s="133">
        <f>+Actuals!G181</f>
        <v>276407</v>
      </c>
      <c r="K40" s="153">
        <f>+Actuals!H181</f>
        <v>627077.6</v>
      </c>
      <c r="L40" s="133">
        <f>+Actuals!I181</f>
        <v>55915</v>
      </c>
      <c r="M40" s="134">
        <f>+Actuals!J181</f>
        <v>-15645931.83</v>
      </c>
      <c r="N40" s="133">
        <f>+Actuals!K181</f>
        <v>5666</v>
      </c>
      <c r="O40" s="134">
        <f>+Actuals!L181</f>
        <v>13116.79</v>
      </c>
      <c r="P40" s="133">
        <f>+Actuals!M181</f>
        <v>-37490</v>
      </c>
      <c r="Q40" s="134">
        <f>+Actuals!N181</f>
        <v>-75716.81</v>
      </c>
      <c r="R40" s="133">
        <f>+Actuals!O181</f>
        <v>0</v>
      </c>
      <c r="S40" s="134">
        <f>+Actuals!P181</f>
        <v>0</v>
      </c>
      <c r="T40" s="133">
        <f>+Actuals!Q181</f>
        <v>-278003</v>
      </c>
      <c r="U40" s="134">
        <f>+Actuals!R181</f>
        <v>1860907.59</v>
      </c>
      <c r="V40" s="133">
        <f>+Actuals!S181</f>
        <v>0</v>
      </c>
      <c r="W40" s="134">
        <f>+Actuals!T181</f>
        <v>0</v>
      </c>
      <c r="X40" s="133">
        <f>+Actuals!U181</f>
        <v>1070106</v>
      </c>
      <c r="Y40" s="134">
        <f>+Actuals!V181</f>
        <v>0.04</v>
      </c>
      <c r="Z40" s="133">
        <f>+Actuals!W181</f>
        <v>0</v>
      </c>
      <c r="AA40" s="134">
        <f>+Actuals!X181</f>
        <v>0</v>
      </c>
      <c r="AB40" s="133">
        <f>+Actuals!Y181</f>
        <v>0</v>
      </c>
      <c r="AC40" s="134">
        <f>+Actuals!Z181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f>+Actuals!AG261</f>
        <v>0</v>
      </c>
      <c r="AK40" s="134">
        <f>+Actuals!AH261</f>
        <v>0</v>
      </c>
      <c r="AL40" s="133">
        <v>4035</v>
      </c>
      <c r="AM40" s="134">
        <v>-771039</v>
      </c>
      <c r="AN40" s="133">
        <v>-4035</v>
      </c>
      <c r="AO40" s="134">
        <v>771039</v>
      </c>
      <c r="AP40" s="133">
        <v>0</v>
      </c>
      <c r="AQ40" s="134">
        <v>0</v>
      </c>
      <c r="AR40" s="133">
        <v>0</v>
      </c>
      <c r="AS40" s="134">
        <v>0</v>
      </c>
      <c r="AT40" s="133">
        <v>0</v>
      </c>
      <c r="AU40" s="134"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117344</v>
      </c>
      <c r="F41" s="81">
        <f>'TIE-OUT'!H41+RECLASS!H41</f>
        <v>0</v>
      </c>
      <c r="G41" s="82">
        <f>'TIE-OUT'!I41+RECLASS!I41</f>
        <v>117344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+Actuals!Y182</f>
        <v>0</v>
      </c>
      <c r="AC41" s="134">
        <f>+Actuals!Z182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  <c r="AL41" s="133">
        <f>+Actuals!AI262</f>
        <v>0</v>
      </c>
      <c r="AM41" s="134">
        <f>+Actuals!AJ262</f>
        <v>0</v>
      </c>
      <c r="AN41" s="133">
        <f>+Actuals!AK262</f>
        <v>0</v>
      </c>
      <c r="AO41" s="134">
        <f>+Actuals!AL262</f>
        <v>0</v>
      </c>
      <c r="AP41" s="133">
        <f>+Actuals!AM262</f>
        <v>0</v>
      </c>
      <c r="AQ41" s="134">
        <f>+Actuals!AN262</f>
        <v>0</v>
      </c>
      <c r="AR41" s="133">
        <f>+Actuals!AO262</f>
        <v>0</v>
      </c>
      <c r="AS41" s="134">
        <f>+Actuals!AP262</f>
        <v>0</v>
      </c>
      <c r="AT41" s="133">
        <f>+Actuals!AQ262</f>
        <v>0</v>
      </c>
      <c r="AU41" s="134">
        <f>+Actuals!AR262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-8999127</v>
      </c>
      <c r="E42" s="39">
        <f t="shared" si="16"/>
        <v>-20073687.359999999</v>
      </c>
      <c r="F42" s="61">
        <f t="shared" si="16"/>
        <v>0</v>
      </c>
      <c r="G42" s="39">
        <f t="shared" si="16"/>
        <v>117344</v>
      </c>
      <c r="H42" s="61">
        <f t="shared" si="16"/>
        <v>-10091728</v>
      </c>
      <c r="I42" s="39">
        <f t="shared" si="16"/>
        <v>-6970484.7400000002</v>
      </c>
      <c r="J42" s="61">
        <f t="shared" si="16"/>
        <v>276407</v>
      </c>
      <c r="K42" s="154">
        <f t="shared" si="16"/>
        <v>627077.6</v>
      </c>
      <c r="L42" s="61">
        <f t="shared" si="16"/>
        <v>55915</v>
      </c>
      <c r="M42" s="39">
        <f t="shared" si="16"/>
        <v>-15645931.83</v>
      </c>
      <c r="N42" s="61">
        <f t="shared" si="16"/>
        <v>5666</v>
      </c>
      <c r="O42" s="39">
        <f t="shared" si="16"/>
        <v>13116.79</v>
      </c>
      <c r="P42" s="61">
        <f t="shared" si="16"/>
        <v>-37490</v>
      </c>
      <c r="Q42" s="39">
        <f t="shared" si="16"/>
        <v>-75716.81</v>
      </c>
      <c r="R42" s="61">
        <f t="shared" si="16"/>
        <v>0</v>
      </c>
      <c r="S42" s="39">
        <f t="shared" si="16"/>
        <v>0</v>
      </c>
      <c r="T42" s="61">
        <f t="shared" si="16"/>
        <v>-278003</v>
      </c>
      <c r="U42" s="39">
        <f t="shared" si="16"/>
        <v>1860907.59</v>
      </c>
      <c r="V42" s="61">
        <f t="shared" si="16"/>
        <v>0</v>
      </c>
      <c r="W42" s="39">
        <f t="shared" si="16"/>
        <v>0</v>
      </c>
      <c r="X42" s="61">
        <f t="shared" si="16"/>
        <v>1070106</v>
      </c>
      <c r="Y42" s="39">
        <f t="shared" si="16"/>
        <v>0.04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4035</v>
      </c>
      <c r="AM42" s="39">
        <f t="shared" si="18"/>
        <v>-771039</v>
      </c>
      <c r="AN42" s="61">
        <f t="shared" si="18"/>
        <v>-4035</v>
      </c>
      <c r="AO42" s="39">
        <f t="shared" si="18"/>
        <v>771039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-9004793</v>
      </c>
      <c r="E43" s="39">
        <f t="shared" si="19"/>
        <v>-20086804.149999999</v>
      </c>
      <c r="F43" s="61">
        <f t="shared" si="19"/>
        <v>0</v>
      </c>
      <c r="G43" s="39">
        <f t="shared" si="19"/>
        <v>117344</v>
      </c>
      <c r="H43" s="61">
        <f t="shared" si="19"/>
        <v>-10091728</v>
      </c>
      <c r="I43" s="39">
        <f t="shared" si="19"/>
        <v>-6970484.7400000002</v>
      </c>
      <c r="J43" s="61">
        <f t="shared" si="19"/>
        <v>276407</v>
      </c>
      <c r="K43" s="154">
        <f t="shared" si="19"/>
        <v>627077.6</v>
      </c>
      <c r="L43" s="61">
        <f t="shared" si="19"/>
        <v>55915</v>
      </c>
      <c r="M43" s="39">
        <f t="shared" si="19"/>
        <v>-15645931.83</v>
      </c>
      <c r="N43" s="61">
        <f t="shared" si="19"/>
        <v>5666</v>
      </c>
      <c r="O43" s="39">
        <f t="shared" si="19"/>
        <v>13116.79</v>
      </c>
      <c r="P43" s="61">
        <f t="shared" si="19"/>
        <v>-43156</v>
      </c>
      <c r="Q43" s="39">
        <f t="shared" si="19"/>
        <v>-88833.600000000006</v>
      </c>
      <c r="R43" s="61">
        <f t="shared" si="19"/>
        <v>0</v>
      </c>
      <c r="S43" s="39">
        <f t="shared" si="19"/>
        <v>0</v>
      </c>
      <c r="T43" s="61">
        <f t="shared" si="19"/>
        <v>-278003</v>
      </c>
      <c r="U43" s="39">
        <f t="shared" si="19"/>
        <v>1860907.59</v>
      </c>
      <c r="V43" s="61">
        <f t="shared" si="19"/>
        <v>0</v>
      </c>
      <c r="W43" s="39">
        <f t="shared" si="19"/>
        <v>0</v>
      </c>
      <c r="X43" s="61">
        <f t="shared" si="19"/>
        <v>1070106</v>
      </c>
      <c r="Y43" s="39">
        <f t="shared" si="19"/>
        <v>0.04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4035</v>
      </c>
      <c r="AM43" s="39">
        <f t="shared" si="21"/>
        <v>-771039</v>
      </c>
      <c r="AN43" s="61">
        <f t="shared" si="21"/>
        <v>-4035</v>
      </c>
      <c r="AO43" s="39">
        <f t="shared" si="21"/>
        <v>771039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+Actuals!Y183</f>
        <v>0</v>
      </c>
      <c r="AC45" s="134">
        <f>+Actuals!Z183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  <c r="AL45" s="133">
        <f>+Actuals!AI263</f>
        <v>0</v>
      </c>
      <c r="AM45" s="134">
        <f>+Actuals!AJ263</f>
        <v>0</v>
      </c>
      <c r="AN45" s="133">
        <f>+Actuals!AK263</f>
        <v>0</v>
      </c>
      <c r="AO45" s="134">
        <f>+Actuals!AL263</f>
        <v>0</v>
      </c>
      <c r="AP45" s="133">
        <f>+Actuals!AM263</f>
        <v>0</v>
      </c>
      <c r="AQ45" s="134">
        <f>+Actuals!AN263</f>
        <v>0</v>
      </c>
      <c r="AR45" s="133">
        <f>+Actuals!AO263</f>
        <v>0</v>
      </c>
      <c r="AS45" s="134">
        <f>+Actuals!AP263</f>
        <v>0</v>
      </c>
      <c r="AT45" s="133">
        <f>+Actuals!AQ263</f>
        <v>0</v>
      </c>
      <c r="AU45" s="134">
        <f>+Actuals!AR263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+Actuals!Y184</f>
        <v>0</v>
      </c>
      <c r="AC47" s="134">
        <f>+Actuals!Z184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  <c r="AL47" s="133">
        <f>+Actuals!AI264</f>
        <v>0</v>
      </c>
      <c r="AM47" s="134">
        <f>+Actuals!AJ264</f>
        <v>0</v>
      </c>
      <c r="AN47" s="133">
        <f>+Actuals!AK264</f>
        <v>0</v>
      </c>
      <c r="AO47" s="134">
        <f>+Actuals!AL264</f>
        <v>0</v>
      </c>
      <c r="AP47" s="133">
        <f>+Actuals!AM264</f>
        <v>0</v>
      </c>
      <c r="AQ47" s="134">
        <f>+Actuals!AN264</f>
        <v>0</v>
      </c>
      <c r="AR47" s="133">
        <f>+Actuals!AO264</f>
        <v>0</v>
      </c>
      <c r="AS47" s="134">
        <f>+Actuals!AP264</f>
        <v>0</v>
      </c>
      <c r="AT47" s="133">
        <f>+Actuals!AQ264</f>
        <v>0</v>
      </c>
      <c r="AU47" s="134">
        <f>+Actuals!AR264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-669154</v>
      </c>
      <c r="E49" s="38">
        <f t="shared" si="22"/>
        <v>-1196844.3699999999</v>
      </c>
      <c r="F49" s="60">
        <f>'TIE-OUT'!H49+RECLASS!H49</f>
        <v>0</v>
      </c>
      <c r="G49" s="38">
        <f>'TIE-OUT'!I49+RECLASS!I49</f>
        <v>0</v>
      </c>
      <c r="H49" s="133">
        <f>+Actuals!E185</f>
        <v>363466</v>
      </c>
      <c r="I49" s="134">
        <f>+Actuals!F185</f>
        <v>649877.20799999998</v>
      </c>
      <c r="J49" s="133">
        <f>+Actuals!G185</f>
        <v>70927</v>
      </c>
      <c r="K49" s="153">
        <f>+Actuals!H185</f>
        <v>126817.47599999979</v>
      </c>
      <c r="L49" s="133">
        <f>+Actuals!I185</f>
        <v>-19518</v>
      </c>
      <c r="M49" s="134">
        <f>+Actuals!J185</f>
        <v>2625350.7960000001</v>
      </c>
      <c r="N49" s="133">
        <f>+Actuals!K185</f>
        <v>7913</v>
      </c>
      <c r="O49" s="134">
        <f>+Actuals!L185</f>
        <v>-2646497.5559999999</v>
      </c>
      <c r="P49" s="133">
        <f>+Actuals!M185</f>
        <v>5938</v>
      </c>
      <c r="Q49" s="134">
        <f>+Actuals!N185</f>
        <v>10617.144</v>
      </c>
      <c r="R49" s="133">
        <f>+Actuals!O185</f>
        <v>6364</v>
      </c>
      <c r="S49" s="134">
        <f>+Actuals!P185</f>
        <v>11378.832</v>
      </c>
      <c r="T49" s="133">
        <f>+Actuals!Q185</f>
        <v>-2545</v>
      </c>
      <c r="U49" s="134">
        <f>+Actuals!R185</f>
        <v>-4550.46</v>
      </c>
      <c r="V49" s="133">
        <f>+Actuals!S185</f>
        <v>0</v>
      </c>
      <c r="W49" s="134">
        <f>+Actuals!T185</f>
        <v>0</v>
      </c>
      <c r="X49" s="133">
        <f>+Actuals!U185</f>
        <v>-1082333</v>
      </c>
      <c r="Y49" s="134">
        <f>+Actuals!V185</f>
        <v>-1935211.4040000001</v>
      </c>
      <c r="Z49" s="133">
        <f>+Actuals!W185</f>
        <v>0</v>
      </c>
      <c r="AA49" s="134">
        <f>+Actuals!X185</f>
        <v>0</v>
      </c>
      <c r="AB49" s="133">
        <f>+Actuals!Y185</f>
        <v>-19053</v>
      </c>
      <c r="AC49" s="134">
        <f>+Actuals!Z185</f>
        <v>-34066.764000000003</v>
      </c>
      <c r="AD49" s="133">
        <f>+Actuals!AA265</f>
        <v>19053</v>
      </c>
      <c r="AE49" s="134">
        <f>+Actuals!AB265</f>
        <v>34066.764000000003</v>
      </c>
      <c r="AF49" s="133">
        <f>+Actuals!AC265</f>
        <v>0</v>
      </c>
      <c r="AG49" s="134">
        <f>+Actuals!AD265</f>
        <v>0</v>
      </c>
      <c r="AH49" s="133">
        <f>+Actuals!AE265</f>
        <v>-19053</v>
      </c>
      <c r="AI49" s="134">
        <f>+Actuals!AF265</f>
        <v>-34066.764000000003</v>
      </c>
      <c r="AJ49" s="133">
        <f>+Actuals!AG265</f>
        <v>0</v>
      </c>
      <c r="AK49" s="134">
        <f>+Actuals!AH265</f>
        <v>0</v>
      </c>
      <c r="AL49" s="133">
        <f>+Actuals!AI265-4035</f>
        <v>-6054</v>
      </c>
      <c r="AM49" s="134">
        <f>+Actuals!AJ265-7215</f>
        <v>-10824.972</v>
      </c>
      <c r="AN49" s="133">
        <f>+Actuals!AK265+4035</f>
        <v>4035</v>
      </c>
      <c r="AO49" s="134">
        <f>+Actuals!AL265+7215</f>
        <v>7215</v>
      </c>
      <c r="AP49" s="133">
        <v>0</v>
      </c>
      <c r="AQ49" s="134">
        <v>0</v>
      </c>
      <c r="AR49" s="133">
        <v>0</v>
      </c>
      <c r="AS49" s="134">
        <v>0</v>
      </c>
      <c r="AT49" s="133">
        <v>1706</v>
      </c>
      <c r="AU49" s="134">
        <v>3050.33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-1199008</v>
      </c>
      <c r="E51" s="38">
        <f t="shared" si="22"/>
        <v>-1600490.656</v>
      </c>
      <c r="F51" s="60">
        <f>'TIE-OUT'!H51+RECLASS!H51</f>
        <v>0</v>
      </c>
      <c r="G51" s="38">
        <f>'TIE-OUT'!I51+RECLASS!I51</f>
        <v>0</v>
      </c>
      <c r="H51" s="133">
        <f>+Actuals!E186</f>
        <v>-1038487</v>
      </c>
      <c r="I51" s="134">
        <f>+Actuals!F186</f>
        <v>-1856814.76</v>
      </c>
      <c r="J51" s="133">
        <f>+Actuals!G186</f>
        <v>175151</v>
      </c>
      <c r="K51" s="153">
        <f>+Actuals!H186</f>
        <v>313169.98800000001</v>
      </c>
      <c r="L51" s="133">
        <f>+Actuals!I186</f>
        <v>-34742</v>
      </c>
      <c r="M51" s="134">
        <f>+Actuals!J186</f>
        <v>-62118.696000000004</v>
      </c>
      <c r="N51" s="133">
        <f>+Actuals!K186</f>
        <v>-136</v>
      </c>
      <c r="O51" s="134">
        <f>+Actuals!L186</f>
        <v>-243.16800000000001</v>
      </c>
      <c r="P51" s="133">
        <f>+Actuals!M186</f>
        <v>3084</v>
      </c>
      <c r="Q51" s="134">
        <f>+Actuals!N186</f>
        <v>5514.192</v>
      </c>
      <c r="R51" s="133">
        <f>+Actuals!O186</f>
        <v>1</v>
      </c>
      <c r="S51" s="134">
        <f>+Actuals!P186</f>
        <v>1.788</v>
      </c>
      <c r="T51" s="133">
        <f>+Actuals!Q186</f>
        <v>0</v>
      </c>
      <c r="U51" s="134">
        <f>+Actuals!R186</f>
        <v>0</v>
      </c>
      <c r="V51" s="133">
        <f>+Actuals!S186</f>
        <v>0</v>
      </c>
      <c r="W51" s="134">
        <f>+Actuals!T186</f>
        <v>0</v>
      </c>
      <c r="X51" s="133">
        <f>+Actuals!U186</f>
        <v>-303879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+Actuals!Y186</f>
        <v>0</v>
      </c>
      <c r="AC51" s="134">
        <f>+Actuals!Z186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  <c r="AL51" s="133">
        <f>+Actuals!AI266</f>
        <v>0</v>
      </c>
      <c r="AM51" s="134">
        <f>+Actuals!AJ266</f>
        <v>0</v>
      </c>
      <c r="AN51" s="133">
        <f>+Actuals!AK266</f>
        <v>0</v>
      </c>
      <c r="AO51" s="134">
        <f>+Actuals!AL266</f>
        <v>0</v>
      </c>
      <c r="AP51" s="133">
        <f>+Actuals!AM266</f>
        <v>0</v>
      </c>
      <c r="AQ51" s="134">
        <f>+Actuals!AN266</f>
        <v>0</v>
      </c>
      <c r="AR51" s="133">
        <f>+Actuals!AO266</f>
        <v>0</v>
      </c>
      <c r="AS51" s="134">
        <f>+Actuals!AP266</f>
        <v>0</v>
      </c>
      <c r="AT51" s="133">
        <f>+Actuals!AQ266</f>
        <v>0</v>
      </c>
      <c r="AU51" s="134">
        <f>+Actuals!AR266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-47485773</v>
      </c>
      <c r="E54" s="38">
        <f>SUM(G54,I54,K54,M54,O54,Q54,S54,U54,W54,Y54,AA54,AC54,AE54,AG54,AI54,AK54,AM54,AO54,AQ54,AS54,AU54)</f>
        <v>-1210974.19</v>
      </c>
      <c r="F54" s="64">
        <f>'TIE-OUT'!H54+RECLASS!H54</f>
        <v>0</v>
      </c>
      <c r="G54" s="68">
        <f>'TIE-OUT'!I54+RECLASS!I54</f>
        <v>0</v>
      </c>
      <c r="H54" s="133">
        <f>+Actuals!E187</f>
        <v>-50252924</v>
      </c>
      <c r="I54" s="134">
        <f>+Actuals!F187</f>
        <v>-2330384.9300000002</v>
      </c>
      <c r="J54" s="133">
        <f>+Actuals!G187</f>
        <v>2762839</v>
      </c>
      <c r="K54" s="153">
        <f>+Actuals!H187</f>
        <v>755204.55</v>
      </c>
      <c r="L54" s="133">
        <f>+Actuals!I187</f>
        <v>6517</v>
      </c>
      <c r="M54" s="134">
        <f>+Actuals!J187</f>
        <v>-38368.589999999997</v>
      </c>
      <c r="N54" s="133">
        <f>+Actuals!K187</f>
        <v>-30790</v>
      </c>
      <c r="O54" s="134">
        <f>+Actuals!L187</f>
        <v>-6283.65</v>
      </c>
      <c r="P54" s="133">
        <f>+Actuals!M187</f>
        <v>-1376</v>
      </c>
      <c r="Q54" s="134">
        <f>+Actuals!N187</f>
        <v>-13902.79</v>
      </c>
      <c r="R54" s="133">
        <f>+Actuals!O187</f>
        <v>30000</v>
      </c>
      <c r="S54" s="134">
        <f>+Actuals!P187</f>
        <v>53700</v>
      </c>
      <c r="T54" s="133">
        <f>+Actuals!Q187</f>
        <v>0</v>
      </c>
      <c r="U54" s="134">
        <f>+Actuals!R187</f>
        <v>0</v>
      </c>
      <c r="V54" s="133">
        <f>+Actuals!S187</f>
        <v>-39</v>
      </c>
      <c r="W54" s="134">
        <f>+Actuals!T187</f>
        <v>-6.4</v>
      </c>
      <c r="X54" s="133">
        <f>+Actuals!U187</f>
        <v>0</v>
      </c>
      <c r="Y54" s="134">
        <f>+Actuals!V187+444146</f>
        <v>444146</v>
      </c>
      <c r="Z54" s="133">
        <f>+Actuals!W187</f>
        <v>0</v>
      </c>
      <c r="AA54" s="134">
        <f>+Actuals!X187</f>
        <v>0</v>
      </c>
      <c r="AB54" s="133">
        <f>+Actuals!Y187</f>
        <v>0</v>
      </c>
      <c r="AC54" s="134">
        <f>+Actuals!Z187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  <c r="AJ54" s="133">
        <f>+Actuals!AG267</f>
        <v>0</v>
      </c>
      <c r="AK54" s="134">
        <f>+Actuals!AH267</f>
        <v>0</v>
      </c>
      <c r="AL54" s="133">
        <f>+Actuals!AI267</f>
        <v>0</v>
      </c>
      <c r="AM54" s="134">
        <f>+Actuals!AJ267</f>
        <v>-74974.48</v>
      </c>
      <c r="AN54" s="133">
        <f>+Actuals!AK267</f>
        <v>0</v>
      </c>
      <c r="AO54" s="134">
        <f>+Actuals!AL267</f>
        <v>-103.9</v>
      </c>
      <c r="AP54" s="133">
        <f>+Actuals!AM267</f>
        <v>0</v>
      </c>
      <c r="AQ54" s="134">
        <f>+Actuals!AN267</f>
        <v>0</v>
      </c>
      <c r="AR54" s="133">
        <f>+Actuals!AO267</f>
        <v>0</v>
      </c>
      <c r="AS54" s="134">
        <f>+Actuals!AP267</f>
        <v>0</v>
      </c>
      <c r="AT54" s="133">
        <f>+Actuals!AQ267</f>
        <v>0</v>
      </c>
      <c r="AU54" s="134">
        <f>+Actuals!AR267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-15285348.920000002</v>
      </c>
      <c r="F55" s="81">
        <f>'TIE-OUT'!H55+RECLASS!H55</f>
        <v>0</v>
      </c>
      <c r="G55" s="82">
        <f>'TIE-OUT'!I55+RECLASS!I55</f>
        <v>637573.26</v>
      </c>
      <c r="H55" s="133">
        <f>+Actuals!E188</f>
        <v>0</v>
      </c>
      <c r="I55" s="134">
        <f>+Actuals!F188</f>
        <v>-15978696.720000001</v>
      </c>
      <c r="J55" s="133">
        <f>+Actuals!G188</f>
        <v>0</v>
      </c>
      <c r="K55" s="153">
        <f>+Actuals!H188</f>
        <v>-27036.05</v>
      </c>
      <c r="L55" s="133">
        <f>+Actuals!I188</f>
        <v>0</v>
      </c>
      <c r="M55" s="134">
        <f>+Actuals!J188</f>
        <v>77829.63</v>
      </c>
      <c r="N55" s="133">
        <f>+Actuals!K188</f>
        <v>0</v>
      </c>
      <c r="O55" s="134">
        <f>+Actuals!L188</f>
        <v>-543.05999999999995</v>
      </c>
      <c r="P55" s="133">
        <f>+Actuals!M188</f>
        <v>0</v>
      </c>
      <c r="Q55" s="134">
        <f>+Actuals!N188</f>
        <v>5524.02</v>
      </c>
      <c r="R55" s="133">
        <f>+Actuals!O188</f>
        <v>0</v>
      </c>
      <c r="S55" s="134">
        <f>+Actuals!P188</f>
        <v>-33.409999999999997</v>
      </c>
      <c r="T55" s="133">
        <f>+Actuals!Q188</f>
        <v>0</v>
      </c>
      <c r="U55" s="134">
        <f>+Actuals!R188</f>
        <v>33.409999999999997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+Actuals!Y188</f>
        <v>0</v>
      </c>
      <c r="AC55" s="134">
        <f>+Actuals!Z188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  <c r="AL55" s="133">
        <f>+Actuals!AI268</f>
        <v>0</v>
      </c>
      <c r="AM55" s="134">
        <f>+Actuals!AJ268</f>
        <v>0</v>
      </c>
      <c r="AN55" s="133">
        <f>+Actuals!AK268</f>
        <v>0</v>
      </c>
      <c r="AO55" s="134">
        <f>+Actuals!AL268</f>
        <v>0</v>
      </c>
      <c r="AP55" s="133">
        <f>+Actuals!AM268</f>
        <v>0</v>
      </c>
      <c r="AQ55" s="134">
        <f>+Actuals!AN268</f>
        <v>0</v>
      </c>
      <c r="AR55" s="133">
        <f>+Actuals!AO268</f>
        <v>0</v>
      </c>
      <c r="AS55" s="134">
        <f>+Actuals!AP268</f>
        <v>0</v>
      </c>
      <c r="AT55" s="133">
        <f>+Actuals!AQ268</f>
        <v>0</v>
      </c>
      <c r="AU55" s="134">
        <f>+Actuals!AR268</f>
        <v>0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-47485773</v>
      </c>
      <c r="E56" s="39">
        <f t="shared" si="23"/>
        <v>-16496323.110000001</v>
      </c>
      <c r="F56" s="61">
        <f t="shared" si="23"/>
        <v>0</v>
      </c>
      <c r="G56" s="39">
        <f t="shared" si="23"/>
        <v>637573.26</v>
      </c>
      <c r="H56" s="61">
        <f t="shared" si="23"/>
        <v>-50252924</v>
      </c>
      <c r="I56" s="39">
        <f t="shared" si="23"/>
        <v>-18309081.650000002</v>
      </c>
      <c r="J56" s="61">
        <f t="shared" si="23"/>
        <v>2762839</v>
      </c>
      <c r="K56" s="154">
        <f t="shared" si="23"/>
        <v>728168.5</v>
      </c>
      <c r="L56" s="61">
        <f t="shared" si="23"/>
        <v>6517</v>
      </c>
      <c r="M56" s="39">
        <f t="shared" si="23"/>
        <v>39461.040000000008</v>
      </c>
      <c r="N56" s="61">
        <f t="shared" si="23"/>
        <v>-30790</v>
      </c>
      <c r="O56" s="39">
        <f t="shared" si="23"/>
        <v>-6826.7099999999991</v>
      </c>
      <c r="P56" s="61">
        <f t="shared" si="23"/>
        <v>-1376</v>
      </c>
      <c r="Q56" s="39">
        <f t="shared" si="23"/>
        <v>-8378.77</v>
      </c>
      <c r="R56" s="61">
        <f t="shared" si="23"/>
        <v>30000</v>
      </c>
      <c r="S56" s="39">
        <f t="shared" si="23"/>
        <v>53666.59</v>
      </c>
      <c r="T56" s="61">
        <f t="shared" si="23"/>
        <v>0</v>
      </c>
      <c r="U56" s="39">
        <f t="shared" si="23"/>
        <v>33.409999999999997</v>
      </c>
      <c r="V56" s="61">
        <f t="shared" si="23"/>
        <v>-39</v>
      </c>
      <c r="W56" s="39">
        <f t="shared" si="23"/>
        <v>-6.4</v>
      </c>
      <c r="X56" s="61">
        <f t="shared" si="23"/>
        <v>0</v>
      </c>
      <c r="Y56" s="39">
        <f t="shared" si="23"/>
        <v>444146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-74974.48</v>
      </c>
      <c r="AN56" s="61">
        <f t="shared" si="25"/>
        <v>0</v>
      </c>
      <c r="AO56" s="39">
        <f t="shared" si="25"/>
        <v>-103.9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+Actuals!Y189</f>
        <v>0</v>
      </c>
      <c r="AC59" s="134">
        <f>+Actuals!Z189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  <c r="AL59" s="133">
        <f>+Actuals!AI269</f>
        <v>0</v>
      </c>
      <c r="AM59" s="134">
        <f>+Actuals!AJ269</f>
        <v>0</v>
      </c>
      <c r="AN59" s="133">
        <f>+Actuals!AK269</f>
        <v>0</v>
      </c>
      <c r="AO59" s="134">
        <f>+Actuals!AL269</f>
        <v>0</v>
      </c>
      <c r="AP59" s="133">
        <f>+Actuals!AM269</f>
        <v>0</v>
      </c>
      <c r="AQ59" s="134">
        <f>+Actuals!AN269</f>
        <v>0</v>
      </c>
      <c r="AR59" s="133">
        <f>+Actuals!AO269</f>
        <v>0</v>
      </c>
      <c r="AS59" s="134">
        <f>+Actuals!AP269</f>
        <v>0</v>
      </c>
      <c r="AT59" s="133">
        <f>+Actuals!AQ269</f>
        <v>0</v>
      </c>
      <c r="AU59" s="134">
        <f>+Actuals!AR269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+Actuals!Y190</f>
        <v>0</v>
      </c>
      <c r="AC60" s="134">
        <f>+Actuals!Z190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  <c r="AL60" s="133">
        <f>+Actuals!AI270</f>
        <v>0</v>
      </c>
      <c r="AM60" s="134">
        <f>+Actuals!AJ270</f>
        <v>0</v>
      </c>
      <c r="AN60" s="133">
        <f>+Actuals!AK270</f>
        <v>0</v>
      </c>
      <c r="AO60" s="134">
        <f>+Actuals!AL270</f>
        <v>0</v>
      </c>
      <c r="AP60" s="133">
        <f>+Actuals!AM270</f>
        <v>0</v>
      </c>
      <c r="AQ60" s="134">
        <f>+Actuals!AN270</f>
        <v>0</v>
      </c>
      <c r="AR60" s="133">
        <f>+Actuals!AO270</f>
        <v>0</v>
      </c>
      <c r="AS60" s="134">
        <f>+Actuals!AP270</f>
        <v>0</v>
      </c>
      <c r="AT60" s="133">
        <f>+Actuals!AQ270</f>
        <v>0</v>
      </c>
      <c r="AU60" s="134">
        <f>+Actuals!AR270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+Actuals!Y191</f>
        <v>0</v>
      </c>
      <c r="AC64" s="134">
        <f>+Actuals!Z191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  <c r="AL64" s="133">
        <f>+Actuals!AI271</f>
        <v>0</v>
      </c>
      <c r="AM64" s="134">
        <f>+Actuals!AJ271</f>
        <v>0</v>
      </c>
      <c r="AN64" s="133">
        <f>+Actuals!AK271</f>
        <v>0</v>
      </c>
      <c r="AO64" s="134">
        <f>+Actuals!AL271</f>
        <v>0</v>
      </c>
      <c r="AP64" s="133">
        <f>+Actuals!AM271</f>
        <v>0</v>
      </c>
      <c r="AQ64" s="134">
        <f>+Actuals!AN271</f>
        <v>0</v>
      </c>
      <c r="AR64" s="133">
        <f>+Actuals!AO271</f>
        <v>0</v>
      </c>
      <c r="AS64" s="134">
        <f>+Actuals!AP271</f>
        <v>0</v>
      </c>
      <c r="AT64" s="133">
        <f>+Actuals!AQ271</f>
        <v>0</v>
      </c>
      <c r="AU64" s="134">
        <f>+Actuals!AR271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+Actuals!Y192</f>
        <v>0</v>
      </c>
      <c r="AC65" s="134">
        <f>+Actuals!Z192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  <c r="AL65" s="133">
        <f>+Actuals!AI272</f>
        <v>0</v>
      </c>
      <c r="AM65" s="134">
        <f>+Actuals!AJ272</f>
        <v>0</v>
      </c>
      <c r="AN65" s="133">
        <f>+Actuals!AK272</f>
        <v>0</v>
      </c>
      <c r="AO65" s="134">
        <f>+Actuals!AL272</f>
        <v>0</v>
      </c>
      <c r="AP65" s="133">
        <f>+Actuals!AM272</f>
        <v>0</v>
      </c>
      <c r="AQ65" s="134">
        <f>+Actuals!AN272</f>
        <v>0</v>
      </c>
      <c r="AR65" s="133">
        <f>+Actuals!AO272</f>
        <v>0</v>
      </c>
      <c r="AS65" s="134">
        <f>+Actuals!AP272</f>
        <v>0</v>
      </c>
      <c r="AT65" s="133">
        <f>+Actuals!AQ272</f>
        <v>0</v>
      </c>
      <c r="AU65" s="134">
        <f>+Actuals!AR272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-382917</v>
      </c>
      <c r="F66" s="61">
        <f t="shared" si="29"/>
        <v>0</v>
      </c>
      <c r="G66" s="39">
        <f t="shared" si="29"/>
        <v>-382917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-3030699.9600000009</v>
      </c>
      <c r="F70" s="64">
        <f>'TIE-OUT'!H70+RECLASS!H70</f>
        <v>0</v>
      </c>
      <c r="G70" s="68">
        <f>'TIE-OUT'!I70+RECLASS!I70</f>
        <v>-9262457.9600000009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10759654</v>
      </c>
      <c r="L70" s="133">
        <f>+Actuals!I193</f>
        <v>0</v>
      </c>
      <c r="M70" s="134">
        <f>+Actuals!J193</f>
        <v>0</v>
      </c>
      <c r="N70" s="133">
        <f>+Actuals!K193</f>
        <v>0</v>
      </c>
      <c r="O70" s="172">
        <v>-4527896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+Actuals!Y193</f>
        <v>0</v>
      </c>
      <c r="AC70" s="134">
        <f>+Actuals!Z193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  <c r="AL70" s="133">
        <f>+Actuals!AI273</f>
        <v>0</v>
      </c>
      <c r="AM70" s="134">
        <f>+Actuals!AJ273</f>
        <v>0</v>
      </c>
      <c r="AN70" s="133">
        <f>+Actuals!AK273</f>
        <v>0</v>
      </c>
      <c r="AO70" s="134">
        <f>+Actuals!AL273</f>
        <v>0</v>
      </c>
      <c r="AP70" s="133">
        <f>+Actuals!AM273</f>
        <v>0</v>
      </c>
      <c r="AQ70" s="134">
        <f>+Actuals!AN273</f>
        <v>0</v>
      </c>
      <c r="AR70" s="133">
        <f>+Actuals!AO273</f>
        <v>0</v>
      </c>
      <c r="AS70" s="134">
        <f>+Actuals!AP273</f>
        <v>0</v>
      </c>
      <c r="AT70" s="133">
        <f>+Actuals!AQ273</f>
        <v>0</v>
      </c>
      <c r="AU70" s="134">
        <f>+Actuals!AR273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+Actuals!Y194</f>
        <v>0</v>
      </c>
      <c r="AC71" s="134">
        <f>+Actuals!Z194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  <c r="AL71" s="133">
        <f>+Actuals!AI274</f>
        <v>0</v>
      </c>
      <c r="AM71" s="134">
        <f>+Actuals!AJ274</f>
        <v>0</v>
      </c>
      <c r="AN71" s="133">
        <f>+Actuals!AK274</f>
        <v>0</v>
      </c>
      <c r="AO71" s="134">
        <f>+Actuals!AL274</f>
        <v>0</v>
      </c>
      <c r="AP71" s="133">
        <f>+Actuals!AM274</f>
        <v>0</v>
      </c>
      <c r="AQ71" s="134">
        <f>+Actuals!AN274</f>
        <v>0</v>
      </c>
      <c r="AR71" s="133">
        <f>+Actuals!AO274</f>
        <v>0</v>
      </c>
      <c r="AS71" s="134">
        <f>+Actuals!AP274</f>
        <v>0</v>
      </c>
      <c r="AT71" s="133">
        <f>+Actuals!AQ274</f>
        <v>0</v>
      </c>
      <c r="AU71" s="134">
        <f>+Actuals!AR274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-3030699.9600000009</v>
      </c>
      <c r="F72" s="61">
        <f t="shared" si="32"/>
        <v>0</v>
      </c>
      <c r="G72" s="39">
        <f t="shared" si="32"/>
        <v>-9262457.9600000009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10759654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-4527896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+Actuals!Y195</f>
        <v>0</v>
      </c>
      <c r="AC73" s="134">
        <f>+Actuals!Z195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  <c r="AL73" s="133">
        <f>+Actuals!AI275</f>
        <v>0</v>
      </c>
      <c r="AM73" s="134">
        <f>+Actuals!AJ275</f>
        <v>0</v>
      </c>
      <c r="AN73" s="133">
        <f>+Actuals!AK275</f>
        <v>0</v>
      </c>
      <c r="AO73" s="134">
        <f>+Actuals!AL275</f>
        <v>0</v>
      </c>
      <c r="AP73" s="133">
        <f>+Actuals!AM275</f>
        <v>0</v>
      </c>
      <c r="AQ73" s="134">
        <f>+Actuals!AN275</f>
        <v>0</v>
      </c>
      <c r="AR73" s="133">
        <f>+Actuals!AO275</f>
        <v>0</v>
      </c>
      <c r="AS73" s="134">
        <f>+Actuals!AP275</f>
        <v>0</v>
      </c>
      <c r="AT73" s="133">
        <f>+Actuals!AQ275</f>
        <v>0</v>
      </c>
      <c r="AU73" s="134">
        <f>+Actuals!AR275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6332587.0399999991</v>
      </c>
      <c r="F74" s="60">
        <f>'TIE-OUT'!H74+RECLASS!H74</f>
        <v>0</v>
      </c>
      <c r="G74" s="60">
        <f>'TIE-OUT'!I74+RECLASS!I74</f>
        <v>6332587.0399999991</v>
      </c>
      <c r="H74" s="133">
        <f>+Actuals!E196</f>
        <v>0</v>
      </c>
      <c r="I74" s="134">
        <f>+Actuals!F196</f>
        <v>0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34">
        <f>+Actuals!J196</f>
        <v>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+Actuals!Y196</f>
        <v>0</v>
      </c>
      <c r="AC74" s="134">
        <f>+Actuals!Z196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  <c r="AL74" s="133">
        <f>+Actuals!AI276</f>
        <v>0</v>
      </c>
      <c r="AM74" s="134">
        <f>+Actuals!AJ276</f>
        <v>0</v>
      </c>
      <c r="AN74" s="133">
        <f>+Actuals!AK276</f>
        <v>0</v>
      </c>
      <c r="AO74" s="134">
        <f>+Actuals!AL276</f>
        <v>0</v>
      </c>
      <c r="AP74" s="133">
        <f>+Actuals!AM276</f>
        <v>0</v>
      </c>
      <c r="AQ74" s="134">
        <f>+Actuals!AN276</f>
        <v>0</v>
      </c>
      <c r="AR74" s="133">
        <f>+Actuals!AO276</f>
        <v>0</v>
      </c>
      <c r="AS74" s="134">
        <f>+Actuals!AP276</f>
        <v>0</v>
      </c>
      <c r="AT74" s="133">
        <f>+Actuals!AQ276</f>
        <v>0</v>
      </c>
      <c r="AU74" s="134">
        <f>+Actuals!AR276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16300</v>
      </c>
      <c r="F75" s="60">
        <f>'TIE-OUT'!H75+RECLASS!H75</f>
        <v>0</v>
      </c>
      <c r="G75" s="60">
        <f>'TIE-OUT'!I75+RECLASS!I75</f>
        <v>16300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+Actuals!Y197</f>
        <v>0</v>
      </c>
      <c r="AC75" s="134">
        <f>+Actuals!Z197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  <c r="AL75" s="133">
        <f>+Actuals!AI277</f>
        <v>0</v>
      </c>
      <c r="AM75" s="134">
        <f>+Actuals!AJ277</f>
        <v>0</v>
      </c>
      <c r="AN75" s="133">
        <f>+Actuals!AK277</f>
        <v>0</v>
      </c>
      <c r="AO75" s="134">
        <f>+Actuals!AL277</f>
        <v>0</v>
      </c>
      <c r="AP75" s="133">
        <f>+Actuals!AM277</f>
        <v>0</v>
      </c>
      <c r="AQ75" s="134">
        <f>+Actuals!AN277</f>
        <v>0</v>
      </c>
      <c r="AR75" s="133">
        <f>+Actuals!AO277</f>
        <v>0</v>
      </c>
      <c r="AS75" s="134">
        <f>+Actuals!AP277</f>
        <v>0</v>
      </c>
      <c r="AT75" s="133">
        <f>+Actuals!AQ277</f>
        <v>0</v>
      </c>
      <c r="AU75" s="134">
        <f>+Actuals!AR277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-184499.99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0</v>
      </c>
      <c r="J76" s="133">
        <f>+Actuals!G198</f>
        <v>0</v>
      </c>
      <c r="K76" s="153">
        <f>+Actuals!H198</f>
        <v>-184499.99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+Actuals!Y198</f>
        <v>0</v>
      </c>
      <c r="AC76" s="134">
        <f>+Actuals!Z198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  <c r="AL76" s="133">
        <f>+Actuals!AI278</f>
        <v>0</v>
      </c>
      <c r="AM76" s="134">
        <f>+Actuals!AJ278</f>
        <v>0</v>
      </c>
      <c r="AN76" s="133">
        <f>+Actuals!AK278</f>
        <v>0</v>
      </c>
      <c r="AO76" s="134">
        <f>+Actuals!AL278</f>
        <v>0</v>
      </c>
      <c r="AP76" s="133">
        <f>+Actuals!AM278</f>
        <v>0</v>
      </c>
      <c r="AQ76" s="134">
        <f>+Actuals!AN278</f>
        <v>0</v>
      </c>
      <c r="AR76" s="133">
        <f>+Actuals!AO278</f>
        <v>0</v>
      </c>
      <c r="AS76" s="134">
        <f>+Actuals!AP278</f>
        <v>0</v>
      </c>
      <c r="AT76" s="133">
        <f>+Actuals!AQ278</f>
        <v>0</v>
      </c>
      <c r="AU76" s="134">
        <f>+Actuals!AR278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-3276809</v>
      </c>
      <c r="F77" s="60">
        <f>'TIE-OUT'!H77+RECLASS!H77</f>
        <v>0</v>
      </c>
      <c r="G77" s="60">
        <f>'TIE-OUT'!I77+RECLASS!I77</f>
        <v>-3276809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+Actuals!Y199</f>
        <v>0</v>
      </c>
      <c r="AC77" s="134">
        <f>+Actuals!Z199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  <c r="AL77" s="133">
        <f>+Actuals!AI279</f>
        <v>0</v>
      </c>
      <c r="AM77" s="134">
        <f>+Actuals!AJ279</f>
        <v>0</v>
      </c>
      <c r="AN77" s="133">
        <f>+Actuals!AK279</f>
        <v>0</v>
      </c>
      <c r="AO77" s="134">
        <f>+Actuals!AL279</f>
        <v>0</v>
      </c>
      <c r="AP77" s="133">
        <f>+Actuals!AM279</f>
        <v>0</v>
      </c>
      <c r="AQ77" s="134">
        <f>+Actuals!AN279</f>
        <v>0</v>
      </c>
      <c r="AR77" s="133">
        <f>+Actuals!AO279</f>
        <v>0</v>
      </c>
      <c r="AS77" s="134">
        <f>+Actuals!AP279</f>
        <v>0</v>
      </c>
      <c r="AT77" s="133">
        <f>+Actuals!AQ279</f>
        <v>0</v>
      </c>
      <c r="AU77" s="134">
        <f>+Actuals!AR279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+Actuals!Y200</f>
        <v>0</v>
      </c>
      <c r="AC78" s="134">
        <f>+Actuals!Z200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  <c r="AL78" s="133">
        <f>+Actuals!AI280</f>
        <v>0</v>
      </c>
      <c r="AM78" s="134">
        <f>+Actuals!AJ280</f>
        <v>0</v>
      </c>
      <c r="AN78" s="133">
        <f>+Actuals!AK280</f>
        <v>0</v>
      </c>
      <c r="AO78" s="134">
        <f>+Actuals!AL280</f>
        <v>0</v>
      </c>
      <c r="AP78" s="133">
        <f>+Actuals!AM280</f>
        <v>0</v>
      </c>
      <c r="AQ78" s="134">
        <f>+Actuals!AN280</f>
        <v>0</v>
      </c>
      <c r="AR78" s="133">
        <f>+Actuals!AO280</f>
        <v>0</v>
      </c>
      <c r="AS78" s="134">
        <f>+Actuals!AP280</f>
        <v>0</v>
      </c>
      <c r="AT78" s="133">
        <f>+Actuals!AQ280</f>
        <v>0</v>
      </c>
      <c r="AU78" s="134">
        <f>+Actuals!AR280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+Actuals!Y201</f>
        <v>0</v>
      </c>
      <c r="AC79" s="134">
        <f>+Actuals!Z201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  <c r="AL79" s="133">
        <f>+Actuals!AI281</f>
        <v>0</v>
      </c>
      <c r="AM79" s="134">
        <f>+Actuals!AJ281</f>
        <v>0</v>
      </c>
      <c r="AN79" s="133">
        <f>+Actuals!AK281</f>
        <v>0</v>
      </c>
      <c r="AO79" s="134">
        <f>+Actuals!AL281</f>
        <v>0</v>
      </c>
      <c r="AP79" s="133">
        <f>+Actuals!AM281</f>
        <v>0</v>
      </c>
      <c r="AQ79" s="134">
        <f>+Actuals!AN281</f>
        <v>0</v>
      </c>
      <c r="AR79" s="133">
        <f>+Actuals!AO281</f>
        <v>0</v>
      </c>
      <c r="AS79" s="134">
        <f>+Actuals!AP281</f>
        <v>0</v>
      </c>
      <c r="AT79" s="133">
        <f>+Actuals!AQ281</f>
        <v>0</v>
      </c>
      <c r="AU79" s="134">
        <f>+Actuals!AR281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+Actuals!Y202</f>
        <v>0</v>
      </c>
      <c r="AC80" s="134">
        <f>+Actuals!Z202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  <c r="AL80" s="133">
        <f>+Actuals!AI282</f>
        <v>0</v>
      </c>
      <c r="AM80" s="134">
        <f>+Actuals!AJ282</f>
        <v>0</v>
      </c>
      <c r="AN80" s="133">
        <f>+Actuals!AK282</f>
        <v>0</v>
      </c>
      <c r="AO80" s="134">
        <f>+Actuals!AL282</f>
        <v>0</v>
      </c>
      <c r="AP80" s="133">
        <f>+Actuals!AM282</f>
        <v>0</v>
      </c>
      <c r="AQ80" s="134">
        <f>+Actuals!AN282</f>
        <v>0</v>
      </c>
      <c r="AR80" s="133">
        <f>+Actuals!AO282</f>
        <v>0</v>
      </c>
      <c r="AS80" s="134">
        <f>+Actuals!AP282</f>
        <v>0</v>
      </c>
      <c r="AT80" s="133">
        <f>+Actuals!AQ282</f>
        <v>0</v>
      </c>
      <c r="AU80" s="134">
        <f>+Actuals!AR282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476861.95</v>
      </c>
      <c r="F81" s="60">
        <f>'TIE-OUT'!H81+RECLASS!H81</f>
        <v>0</v>
      </c>
      <c r="G81" s="60">
        <f>'TIE-OUT'!I81+RECLASS!I81</f>
        <v>0</v>
      </c>
      <c r="H81" s="133">
        <f>+Actuals!E203</f>
        <v>0</v>
      </c>
      <c r="I81" s="134">
        <f>+Actuals!F203</f>
        <v>287432.57</v>
      </c>
      <c r="J81" s="133">
        <f>+Actuals!G203</f>
        <v>0</v>
      </c>
      <c r="K81" s="153">
        <f>+Actuals!H203</f>
        <v>189429.38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0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+Actuals!Y203</f>
        <v>0</v>
      </c>
      <c r="AC81" s="134">
        <f>+Actuals!Z203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  <c r="AL81" s="133">
        <f>+Actuals!AI283</f>
        <v>0</v>
      </c>
      <c r="AM81" s="134">
        <f>+Actuals!AJ283</f>
        <v>0</v>
      </c>
      <c r="AN81" s="133">
        <f>+Actuals!AK283</f>
        <v>0</v>
      </c>
      <c r="AO81" s="134">
        <f>+Actuals!AL283</f>
        <v>0</v>
      </c>
      <c r="AP81" s="133">
        <f>+Actuals!AM283</f>
        <v>0</v>
      </c>
      <c r="AQ81" s="134">
        <f>+Actuals!AN283</f>
        <v>0</v>
      </c>
      <c r="AR81" s="133">
        <f>+Actuals!AO283</f>
        <v>0</v>
      </c>
      <c r="AS81" s="134">
        <f>+Actuals!AP283</f>
        <v>0</v>
      </c>
      <c r="AT81" s="133">
        <f>+Actuals!AQ283</f>
        <v>0</v>
      </c>
      <c r="AU81" s="134">
        <f>+Actuals!AR283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-1231936.1329999436</v>
      </c>
      <c r="F82" s="92">
        <f>F16+F24+F29+F36+F43+F45+F47+F49</f>
        <v>0</v>
      </c>
      <c r="G82" s="93">
        <f>SUM(G72:G81)+G16+G24+G29+G36+G43+G45+G47+G49+G51+G56+G61+G66</f>
        <v>-12636073.490000002</v>
      </c>
      <c r="H82" s="92">
        <f>H16+H24+H29+H36+H43+H45+H47+H49</f>
        <v>0</v>
      </c>
      <c r="I82" s="93">
        <f>SUM(I72:I81)+I16+I24+I29+I36+I43+I45+I47+I49+I51+I56+I61+I66</f>
        <v>17725351.36799999</v>
      </c>
      <c r="J82" s="92">
        <f>J16+J24+J29+J36+J43+J45+J47+J49</f>
        <v>0</v>
      </c>
      <c r="K82" s="166">
        <f>SUM(K72:K81)+K16+K24+K29+K36+K43+K45+K47+K49+K51+K56+K61+K66</f>
        <v>13230546.186000001</v>
      </c>
      <c r="L82" s="92">
        <f>L16+L24+L29+L36+L43+L45+L47+L49</f>
        <v>0</v>
      </c>
      <c r="M82" s="93">
        <f>SUM(M72:M81)+M16+M24+M29+M36+M43+M45+M47+M49+M51+M56+M61+M66</f>
        <v>-17981618.908</v>
      </c>
      <c r="N82" s="92">
        <f>N16+N24+N29+N36+N43+N45+N47+N49</f>
        <v>0</v>
      </c>
      <c r="O82" s="93">
        <f>SUM(O72:O81)+O16+O24+O29+O36+O43+O45+O47+O49+O51+O56+O61+O66</f>
        <v>-6745980.5870000003</v>
      </c>
      <c r="P82" s="92">
        <f>P16+P24+P29+P36+P43+P45+P47+P49</f>
        <v>0</v>
      </c>
      <c r="Q82" s="93">
        <f>SUM(Q72:Q81)+Q16+Q24+Q29+Q36+Q43+Q45+Q47+Q49+Q51+Q56+Q61+Q66</f>
        <v>115586.53199999998</v>
      </c>
      <c r="R82" s="92">
        <f>R16+R24+R29+R36+R43+R45+R47+R49</f>
        <v>0</v>
      </c>
      <c r="S82" s="93">
        <f>SUM(S72:S81)+S16+S24+S29+S36+S43+S45+S47+S49+S51+S56+S61+S66</f>
        <v>55730.313999999998</v>
      </c>
      <c r="T82" s="92">
        <f>T16+T24+T29+T36+T43+T45+T47+T49</f>
        <v>0</v>
      </c>
      <c r="U82" s="93">
        <f>SUM(U72:U81)+U16+U24+U29+U36+U43+U45+U47+U49+U51+U56+U61+U66</f>
        <v>2445679.8150000004</v>
      </c>
      <c r="V82" s="92">
        <f>V16+V24+V29+V36+V43+V45+V47+V49</f>
        <v>0</v>
      </c>
      <c r="W82" s="93">
        <f>SUM(W72:W81)+W16+W24+W29+W36+W43+W45+W47+W49+W51+W56+W61+W66</f>
        <v>27356.392000000003</v>
      </c>
      <c r="X82" s="92">
        <f>X16+X24+X29+X36+X43+X45+X47+X49</f>
        <v>0</v>
      </c>
      <c r="Y82" s="93">
        <f>SUM(Y72:Y81)+Y16+Y24+Y29+Y36+Y43+Y45+Y47+Y49+Y51+Y56+Y61+Y66</f>
        <v>2368057.0609999998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15020.235999999997</v>
      </c>
      <c r="AD82" s="92">
        <f>AD16+AD24+AD29+AD36+AD43+AD45+AD47+AD49</f>
        <v>0</v>
      </c>
      <c r="AE82" s="93">
        <f>SUM(AE72:AE81)+AE16+AE24+AE29+AE36+AE43+AE45+AE47+AE49+AE51+AE56+AE61+AE66</f>
        <v>-15020.235999999997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15020.235999999997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-851054.77199999988</v>
      </c>
      <c r="AN82" s="92">
        <f>AN16+AN24+AN29+AN36+AN43+AN45+AN47+AN49</f>
        <v>0</v>
      </c>
      <c r="AO82" s="93">
        <f>SUM(AO72:AO81)+AO16+AO24+AO29+AO36+AO43+AO45+AO47+AO49+AO51+AO56+AO61+AO66</f>
        <v>768992.7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230471.02</v>
      </c>
    </row>
    <row r="83" spans="1:47" ht="13.8" thickTop="1" x14ac:dyDescent="0.25">
      <c r="A83" s="4"/>
      <c r="B83" s="3"/>
    </row>
    <row r="84" spans="1:47" x14ac:dyDescent="0.25">
      <c r="A84" s="4"/>
      <c r="B84" s="3"/>
    </row>
    <row r="85" spans="1:47" x14ac:dyDescent="0.25">
      <c r="A85" s="4" t="s">
        <v>193</v>
      </c>
      <c r="B85" s="3"/>
      <c r="F85" s="31"/>
      <c r="G85" s="31"/>
      <c r="H85" s="31"/>
      <c r="I85" s="31"/>
      <c r="K85"/>
      <c r="L85" s="45"/>
    </row>
    <row r="86" spans="1:47" s="3" customFormat="1" x14ac:dyDescent="0.25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-6906.04</v>
      </c>
      <c r="F86" s="184">
        <f>'TIE-OUT'!H86+RECLASS!H86</f>
        <v>0</v>
      </c>
      <c r="G86" s="184">
        <f>'TIE-OUT'!I86+RECLASS!I86</f>
        <v>-6906.04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47" s="3" customFormat="1" x14ac:dyDescent="0.25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'TIE-OUT'!H87+RECLASS!H87</f>
        <v>0</v>
      </c>
      <c r="G87" s="185">
        <f>'TIE-OUT'!I87+RECLASS!I87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47" s="3" customFormat="1" x14ac:dyDescent="0.25">
      <c r="A88" s="183"/>
      <c r="C88" s="10" t="s">
        <v>76</v>
      </c>
      <c r="D88" s="186">
        <f t="shared" si="37"/>
        <v>0</v>
      </c>
      <c r="E88" s="186">
        <f t="shared" si="37"/>
        <v>0</v>
      </c>
      <c r="F88" s="186">
        <f>'TIE-OUT'!H88+RECLASS!H88</f>
        <v>0</v>
      </c>
      <c r="G88" s="186">
        <f>'TIE-OUT'!I88+RECLASS!I88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47" s="149" customFormat="1" ht="20.25" customHeight="1" x14ac:dyDescent="0.25">
      <c r="A89" s="187"/>
      <c r="B89" s="188"/>
      <c r="C89" s="189" t="s">
        <v>190</v>
      </c>
      <c r="D89" s="190">
        <f>SUM(D86:D88)</f>
        <v>0</v>
      </c>
      <c r="E89" s="190">
        <f t="shared" ref="E89:AE89" si="38">SUM(E86:E88)</f>
        <v>-6906.04</v>
      </c>
      <c r="F89" s="190">
        <f t="shared" si="38"/>
        <v>0</v>
      </c>
      <c r="G89" s="190">
        <f t="shared" si="38"/>
        <v>-6906.04</v>
      </c>
      <c r="H89" s="190">
        <f t="shared" si="38"/>
        <v>0</v>
      </c>
      <c r="I89" s="190">
        <f t="shared" si="38"/>
        <v>0</v>
      </c>
      <c r="J89" s="190">
        <f t="shared" si="38"/>
        <v>0</v>
      </c>
      <c r="K89" s="190">
        <f t="shared" si="38"/>
        <v>0</v>
      </c>
      <c r="L89" s="190">
        <f t="shared" si="38"/>
        <v>0</v>
      </c>
      <c r="M89" s="190">
        <f t="shared" si="38"/>
        <v>0</v>
      </c>
      <c r="N89" s="190">
        <f t="shared" si="38"/>
        <v>0</v>
      </c>
      <c r="O89" s="190">
        <f t="shared" si="38"/>
        <v>0</v>
      </c>
      <c r="P89" s="190">
        <f t="shared" si="38"/>
        <v>0</v>
      </c>
      <c r="Q89" s="190">
        <f t="shared" si="38"/>
        <v>0</v>
      </c>
      <c r="R89" s="190">
        <f t="shared" si="38"/>
        <v>0</v>
      </c>
      <c r="S89" s="190">
        <f t="shared" si="38"/>
        <v>0</v>
      </c>
      <c r="T89" s="190">
        <f t="shared" si="38"/>
        <v>0</v>
      </c>
      <c r="U89" s="190">
        <f t="shared" si="38"/>
        <v>0</v>
      </c>
      <c r="V89" s="190">
        <f t="shared" si="38"/>
        <v>0</v>
      </c>
      <c r="W89" s="190">
        <f t="shared" si="38"/>
        <v>0</v>
      </c>
      <c r="X89" s="190">
        <f t="shared" si="38"/>
        <v>0</v>
      </c>
      <c r="Y89" s="190">
        <f t="shared" si="38"/>
        <v>0</v>
      </c>
      <c r="Z89" s="190">
        <f t="shared" si="38"/>
        <v>0</v>
      </c>
      <c r="AA89" s="190">
        <f t="shared" si="38"/>
        <v>0</v>
      </c>
      <c r="AB89" s="190">
        <f t="shared" si="38"/>
        <v>0</v>
      </c>
      <c r="AC89" s="190">
        <f t="shared" si="38"/>
        <v>0</v>
      </c>
      <c r="AD89" s="190">
        <f t="shared" si="38"/>
        <v>0</v>
      </c>
      <c r="AE89" s="190">
        <f t="shared" si="38"/>
        <v>0</v>
      </c>
      <c r="AF89" s="190">
        <f t="shared" ref="AF89:AK89" si="39">SUM(AF86:AF88)</f>
        <v>0</v>
      </c>
      <c r="AG89" s="190">
        <f t="shared" si="39"/>
        <v>0</v>
      </c>
      <c r="AH89" s="190">
        <f t="shared" si="39"/>
        <v>0</v>
      </c>
      <c r="AI89" s="190">
        <f t="shared" si="39"/>
        <v>0</v>
      </c>
      <c r="AJ89" s="190">
        <f t="shared" si="39"/>
        <v>0</v>
      </c>
      <c r="AK89" s="190">
        <f t="shared" si="39"/>
        <v>0</v>
      </c>
      <c r="AL89" s="190">
        <f t="shared" ref="AL89:AQ89" si="40">SUM(AL86:AL88)</f>
        <v>0</v>
      </c>
      <c r="AM89" s="190">
        <f t="shared" si="40"/>
        <v>0</v>
      </c>
      <c r="AN89" s="190">
        <f t="shared" si="40"/>
        <v>0</v>
      </c>
      <c r="AO89" s="190">
        <f t="shared" si="40"/>
        <v>0</v>
      </c>
      <c r="AP89" s="190">
        <f t="shared" si="40"/>
        <v>0</v>
      </c>
      <c r="AQ89" s="190">
        <f t="shared" si="40"/>
        <v>0</v>
      </c>
      <c r="AR89" s="190">
        <f>SUM(AR86:AR88)</f>
        <v>0</v>
      </c>
      <c r="AS89" s="190">
        <f>SUM(AS86:AS88)</f>
        <v>0</v>
      </c>
      <c r="AT89" s="190">
        <f>SUM(AT86:AT88)</f>
        <v>0</v>
      </c>
      <c r="AU89" s="190">
        <f>SUM(AU86:AU88)</f>
        <v>0</v>
      </c>
    </row>
    <row r="90" spans="1:47" x14ac:dyDescent="0.25">
      <c r="A90" s="4"/>
      <c r="B90" s="3"/>
      <c r="F90" s="31"/>
      <c r="G90" s="31"/>
      <c r="H90" s="31"/>
      <c r="I90" s="31"/>
      <c r="K90"/>
    </row>
    <row r="91" spans="1:47" s="149" customFormat="1" ht="20.25" customHeight="1" x14ac:dyDescent="0.25">
      <c r="A91" s="187"/>
      <c r="B91" s="188"/>
      <c r="C91" s="189" t="s">
        <v>191</v>
      </c>
      <c r="D91" s="190">
        <f>+D82+D89</f>
        <v>0</v>
      </c>
      <c r="E91" s="190">
        <f t="shared" ref="E91:AE91" si="41">+E82+E89</f>
        <v>-1238842.1729999436</v>
      </c>
      <c r="F91" s="190">
        <f t="shared" si="41"/>
        <v>0</v>
      </c>
      <c r="G91" s="190">
        <f t="shared" si="41"/>
        <v>-12642979.530000001</v>
      </c>
      <c r="H91" s="190">
        <f t="shared" si="41"/>
        <v>0</v>
      </c>
      <c r="I91" s="190">
        <f t="shared" si="41"/>
        <v>17725351.36799999</v>
      </c>
      <c r="J91" s="190">
        <f t="shared" si="41"/>
        <v>0</v>
      </c>
      <c r="K91" s="190">
        <f t="shared" si="41"/>
        <v>13230546.186000001</v>
      </c>
      <c r="L91" s="190">
        <f t="shared" si="41"/>
        <v>0</v>
      </c>
      <c r="M91" s="190">
        <f t="shared" si="41"/>
        <v>-17981618.908</v>
      </c>
      <c r="N91" s="190">
        <f t="shared" si="41"/>
        <v>0</v>
      </c>
      <c r="O91" s="190">
        <f t="shared" si="41"/>
        <v>-6745980.5870000003</v>
      </c>
      <c r="P91" s="190">
        <f t="shared" si="41"/>
        <v>0</v>
      </c>
      <c r="Q91" s="190">
        <f t="shared" si="41"/>
        <v>115586.53199999998</v>
      </c>
      <c r="R91" s="190">
        <f t="shared" si="41"/>
        <v>0</v>
      </c>
      <c r="S91" s="190">
        <f t="shared" si="41"/>
        <v>55730.313999999998</v>
      </c>
      <c r="T91" s="190">
        <f t="shared" si="41"/>
        <v>0</v>
      </c>
      <c r="U91" s="190">
        <f t="shared" si="41"/>
        <v>2445679.8150000004</v>
      </c>
      <c r="V91" s="190">
        <f t="shared" si="41"/>
        <v>0</v>
      </c>
      <c r="W91" s="190">
        <f t="shared" si="41"/>
        <v>27356.392000000003</v>
      </c>
      <c r="X91" s="190">
        <f t="shared" si="41"/>
        <v>0</v>
      </c>
      <c r="Y91" s="190">
        <f t="shared" si="41"/>
        <v>2368057.0609999998</v>
      </c>
      <c r="Z91" s="190">
        <f t="shared" si="41"/>
        <v>0</v>
      </c>
      <c r="AA91" s="190">
        <f t="shared" si="41"/>
        <v>0</v>
      </c>
      <c r="AB91" s="190">
        <f t="shared" si="41"/>
        <v>0</v>
      </c>
      <c r="AC91" s="190">
        <f t="shared" si="41"/>
        <v>15020.235999999997</v>
      </c>
      <c r="AD91" s="190">
        <f t="shared" si="41"/>
        <v>0</v>
      </c>
      <c r="AE91" s="190">
        <f t="shared" si="41"/>
        <v>-15020.235999999997</v>
      </c>
      <c r="AF91" s="190">
        <f t="shared" ref="AF91:AK91" si="42">+AF82+AF89</f>
        <v>0</v>
      </c>
      <c r="AG91" s="190">
        <f t="shared" si="42"/>
        <v>0</v>
      </c>
      <c r="AH91" s="190">
        <f t="shared" si="42"/>
        <v>0</v>
      </c>
      <c r="AI91" s="190">
        <f t="shared" si="42"/>
        <v>15020.235999999997</v>
      </c>
      <c r="AJ91" s="190">
        <f t="shared" si="42"/>
        <v>0</v>
      </c>
      <c r="AK91" s="190">
        <f t="shared" si="42"/>
        <v>0</v>
      </c>
      <c r="AL91" s="190">
        <f t="shared" ref="AL91:AQ91" si="43">+AL82+AL89</f>
        <v>0</v>
      </c>
      <c r="AM91" s="190">
        <f t="shared" si="43"/>
        <v>-851054.77199999988</v>
      </c>
      <c r="AN91" s="190">
        <f t="shared" si="43"/>
        <v>0</v>
      </c>
      <c r="AO91" s="190">
        <f t="shared" si="43"/>
        <v>768992.7</v>
      </c>
      <c r="AP91" s="190">
        <f t="shared" si="43"/>
        <v>0</v>
      </c>
      <c r="AQ91" s="190">
        <f t="shared" si="43"/>
        <v>0</v>
      </c>
      <c r="AR91" s="190">
        <f>+AR82+AR89</f>
        <v>0</v>
      </c>
      <c r="AS91" s="190">
        <f>+AS82+AS89</f>
        <v>0</v>
      </c>
      <c r="AT91" s="190">
        <f>+AT82+AT89</f>
        <v>0</v>
      </c>
      <c r="AU91" s="190">
        <f>+AU82+AU89</f>
        <v>230471.02</v>
      </c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U187"/>
  <sheetViews>
    <sheetView zoomScale="75" workbookViewId="0">
      <pane xSplit="3" ySplit="9" topLeftCell="D6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  <c r="AL11" s="133">
        <f>+Actuals!AI204</f>
        <v>0</v>
      </c>
      <c r="AM11" s="134">
        <f>+Actuals!AJ204</f>
        <v>0</v>
      </c>
      <c r="AN11" s="133">
        <f>+Actuals!AK204</f>
        <v>0</v>
      </c>
      <c r="AO11" s="134">
        <f>+Actuals!AL204</f>
        <v>0</v>
      </c>
      <c r="AP11" s="133">
        <f>+Actuals!AM204</f>
        <v>0</v>
      </c>
      <c r="AQ11" s="134">
        <f>+Actuals!AN204</f>
        <v>0</v>
      </c>
      <c r="AR11" s="133">
        <f>+Actuals!AO204</f>
        <v>0</v>
      </c>
      <c r="AS11" s="134">
        <f>+Actuals!AP204</f>
        <v>0</v>
      </c>
      <c r="AT11" s="133">
        <f>+Actuals!AQ204</f>
        <v>0</v>
      </c>
      <c r="AU11" s="134">
        <f>+Actuals!AR204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  <c r="AL12" s="133">
        <f>+Actuals!AI205</f>
        <v>0</v>
      </c>
      <c r="AM12" s="134">
        <f>+Actuals!AJ205</f>
        <v>0</v>
      </c>
      <c r="AN12" s="133">
        <f>+Actuals!AK205</f>
        <v>0</v>
      </c>
      <c r="AO12" s="134">
        <f>+Actuals!AL205</f>
        <v>0</v>
      </c>
      <c r="AP12" s="133">
        <f>+Actuals!AM205</f>
        <v>0</v>
      </c>
      <c r="AQ12" s="134">
        <f>+Actuals!AN205</f>
        <v>0</v>
      </c>
      <c r="AR12" s="133">
        <f>+Actuals!AO205</f>
        <v>0</v>
      </c>
      <c r="AS12" s="134">
        <f>+Actuals!AP205</f>
        <v>0</v>
      </c>
      <c r="AT12" s="133">
        <f>+Actuals!AQ205</f>
        <v>0</v>
      </c>
      <c r="AU12" s="134">
        <f>+Actuals!AR205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  <c r="AL13" s="133">
        <f>+Actuals!AI206</f>
        <v>0</v>
      </c>
      <c r="AM13" s="134">
        <f>+Actuals!AJ206</f>
        <v>0</v>
      </c>
      <c r="AN13" s="133">
        <f>+Actuals!AK206</f>
        <v>0</v>
      </c>
      <c r="AO13" s="134">
        <f>+Actuals!AL206</f>
        <v>0</v>
      </c>
      <c r="AP13" s="133">
        <f>+Actuals!AM206</f>
        <v>0</v>
      </c>
      <c r="AQ13" s="134">
        <f>+Actuals!AN206</f>
        <v>0</v>
      </c>
      <c r="AR13" s="133">
        <f>+Actuals!AO206</f>
        <v>0</v>
      </c>
      <c r="AS13" s="134">
        <f>+Actuals!AP206</f>
        <v>0</v>
      </c>
      <c r="AT13" s="133">
        <f>+Actuals!AQ206</f>
        <v>0</v>
      </c>
      <c r="AU13" s="134">
        <f>+Actuals!AR206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  <c r="AL14" s="133">
        <f>+Actuals!AI207</f>
        <v>0</v>
      </c>
      <c r="AM14" s="134">
        <f>+Actuals!AJ207</f>
        <v>0</v>
      </c>
      <c r="AN14" s="133">
        <f>+Actuals!AK207</f>
        <v>0</v>
      </c>
      <c r="AO14" s="134">
        <f>+Actuals!AL207</f>
        <v>0</v>
      </c>
      <c r="AP14" s="133">
        <f>+Actuals!AM207</f>
        <v>0</v>
      </c>
      <c r="AQ14" s="134">
        <f>+Actuals!AN207</f>
        <v>0</v>
      </c>
      <c r="AR14" s="133">
        <f>+Actuals!AO207</f>
        <v>0</v>
      </c>
      <c r="AS14" s="134">
        <f>+Actuals!AP207</f>
        <v>0</v>
      </c>
      <c r="AT14" s="133">
        <f>+Actuals!AQ207</f>
        <v>0</v>
      </c>
      <c r="AU14" s="134">
        <f>+Actuals!AR207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  <c r="AL15" s="133">
        <f>+Actuals!AI208</f>
        <v>0</v>
      </c>
      <c r="AM15" s="134">
        <f>+Actuals!AJ208</f>
        <v>0</v>
      </c>
      <c r="AN15" s="133">
        <f>+Actuals!AK208</f>
        <v>0</v>
      </c>
      <c r="AO15" s="134">
        <f>+Actuals!AL208</f>
        <v>0</v>
      </c>
      <c r="AP15" s="133">
        <f>+Actuals!AM208</f>
        <v>0</v>
      </c>
      <c r="AQ15" s="134">
        <f>+Actuals!AN208</f>
        <v>0</v>
      </c>
      <c r="AR15" s="133">
        <f>+Actuals!AO208</f>
        <v>0</v>
      </c>
      <c r="AS15" s="134">
        <f>+Actuals!AP208</f>
        <v>0</v>
      </c>
      <c r="AT15" s="133">
        <f>+Actuals!AQ208</f>
        <v>0</v>
      </c>
      <c r="AU15" s="134">
        <f>+Actuals!AR208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  <c r="AL19" s="133">
        <f>+Actuals!AI209</f>
        <v>0</v>
      </c>
      <c r="AM19" s="134">
        <f>+Actuals!AJ209</f>
        <v>0</v>
      </c>
      <c r="AN19" s="133">
        <f>+Actuals!AK209</f>
        <v>0</v>
      </c>
      <c r="AO19" s="134">
        <f>+Actuals!AL209</f>
        <v>0</v>
      </c>
      <c r="AP19" s="133">
        <f>+Actuals!AM209</f>
        <v>0</v>
      </c>
      <c r="AQ19" s="134">
        <f>+Actuals!AN209</f>
        <v>0</v>
      </c>
      <c r="AR19" s="133">
        <f>+Actuals!AO209</f>
        <v>0</v>
      </c>
      <c r="AS19" s="134">
        <f>+Actuals!AP209</f>
        <v>0</v>
      </c>
      <c r="AT19" s="133">
        <f>+Actuals!AQ209</f>
        <v>0</v>
      </c>
      <c r="AU19" s="134">
        <f>+Actuals!AR209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  <c r="AL20" s="133">
        <f>+Actuals!AI210</f>
        <v>0</v>
      </c>
      <c r="AM20" s="134">
        <f>+Actuals!AJ210</f>
        <v>0</v>
      </c>
      <c r="AN20" s="133">
        <f>+Actuals!AK210</f>
        <v>0</v>
      </c>
      <c r="AO20" s="134">
        <f>+Actuals!AL210</f>
        <v>0</v>
      </c>
      <c r="AP20" s="133">
        <f>+Actuals!AM210</f>
        <v>0</v>
      </c>
      <c r="AQ20" s="134">
        <f>+Actuals!AN210</f>
        <v>0</v>
      </c>
      <c r="AR20" s="133">
        <f>+Actuals!AO210</f>
        <v>0</v>
      </c>
      <c r="AS20" s="134">
        <f>+Actuals!AP210</f>
        <v>0</v>
      </c>
      <c r="AT20" s="133">
        <f>+Actuals!AQ210</f>
        <v>0</v>
      </c>
      <c r="AU20" s="134">
        <f>+Actuals!AR210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  <c r="AL21" s="133">
        <f>+Actuals!AI211</f>
        <v>0</v>
      </c>
      <c r="AM21" s="134">
        <f>+Actuals!AJ211</f>
        <v>0</v>
      </c>
      <c r="AN21" s="133">
        <f>+Actuals!AK211</f>
        <v>0</v>
      </c>
      <c r="AO21" s="134">
        <f>+Actuals!AL211</f>
        <v>0</v>
      </c>
      <c r="AP21" s="133">
        <f>+Actuals!AM211</f>
        <v>0</v>
      </c>
      <c r="AQ21" s="134">
        <f>+Actuals!AN211</f>
        <v>0</v>
      </c>
      <c r="AR21" s="133">
        <f>+Actuals!AO211</f>
        <v>0</v>
      </c>
      <c r="AS21" s="134">
        <f>+Actuals!AP211</f>
        <v>0</v>
      </c>
      <c r="AT21" s="133">
        <f>+Actuals!AQ211</f>
        <v>0</v>
      </c>
      <c r="AU21" s="134">
        <f>+Actuals!AR211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  <c r="AL22" s="133">
        <f>+Actuals!AI212</f>
        <v>0</v>
      </c>
      <c r="AM22" s="134">
        <f>+Actuals!AJ212</f>
        <v>0</v>
      </c>
      <c r="AN22" s="133">
        <f>+Actuals!AK212</f>
        <v>0</v>
      </c>
      <c r="AO22" s="134">
        <f>+Actuals!AL212</f>
        <v>0</v>
      </c>
      <c r="AP22" s="133">
        <f>+Actuals!AM212</f>
        <v>0</v>
      </c>
      <c r="AQ22" s="134">
        <f>+Actuals!AN212</f>
        <v>0</v>
      </c>
      <c r="AR22" s="133">
        <f>+Actuals!AO212</f>
        <v>0</v>
      </c>
      <c r="AS22" s="134">
        <f>+Actuals!AP212</f>
        <v>0</v>
      </c>
      <c r="AT22" s="133">
        <f>+Actuals!AQ212</f>
        <v>0</v>
      </c>
      <c r="AU22" s="134">
        <f>+Actuals!AR212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  <c r="AL23" s="133">
        <f>+Actuals!AI213</f>
        <v>0</v>
      </c>
      <c r="AM23" s="134">
        <f>+Actuals!AJ213</f>
        <v>0</v>
      </c>
      <c r="AN23" s="133">
        <f>+Actuals!AK213</f>
        <v>0</v>
      </c>
      <c r="AO23" s="134">
        <f>+Actuals!AL213</f>
        <v>0</v>
      </c>
      <c r="AP23" s="133">
        <f>+Actuals!AM213</f>
        <v>0</v>
      </c>
      <c r="AQ23" s="134">
        <f>+Actuals!AN213</f>
        <v>0</v>
      </c>
      <c r="AR23" s="133">
        <f>+Actuals!AO213</f>
        <v>0</v>
      </c>
      <c r="AS23" s="134">
        <f>+Actuals!AP213</f>
        <v>0</v>
      </c>
      <c r="AT23" s="133">
        <f>+Actuals!AQ213</f>
        <v>0</v>
      </c>
      <c r="AU23" s="134">
        <f>+Actuals!AR213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  <c r="AL27" s="133">
        <f>+Actuals!AI214</f>
        <v>0</v>
      </c>
      <c r="AM27" s="134">
        <f>+Actuals!AJ214</f>
        <v>0</v>
      </c>
      <c r="AN27" s="133">
        <f>+Actuals!AK214</f>
        <v>0</v>
      </c>
      <c r="AO27" s="134">
        <f>+Actuals!AL214</f>
        <v>0</v>
      </c>
      <c r="AP27" s="133">
        <f>+Actuals!AM214</f>
        <v>0</v>
      </c>
      <c r="AQ27" s="134">
        <f>+Actuals!AN214</f>
        <v>0</v>
      </c>
      <c r="AR27" s="133">
        <f>+Actuals!AO214</f>
        <v>0</v>
      </c>
      <c r="AS27" s="134">
        <f>+Actuals!AP214</f>
        <v>0</v>
      </c>
      <c r="AT27" s="133">
        <f>+Actuals!AQ214</f>
        <v>0</v>
      </c>
      <c r="AU27" s="134">
        <f>+Actuals!AR214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  <c r="AL28" s="133">
        <f>+Actuals!AI215</f>
        <v>0</v>
      </c>
      <c r="AM28" s="134">
        <f>+Actuals!AJ215</f>
        <v>0</v>
      </c>
      <c r="AN28" s="133">
        <f>+Actuals!AK215</f>
        <v>0</v>
      </c>
      <c r="AO28" s="134">
        <f>+Actuals!AL215</f>
        <v>0</v>
      </c>
      <c r="AP28" s="133">
        <f>+Actuals!AM215</f>
        <v>0</v>
      </c>
      <c r="AQ28" s="134">
        <f>+Actuals!AN215</f>
        <v>0</v>
      </c>
      <c r="AR28" s="133">
        <f>+Actuals!AO215</f>
        <v>0</v>
      </c>
      <c r="AS28" s="134">
        <f>+Actuals!AP215</f>
        <v>0</v>
      </c>
      <c r="AT28" s="133">
        <f>+Actuals!AQ215</f>
        <v>0</v>
      </c>
      <c r="AU28" s="134">
        <f>+Actuals!AR215</f>
        <v>0</v>
      </c>
    </row>
    <row r="29" spans="1:47" x14ac:dyDescent="0.25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  <c r="AL32" s="133">
        <f>+Actuals!AI216</f>
        <v>0</v>
      </c>
      <c r="AM32" s="134">
        <f>+Actuals!AJ216</f>
        <v>0</v>
      </c>
      <c r="AN32" s="133">
        <f>+Actuals!AK216</f>
        <v>0</v>
      </c>
      <c r="AO32" s="134">
        <f>+Actuals!AL216</f>
        <v>0</v>
      </c>
      <c r="AP32" s="133">
        <f>+Actuals!AM216</f>
        <v>0</v>
      </c>
      <c r="AQ32" s="134">
        <f>+Actuals!AN216</f>
        <v>0</v>
      </c>
      <c r="AR32" s="133">
        <f>+Actuals!AO216</f>
        <v>0</v>
      </c>
      <c r="AS32" s="134">
        <f>+Actuals!AP216</f>
        <v>0</v>
      </c>
      <c r="AT32" s="133">
        <f>+Actuals!AQ216</f>
        <v>0</v>
      </c>
      <c r="AU32" s="134">
        <f>+Actuals!AR216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  <c r="AL33" s="133">
        <f>+Actuals!AI217</f>
        <v>0</v>
      </c>
      <c r="AM33" s="134">
        <f>+Actuals!AJ217</f>
        <v>0</v>
      </c>
      <c r="AN33" s="133">
        <f>+Actuals!AK217</f>
        <v>0</v>
      </c>
      <c r="AO33" s="134">
        <f>+Actuals!AL217</f>
        <v>0</v>
      </c>
      <c r="AP33" s="133">
        <f>+Actuals!AM217</f>
        <v>0</v>
      </c>
      <c r="AQ33" s="134">
        <f>+Actuals!AN217</f>
        <v>0</v>
      </c>
      <c r="AR33" s="133">
        <f>+Actuals!AO217</f>
        <v>0</v>
      </c>
      <c r="AS33" s="134">
        <f>+Actuals!AP217</f>
        <v>0</v>
      </c>
      <c r="AT33" s="133">
        <f>+Actuals!AQ217</f>
        <v>0</v>
      </c>
      <c r="AU33" s="134">
        <f>+Actuals!AR217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  <c r="AL34" s="133">
        <f>+Actuals!AI218</f>
        <v>0</v>
      </c>
      <c r="AM34" s="134">
        <f>+Actuals!AJ218</f>
        <v>0</v>
      </c>
      <c r="AN34" s="133">
        <f>+Actuals!AK218</f>
        <v>0</v>
      </c>
      <c r="AO34" s="134">
        <f>+Actuals!AL218</f>
        <v>0</v>
      </c>
      <c r="AP34" s="133">
        <f>+Actuals!AM218</f>
        <v>0</v>
      </c>
      <c r="AQ34" s="134">
        <f>+Actuals!AN218</f>
        <v>0</v>
      </c>
      <c r="AR34" s="133">
        <f>+Actuals!AO218</f>
        <v>0</v>
      </c>
      <c r="AS34" s="134">
        <f>+Actuals!AP218</f>
        <v>0</v>
      </c>
      <c r="AT34" s="133">
        <f>+Actuals!AQ218</f>
        <v>0</v>
      </c>
      <c r="AU34" s="134">
        <f>+Actuals!AR218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  <c r="AL35" s="133">
        <f>+Actuals!AI219</f>
        <v>0</v>
      </c>
      <c r="AM35" s="134">
        <f>+Actuals!AJ219</f>
        <v>0</v>
      </c>
      <c r="AN35" s="133">
        <f>+Actuals!AK219</f>
        <v>0</v>
      </c>
      <c r="AO35" s="134">
        <f>+Actuals!AL219</f>
        <v>0</v>
      </c>
      <c r="AP35" s="133">
        <f>+Actuals!AM219</f>
        <v>0</v>
      </c>
      <c r="AQ35" s="134">
        <f>+Actuals!AN219</f>
        <v>0</v>
      </c>
      <c r="AR35" s="133">
        <f>+Actuals!AO219</f>
        <v>0</v>
      </c>
      <c r="AS35" s="134">
        <f>+Actuals!AP219</f>
        <v>0</v>
      </c>
      <c r="AT35" s="133">
        <f>+Actuals!AQ219</f>
        <v>0</v>
      </c>
      <c r="AU35" s="134">
        <f>+Actuals!AR219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  <c r="AL39" s="133">
        <f>+Actuals!AI220</f>
        <v>0</v>
      </c>
      <c r="AM39" s="134">
        <f>+Actuals!AJ220</f>
        <v>0</v>
      </c>
      <c r="AN39" s="133">
        <f>+Actuals!AK220</f>
        <v>0</v>
      </c>
      <c r="AO39" s="134">
        <f>+Actuals!AL220</f>
        <v>0</v>
      </c>
      <c r="AP39" s="133">
        <f>+Actuals!AM220</f>
        <v>0</v>
      </c>
      <c r="AQ39" s="134">
        <f>+Actuals!AN220</f>
        <v>0</v>
      </c>
      <c r="AR39" s="133">
        <f>+Actuals!AO220</f>
        <v>0</v>
      </c>
      <c r="AS39" s="134">
        <f>+Actuals!AP220</f>
        <v>0</v>
      </c>
      <c r="AT39" s="133">
        <f>+Actuals!AQ220</f>
        <v>0</v>
      </c>
      <c r="AU39" s="134">
        <f>+Actuals!AR220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  <c r="AL40" s="133">
        <f>+Actuals!AI221</f>
        <v>0</v>
      </c>
      <c r="AM40" s="134">
        <f>+Actuals!AJ221</f>
        <v>0</v>
      </c>
      <c r="AN40" s="133">
        <f>+Actuals!AK221</f>
        <v>0</v>
      </c>
      <c r="AO40" s="134">
        <f>+Actuals!AL221</f>
        <v>0</v>
      </c>
      <c r="AP40" s="133">
        <f>+Actuals!AM221</f>
        <v>0</v>
      </c>
      <c r="AQ40" s="134">
        <f>+Actuals!AN221</f>
        <v>0</v>
      </c>
      <c r="AR40" s="133">
        <f>+Actuals!AO221</f>
        <v>0</v>
      </c>
      <c r="AS40" s="134">
        <f>+Actuals!AP221</f>
        <v>0</v>
      </c>
      <c r="AT40" s="133">
        <f>+Actuals!AQ221</f>
        <v>0</v>
      </c>
      <c r="AU40" s="134">
        <f>+Actuals!AR221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  <c r="AL41" s="133">
        <f>+Actuals!AI222</f>
        <v>0</v>
      </c>
      <c r="AM41" s="134">
        <f>+Actuals!AJ222</f>
        <v>0</v>
      </c>
      <c r="AN41" s="133">
        <f>+Actuals!AK222</f>
        <v>0</v>
      </c>
      <c r="AO41" s="134">
        <f>+Actuals!AL222</f>
        <v>0</v>
      </c>
      <c r="AP41" s="133">
        <f>+Actuals!AM222</f>
        <v>0</v>
      </c>
      <c r="AQ41" s="134">
        <f>+Actuals!AN222</f>
        <v>0</v>
      </c>
      <c r="AR41" s="133">
        <f>+Actuals!AO222</f>
        <v>0</v>
      </c>
      <c r="AS41" s="134">
        <f>+Actuals!AP222</f>
        <v>0</v>
      </c>
      <c r="AT41" s="133">
        <f>+Actuals!AQ222</f>
        <v>0</v>
      </c>
      <c r="AU41" s="134">
        <f>+Actuals!AR222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  <c r="AL45" s="133">
        <f>+Actuals!AI223</f>
        <v>0</v>
      </c>
      <c r="AM45" s="134">
        <f>+Actuals!AJ223</f>
        <v>0</v>
      </c>
      <c r="AN45" s="133">
        <f>+Actuals!AK223</f>
        <v>0</v>
      </c>
      <c r="AO45" s="134">
        <f>+Actuals!AL223</f>
        <v>0</v>
      </c>
      <c r="AP45" s="133">
        <f>+Actuals!AM223</f>
        <v>0</v>
      </c>
      <c r="AQ45" s="134">
        <f>+Actuals!AN223</f>
        <v>0</v>
      </c>
      <c r="AR45" s="133">
        <f>+Actuals!AO223</f>
        <v>0</v>
      </c>
      <c r="AS45" s="134">
        <f>+Actuals!AP223</f>
        <v>0</v>
      </c>
      <c r="AT45" s="133">
        <f>+Actuals!AQ223</f>
        <v>0</v>
      </c>
      <c r="AU45" s="134">
        <f>+Actuals!AR223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  <c r="AL47" s="133">
        <f>+Actuals!AI224</f>
        <v>0</v>
      </c>
      <c r="AM47" s="134">
        <f>+Actuals!AJ224</f>
        <v>0</v>
      </c>
      <c r="AN47" s="133">
        <f>+Actuals!AK224</f>
        <v>0</v>
      </c>
      <c r="AO47" s="134">
        <f>+Actuals!AL224</f>
        <v>0</v>
      </c>
      <c r="AP47" s="133">
        <f>+Actuals!AM224</f>
        <v>0</v>
      </c>
      <c r="AQ47" s="134">
        <f>+Actuals!AN224</f>
        <v>0</v>
      </c>
      <c r="AR47" s="133">
        <f>+Actuals!AO224</f>
        <v>0</v>
      </c>
      <c r="AS47" s="134">
        <f>+Actuals!AP224</f>
        <v>0</v>
      </c>
      <c r="AT47" s="133">
        <f>+Actuals!AQ224</f>
        <v>0</v>
      </c>
      <c r="AU47" s="134">
        <f>+Actuals!AR224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0</v>
      </c>
      <c r="E49" s="38">
        <f t="shared" si="22"/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  <c r="AL49" s="133">
        <f>+Actuals!AI225</f>
        <v>0</v>
      </c>
      <c r="AM49" s="134">
        <f>+Actuals!AJ225</f>
        <v>0</v>
      </c>
      <c r="AN49" s="133">
        <f>+Actuals!AK225</f>
        <v>0</v>
      </c>
      <c r="AO49" s="134">
        <f>+Actuals!AL225</f>
        <v>0</v>
      </c>
      <c r="AP49" s="133">
        <f>+Actuals!AM225</f>
        <v>0</v>
      </c>
      <c r="AQ49" s="134">
        <f>+Actuals!AN225</f>
        <v>0</v>
      </c>
      <c r="AR49" s="133">
        <f>+Actuals!AO225</f>
        <v>0</v>
      </c>
      <c r="AS49" s="134">
        <f>+Actuals!AP225</f>
        <v>0</v>
      </c>
      <c r="AT49" s="133">
        <f>+Actuals!AQ225</f>
        <v>0</v>
      </c>
      <c r="AU49" s="134">
        <f>+Actuals!AR225</f>
        <v>0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  <c r="AL51" s="133">
        <f>+Actuals!AI226</f>
        <v>0</v>
      </c>
      <c r="AM51" s="134">
        <f>+Actuals!AJ226</f>
        <v>0</v>
      </c>
      <c r="AN51" s="133">
        <f>+Actuals!AK226</f>
        <v>0</v>
      </c>
      <c r="AO51" s="134">
        <f>+Actuals!AL226</f>
        <v>0</v>
      </c>
      <c r="AP51" s="133">
        <f>+Actuals!AM226</f>
        <v>0</v>
      </c>
      <c r="AQ51" s="134">
        <f>+Actuals!AN226</f>
        <v>0</v>
      </c>
      <c r="AR51" s="133">
        <f>+Actuals!AO226</f>
        <v>0</v>
      </c>
      <c r="AS51" s="134">
        <f>+Actuals!AP226</f>
        <v>0</v>
      </c>
      <c r="AT51" s="133">
        <f>+Actuals!AQ226</f>
        <v>0</v>
      </c>
      <c r="AU51" s="134">
        <f>+Actuals!AR226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  <c r="AL54" s="133">
        <f>+Actuals!AI227</f>
        <v>0</v>
      </c>
      <c r="AM54" s="134">
        <f>+Actuals!AJ227</f>
        <v>0</v>
      </c>
      <c r="AN54" s="133">
        <f>+Actuals!AK227</f>
        <v>0</v>
      </c>
      <c r="AO54" s="134">
        <f>+Actuals!AL227</f>
        <v>0</v>
      </c>
      <c r="AP54" s="133">
        <f>+Actuals!AM227</f>
        <v>0</v>
      </c>
      <c r="AQ54" s="134">
        <f>+Actuals!AN227</f>
        <v>0</v>
      </c>
      <c r="AR54" s="133">
        <f>+Actuals!AO227</f>
        <v>0</v>
      </c>
      <c r="AS54" s="134">
        <f>+Actuals!AP227</f>
        <v>0</v>
      </c>
      <c r="AT54" s="133">
        <f>+Actuals!AQ227</f>
        <v>0</v>
      </c>
      <c r="AU54" s="134">
        <f>+Actuals!AR227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  <c r="AL55" s="133">
        <f>+Actuals!AI228</f>
        <v>0</v>
      </c>
      <c r="AM55" s="134">
        <f>+Actuals!AJ228</f>
        <v>0</v>
      </c>
      <c r="AN55" s="133">
        <f>+Actuals!AK228</f>
        <v>0</v>
      </c>
      <c r="AO55" s="134">
        <f>+Actuals!AL228</f>
        <v>0</v>
      </c>
      <c r="AP55" s="133">
        <f>+Actuals!AM228</f>
        <v>0</v>
      </c>
      <c r="AQ55" s="134">
        <f>+Actuals!AN228</f>
        <v>0</v>
      </c>
      <c r="AR55" s="133">
        <f>+Actuals!AO228</f>
        <v>0</v>
      </c>
      <c r="AS55" s="134">
        <f>+Actuals!AP228</f>
        <v>0</v>
      </c>
      <c r="AT55" s="133">
        <f>+Actuals!AQ228</f>
        <v>0</v>
      </c>
      <c r="AU55" s="134">
        <f>+Actuals!AR228</f>
        <v>0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0</v>
      </c>
      <c r="E56" s="39">
        <f t="shared" si="23"/>
        <v>0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  <c r="AL59" s="133">
        <f>+Actuals!AI229</f>
        <v>0</v>
      </c>
      <c r="AM59" s="134">
        <f>+Actuals!AJ229</f>
        <v>0</v>
      </c>
      <c r="AN59" s="133">
        <f>+Actuals!AK229</f>
        <v>0</v>
      </c>
      <c r="AO59" s="134">
        <f>+Actuals!AL229</f>
        <v>0</v>
      </c>
      <c r="AP59" s="133">
        <f>+Actuals!AM229</f>
        <v>0</v>
      </c>
      <c r="AQ59" s="134">
        <f>+Actuals!AN229</f>
        <v>0</v>
      </c>
      <c r="AR59" s="133">
        <f>+Actuals!AO229</f>
        <v>0</v>
      </c>
      <c r="AS59" s="134">
        <f>+Actuals!AP229</f>
        <v>0</v>
      </c>
      <c r="AT59" s="133">
        <f>+Actuals!AQ229</f>
        <v>0</v>
      </c>
      <c r="AU59" s="134">
        <f>+Actuals!AR229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  <c r="AL60" s="133">
        <f>+Actuals!AI230</f>
        <v>0</v>
      </c>
      <c r="AM60" s="134">
        <f>+Actuals!AJ230</f>
        <v>0</v>
      </c>
      <c r="AN60" s="133">
        <f>+Actuals!AK230</f>
        <v>0</v>
      </c>
      <c r="AO60" s="134">
        <f>+Actuals!AL230</f>
        <v>0</v>
      </c>
      <c r="AP60" s="133">
        <f>+Actuals!AM230</f>
        <v>0</v>
      </c>
      <c r="AQ60" s="134">
        <f>+Actuals!AN230</f>
        <v>0</v>
      </c>
      <c r="AR60" s="133">
        <f>+Actuals!AO230</f>
        <v>0</v>
      </c>
      <c r="AS60" s="134">
        <f>+Actuals!AP230</f>
        <v>0</v>
      </c>
      <c r="AT60" s="133">
        <f>+Actuals!AQ230</f>
        <v>0</v>
      </c>
      <c r="AU60" s="134">
        <f>+Actuals!AR230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  <c r="AL64" s="133">
        <f>+Actuals!AI231</f>
        <v>0</v>
      </c>
      <c r="AM64" s="134">
        <f>+Actuals!AJ231</f>
        <v>0</v>
      </c>
      <c r="AN64" s="133">
        <f>+Actuals!AK231</f>
        <v>0</v>
      </c>
      <c r="AO64" s="134">
        <f>+Actuals!AL231</f>
        <v>0</v>
      </c>
      <c r="AP64" s="133">
        <f>+Actuals!AM231</f>
        <v>0</v>
      </c>
      <c r="AQ64" s="134">
        <f>+Actuals!AN231</f>
        <v>0</v>
      </c>
      <c r="AR64" s="133">
        <f>+Actuals!AO231</f>
        <v>0</v>
      </c>
      <c r="AS64" s="134">
        <f>+Actuals!AP231</f>
        <v>0</v>
      </c>
      <c r="AT64" s="133">
        <f>+Actuals!AQ231</f>
        <v>0</v>
      </c>
      <c r="AU64" s="134">
        <f>+Actuals!AR231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  <c r="AL65" s="133">
        <f>+Actuals!AI232</f>
        <v>0</v>
      </c>
      <c r="AM65" s="134">
        <f>+Actuals!AJ232</f>
        <v>0</v>
      </c>
      <c r="AN65" s="133">
        <f>+Actuals!AK232</f>
        <v>0</v>
      </c>
      <c r="AO65" s="134">
        <f>+Actuals!AL232</f>
        <v>0</v>
      </c>
      <c r="AP65" s="133">
        <f>+Actuals!AM232</f>
        <v>0</v>
      </c>
      <c r="AQ65" s="134">
        <f>+Actuals!AN232</f>
        <v>0</v>
      </c>
      <c r="AR65" s="133">
        <f>+Actuals!AO232</f>
        <v>0</v>
      </c>
      <c r="AS65" s="134">
        <f>+Actuals!AP232</f>
        <v>0</v>
      </c>
      <c r="AT65" s="133">
        <f>+Actuals!AQ232</f>
        <v>0</v>
      </c>
      <c r="AU65" s="134">
        <f>+Actuals!AR232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  <c r="AL70" s="133">
        <f>+Actuals!AI233</f>
        <v>0</v>
      </c>
      <c r="AM70" s="134">
        <f>+Actuals!AJ233</f>
        <v>0</v>
      </c>
      <c r="AN70" s="133">
        <f>+Actuals!AK233</f>
        <v>0</v>
      </c>
      <c r="AO70" s="134">
        <f>+Actuals!AL233</f>
        <v>0</v>
      </c>
      <c r="AP70" s="133">
        <f>+Actuals!AM233</f>
        <v>0</v>
      </c>
      <c r="AQ70" s="134">
        <f>+Actuals!AN233</f>
        <v>0</v>
      </c>
      <c r="AR70" s="133">
        <f>+Actuals!AO233</f>
        <v>0</v>
      </c>
      <c r="AS70" s="134">
        <f>+Actuals!AP233</f>
        <v>0</v>
      </c>
      <c r="AT70" s="133">
        <f>+Actuals!AQ233</f>
        <v>0</v>
      </c>
      <c r="AU70" s="134">
        <f>+Actuals!AR233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  <c r="AL71" s="133">
        <f>+Actuals!AI234</f>
        <v>0</v>
      </c>
      <c r="AM71" s="134">
        <f>+Actuals!AJ234</f>
        <v>0</v>
      </c>
      <c r="AN71" s="133">
        <f>+Actuals!AK234</f>
        <v>0</v>
      </c>
      <c r="AO71" s="134">
        <f>+Actuals!AL234</f>
        <v>0</v>
      </c>
      <c r="AP71" s="133">
        <f>+Actuals!AM234</f>
        <v>0</v>
      </c>
      <c r="AQ71" s="134">
        <f>+Actuals!AN234</f>
        <v>0</v>
      </c>
      <c r="AR71" s="133">
        <f>+Actuals!AO234</f>
        <v>0</v>
      </c>
      <c r="AS71" s="134">
        <f>+Actuals!AP234</f>
        <v>0</v>
      </c>
      <c r="AT71" s="133">
        <f>+Actuals!AQ234</f>
        <v>0</v>
      </c>
      <c r="AU71" s="134">
        <f>+Actuals!AR234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  <c r="AL73" s="133">
        <f>+Actuals!AI235</f>
        <v>0</v>
      </c>
      <c r="AM73" s="134">
        <f>+Actuals!AJ235</f>
        <v>0</v>
      </c>
      <c r="AN73" s="133">
        <f>+Actuals!AK235</f>
        <v>0</v>
      </c>
      <c r="AO73" s="134">
        <f>+Actuals!AL235</f>
        <v>0</v>
      </c>
      <c r="AP73" s="133">
        <f>+Actuals!AM235</f>
        <v>0</v>
      </c>
      <c r="AQ73" s="134">
        <f>+Actuals!AN235</f>
        <v>0</v>
      </c>
      <c r="AR73" s="133">
        <f>+Actuals!AO235</f>
        <v>0</v>
      </c>
      <c r="AS73" s="134">
        <f>+Actuals!AP235</f>
        <v>0</v>
      </c>
      <c r="AT73" s="133">
        <f>+Actuals!AQ235</f>
        <v>0</v>
      </c>
      <c r="AU73" s="134">
        <f>+Actuals!AR235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  <c r="AL74" s="133">
        <f>+Actuals!AI236</f>
        <v>0</v>
      </c>
      <c r="AM74" s="134">
        <f>+Actuals!AJ236</f>
        <v>0</v>
      </c>
      <c r="AN74" s="133">
        <f>+Actuals!AK236</f>
        <v>0</v>
      </c>
      <c r="AO74" s="134">
        <f>+Actuals!AL236</f>
        <v>0</v>
      </c>
      <c r="AP74" s="133">
        <f>+Actuals!AM236</f>
        <v>0</v>
      </c>
      <c r="AQ74" s="134">
        <f>+Actuals!AN236</f>
        <v>0</v>
      </c>
      <c r="AR74" s="133">
        <f>+Actuals!AO236</f>
        <v>0</v>
      </c>
      <c r="AS74" s="134">
        <f>+Actuals!AP236</f>
        <v>0</v>
      </c>
      <c r="AT74" s="133">
        <f>+Actuals!AQ236</f>
        <v>0</v>
      </c>
      <c r="AU74" s="134">
        <f>+Actuals!AR236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  <c r="AL75" s="133">
        <f>+Actuals!AI237</f>
        <v>0</v>
      </c>
      <c r="AM75" s="134">
        <f>+Actuals!AJ237</f>
        <v>0</v>
      </c>
      <c r="AN75" s="133">
        <f>+Actuals!AK237</f>
        <v>0</v>
      </c>
      <c r="AO75" s="134">
        <f>+Actuals!AL237</f>
        <v>0</v>
      </c>
      <c r="AP75" s="133">
        <f>+Actuals!AM237</f>
        <v>0</v>
      </c>
      <c r="AQ75" s="134">
        <f>+Actuals!AN237</f>
        <v>0</v>
      </c>
      <c r="AR75" s="133">
        <f>+Actuals!AO237</f>
        <v>0</v>
      </c>
      <c r="AS75" s="134">
        <f>+Actuals!AP237</f>
        <v>0</v>
      </c>
      <c r="AT75" s="133">
        <f>+Actuals!AQ237</f>
        <v>0</v>
      </c>
      <c r="AU75" s="134">
        <f>+Actuals!AR237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  <c r="AL76" s="133">
        <f>+Actuals!AI238</f>
        <v>0</v>
      </c>
      <c r="AM76" s="134">
        <f>+Actuals!AJ238</f>
        <v>0</v>
      </c>
      <c r="AN76" s="133">
        <f>+Actuals!AK238</f>
        <v>0</v>
      </c>
      <c r="AO76" s="134">
        <f>+Actuals!AL238</f>
        <v>0</v>
      </c>
      <c r="AP76" s="133">
        <f>+Actuals!AM238</f>
        <v>0</v>
      </c>
      <c r="AQ76" s="134">
        <f>+Actuals!AN238</f>
        <v>0</v>
      </c>
      <c r="AR76" s="133">
        <f>+Actuals!AO238</f>
        <v>0</v>
      </c>
      <c r="AS76" s="134">
        <f>+Actuals!AP238</f>
        <v>0</v>
      </c>
      <c r="AT76" s="133">
        <f>+Actuals!AQ238</f>
        <v>0</v>
      </c>
      <c r="AU76" s="134">
        <f>+Actuals!AR238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  <c r="AL77" s="133">
        <f>+Actuals!AI239</f>
        <v>0</v>
      </c>
      <c r="AM77" s="134">
        <f>+Actuals!AJ239</f>
        <v>0</v>
      </c>
      <c r="AN77" s="133">
        <f>+Actuals!AK239</f>
        <v>0</v>
      </c>
      <c r="AO77" s="134">
        <f>+Actuals!AL239</f>
        <v>0</v>
      </c>
      <c r="AP77" s="133">
        <f>+Actuals!AM239</f>
        <v>0</v>
      </c>
      <c r="AQ77" s="134">
        <f>+Actuals!AN239</f>
        <v>0</v>
      </c>
      <c r="AR77" s="133">
        <f>+Actuals!AO239</f>
        <v>0</v>
      </c>
      <c r="AS77" s="134">
        <f>+Actuals!AP239</f>
        <v>0</v>
      </c>
      <c r="AT77" s="133">
        <f>+Actuals!AQ239</f>
        <v>0</v>
      </c>
      <c r="AU77" s="134">
        <f>+Actuals!AR239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  <c r="AL78" s="133">
        <f>+Actuals!AI240</f>
        <v>0</v>
      </c>
      <c r="AM78" s="134">
        <f>+Actuals!AJ240</f>
        <v>0</v>
      </c>
      <c r="AN78" s="133">
        <f>+Actuals!AK240</f>
        <v>0</v>
      </c>
      <c r="AO78" s="134">
        <f>+Actuals!AL240</f>
        <v>0</v>
      </c>
      <c r="AP78" s="133">
        <f>+Actuals!AM240</f>
        <v>0</v>
      </c>
      <c r="AQ78" s="134">
        <f>+Actuals!AN240</f>
        <v>0</v>
      </c>
      <c r="AR78" s="133">
        <f>+Actuals!AO240</f>
        <v>0</v>
      </c>
      <c r="AS78" s="134">
        <f>+Actuals!AP240</f>
        <v>0</v>
      </c>
      <c r="AT78" s="133">
        <f>+Actuals!AQ240</f>
        <v>0</v>
      </c>
      <c r="AU78" s="134">
        <f>+Actuals!AR240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  <c r="AL79" s="133">
        <f>+Actuals!AI241</f>
        <v>0</v>
      </c>
      <c r="AM79" s="134">
        <f>+Actuals!AJ241</f>
        <v>0</v>
      </c>
      <c r="AN79" s="133">
        <f>+Actuals!AK241</f>
        <v>0</v>
      </c>
      <c r="AO79" s="134">
        <f>+Actuals!AL241</f>
        <v>0</v>
      </c>
      <c r="AP79" s="133">
        <f>+Actuals!AM241</f>
        <v>0</v>
      </c>
      <c r="AQ79" s="134">
        <f>+Actuals!AN241</f>
        <v>0</v>
      </c>
      <c r="AR79" s="133">
        <f>+Actuals!AO241</f>
        <v>0</v>
      </c>
      <c r="AS79" s="134">
        <f>+Actuals!AP241</f>
        <v>0</v>
      </c>
      <c r="AT79" s="133">
        <f>+Actuals!AQ241</f>
        <v>0</v>
      </c>
      <c r="AU79" s="134">
        <f>+Actuals!AR241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  <c r="AL80" s="133">
        <f>+Actuals!AI242</f>
        <v>0</v>
      </c>
      <c r="AM80" s="134">
        <f>+Actuals!AJ242</f>
        <v>0</v>
      </c>
      <c r="AN80" s="133">
        <f>+Actuals!AK242</f>
        <v>0</v>
      </c>
      <c r="AO80" s="134">
        <f>+Actuals!AL242</f>
        <v>0</v>
      </c>
      <c r="AP80" s="133">
        <f>+Actuals!AM242</f>
        <v>0</v>
      </c>
      <c r="AQ80" s="134">
        <f>+Actuals!AN242</f>
        <v>0</v>
      </c>
      <c r="AR80" s="133">
        <f>+Actuals!AO242</f>
        <v>0</v>
      </c>
      <c r="AS80" s="134">
        <f>+Actuals!AP242</f>
        <v>0</v>
      </c>
      <c r="AT80" s="133">
        <f>+Actuals!AQ242</f>
        <v>0</v>
      </c>
      <c r="AU80" s="134">
        <f>+Actuals!AR242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  <c r="AL81" s="133">
        <f>+Actuals!AI243</f>
        <v>0</v>
      </c>
      <c r="AM81" s="134">
        <f>+Actuals!AJ243</f>
        <v>0</v>
      </c>
      <c r="AN81" s="133">
        <f>+Actuals!AK243</f>
        <v>0</v>
      </c>
      <c r="AO81" s="134">
        <f>+Actuals!AL243</f>
        <v>0</v>
      </c>
      <c r="AP81" s="133">
        <f>+Actuals!AM243</f>
        <v>0</v>
      </c>
      <c r="AQ81" s="134">
        <f>+Actuals!AN243</f>
        <v>0</v>
      </c>
      <c r="AR81" s="133">
        <f>+Actuals!AO243</f>
        <v>0</v>
      </c>
      <c r="AS81" s="134">
        <f>+Actuals!AP243</f>
        <v>0</v>
      </c>
      <c r="AT81" s="133">
        <f>+Actuals!AQ243</f>
        <v>0</v>
      </c>
      <c r="AU81" s="134">
        <f>+Actuals!AR243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U187"/>
  <sheetViews>
    <sheetView zoomScale="75" workbookViewId="0">
      <pane xSplit="3" ySplit="9" topLeftCell="AM19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9" customWidth="1"/>
    <col min="12" max="47" width="15.44140625" customWidth="1"/>
    <col min="81" max="104" width="0" hidden="1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8810649</v>
      </c>
      <c r="E11" s="38">
        <f t="shared" si="0"/>
        <v>17116005.479999997</v>
      </c>
      <c r="F11" s="58">
        <f>'TIE-OUT'!J11+RECLASS!J11</f>
        <v>0</v>
      </c>
      <c r="G11" s="15">
        <f>'TIE-OUT'!K11+RECLASS!K11</f>
        <v>0</v>
      </c>
      <c r="H11" s="133">
        <f>+Actuals!E44</f>
        <v>8726924</v>
      </c>
      <c r="I11" s="134">
        <f>+Actuals!F44</f>
        <v>17753340.109999999</v>
      </c>
      <c r="J11" s="133">
        <f>+Actuals!G44</f>
        <v>62587</v>
      </c>
      <c r="K11" s="153">
        <f>+Actuals!H44</f>
        <v>-1430616.39</v>
      </c>
      <c r="L11" s="133">
        <f>+Actuals!I44</f>
        <v>0</v>
      </c>
      <c r="M11" s="134">
        <f>+Actuals!J44</f>
        <v>743539.46</v>
      </c>
      <c r="N11" s="133">
        <f>+Actuals!K44</f>
        <v>0</v>
      </c>
      <c r="O11" s="134">
        <f>+Actuals!L44</f>
        <v>12352.83</v>
      </c>
      <c r="P11" s="133">
        <f>+Actuals!M44</f>
        <v>-44182</v>
      </c>
      <c r="Q11" s="134">
        <f>+Actuals!N44</f>
        <v>-79966.44</v>
      </c>
      <c r="R11" s="133">
        <f>+Actuals!O44</f>
        <v>52875</v>
      </c>
      <c r="S11" s="134">
        <f>+Actuals!P44</f>
        <v>95703.75</v>
      </c>
      <c r="T11" s="133">
        <f>+Actuals!Q44</f>
        <v>0</v>
      </c>
      <c r="U11" s="134">
        <f>+Actuals!R44</f>
        <v>0.99</v>
      </c>
      <c r="V11" s="133">
        <f>+Actuals!S44</f>
        <v>0</v>
      </c>
      <c r="W11" s="134">
        <f>+Actuals!T44</f>
        <v>-3.13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0</v>
      </c>
      <c r="AC11" s="134">
        <f>+Actuals!Z44</f>
        <v>0</v>
      </c>
      <c r="AD11" s="133">
        <f>+Actuals!AA44</f>
        <v>12445</v>
      </c>
      <c r="AE11" s="134">
        <f>+Actuals!AB44</f>
        <v>21654.3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  <c r="AL11" s="133">
        <f>+Actuals!AI44</f>
        <v>0</v>
      </c>
      <c r="AM11" s="134">
        <f>+Actuals!AJ44</f>
        <v>0</v>
      </c>
      <c r="AN11" s="133">
        <f>+Actuals!AK44</f>
        <v>0</v>
      </c>
      <c r="AO11" s="134">
        <f>+Actuals!AL44</f>
        <v>0</v>
      </c>
      <c r="AP11" s="133">
        <f>+Actuals!AM44</f>
        <v>0</v>
      </c>
      <c r="AQ11" s="134">
        <f>+Actuals!AN44</f>
        <v>0</v>
      </c>
      <c r="AR11" s="133">
        <f>+Actuals!AO44</f>
        <v>0</v>
      </c>
      <c r="AS11" s="134">
        <f>+Actuals!AP44</f>
        <v>0</v>
      </c>
      <c r="AT11" s="133">
        <f>+Actuals!AQ44</f>
        <v>0</v>
      </c>
      <c r="AU11" s="134">
        <f>+Actuals!AR44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  <c r="AL12" s="133">
        <f>+Actuals!AI45</f>
        <v>0</v>
      </c>
      <c r="AM12" s="134">
        <f>+Actuals!AJ45</f>
        <v>0</v>
      </c>
      <c r="AN12" s="133">
        <f>+Actuals!AK45</f>
        <v>0</v>
      </c>
      <c r="AO12" s="134">
        <f>+Actuals!AL45</f>
        <v>0</v>
      </c>
      <c r="AP12" s="133">
        <f>+Actuals!AM45</f>
        <v>0</v>
      </c>
      <c r="AQ12" s="134">
        <f>+Actuals!AN45</f>
        <v>0</v>
      </c>
      <c r="AR12" s="133">
        <f>+Actuals!AO45</f>
        <v>0</v>
      </c>
      <c r="AS12" s="134">
        <f>+Actuals!AP45</f>
        <v>0</v>
      </c>
      <c r="AT12" s="133">
        <f>+Actuals!AQ45</f>
        <v>0</v>
      </c>
      <c r="AU12" s="134">
        <f>+Actuals!AR45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  <c r="AL13" s="133">
        <f>+Actuals!AI46</f>
        <v>0</v>
      </c>
      <c r="AM13" s="134">
        <f>+Actuals!AJ46</f>
        <v>0</v>
      </c>
      <c r="AN13" s="133">
        <f>+Actuals!AK46</f>
        <v>0</v>
      </c>
      <c r="AO13" s="134">
        <f>+Actuals!AL46</f>
        <v>0</v>
      </c>
      <c r="AP13" s="133">
        <f>+Actuals!AM46</f>
        <v>0</v>
      </c>
      <c r="AQ13" s="134">
        <f>+Actuals!AN46</f>
        <v>0</v>
      </c>
      <c r="AR13" s="133">
        <f>+Actuals!AO46</f>
        <v>0</v>
      </c>
      <c r="AS13" s="134">
        <f>+Actuals!AP46</f>
        <v>0</v>
      </c>
      <c r="AT13" s="133">
        <f>+Actuals!AQ46</f>
        <v>0</v>
      </c>
      <c r="AU13" s="134">
        <f>+Actuals!AR46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  <c r="AL14" s="133">
        <f>+Actuals!AI47</f>
        <v>0</v>
      </c>
      <c r="AM14" s="134">
        <f>+Actuals!AJ47</f>
        <v>0</v>
      </c>
      <c r="AN14" s="133">
        <f>+Actuals!AK47</f>
        <v>0</v>
      </c>
      <c r="AO14" s="134">
        <f>+Actuals!AL47</f>
        <v>0</v>
      </c>
      <c r="AP14" s="133">
        <f>+Actuals!AM47</f>
        <v>0</v>
      </c>
      <c r="AQ14" s="134">
        <f>+Actuals!AN47</f>
        <v>0</v>
      </c>
      <c r="AR14" s="133">
        <f>+Actuals!AO47</f>
        <v>0</v>
      </c>
      <c r="AS14" s="134">
        <f>+Actuals!AP47</f>
        <v>0</v>
      </c>
      <c r="AT14" s="133">
        <f>+Actuals!AQ47</f>
        <v>0</v>
      </c>
      <c r="AU14" s="134">
        <f>+Actuals!AR47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  <c r="AL15" s="133">
        <f>+Actuals!AI48</f>
        <v>0</v>
      </c>
      <c r="AM15" s="134">
        <f>+Actuals!AJ48</f>
        <v>0</v>
      </c>
      <c r="AN15" s="133">
        <f>+Actuals!AK48</f>
        <v>0</v>
      </c>
      <c r="AO15" s="134">
        <f>+Actuals!AL48</f>
        <v>0</v>
      </c>
      <c r="AP15" s="133">
        <f>+Actuals!AM48</f>
        <v>0</v>
      </c>
      <c r="AQ15" s="134">
        <f>+Actuals!AN48</f>
        <v>0</v>
      </c>
      <c r="AR15" s="133">
        <f>+Actuals!AO48</f>
        <v>0</v>
      </c>
      <c r="AS15" s="134">
        <f>+Actuals!AP48</f>
        <v>0</v>
      </c>
      <c r="AT15" s="133">
        <f>+Actuals!AQ48</f>
        <v>0</v>
      </c>
      <c r="AU15" s="134">
        <f>+Actuals!AR48</f>
        <v>0</v>
      </c>
    </row>
    <row r="16" spans="1:47" x14ac:dyDescent="0.25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59">
        <f t="shared" ref="F16:AE16" si="1">SUM(F11:F15)</f>
        <v>0</v>
      </c>
      <c r="G16" s="23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154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si="1"/>
        <v>21654.3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-3643430</v>
      </c>
      <c r="E19" s="38">
        <f t="shared" si="4"/>
        <v>-6449666.7599999998</v>
      </c>
      <c r="F19" s="84">
        <f>'TIE-OUT'!J19+RECLASS!J19</f>
        <v>0</v>
      </c>
      <c r="G19" s="85">
        <f>'TIE-OUT'!K19+RECLASS!K19</f>
        <v>0</v>
      </c>
      <c r="H19" s="133">
        <f>+Actuals!E49+29391</f>
        <v>-2666137</v>
      </c>
      <c r="I19" s="134">
        <f>+Actuals!F49+52051</f>
        <v>-4591756.54</v>
      </c>
      <c r="J19" s="133">
        <f>+Actuals!G49</f>
        <v>-977293</v>
      </c>
      <c r="K19" s="153">
        <f>+Actuals!H49</f>
        <v>-1863662.83</v>
      </c>
      <c r="L19" s="133">
        <f>+Actuals!I49</f>
        <v>0</v>
      </c>
      <c r="M19" s="134">
        <f>+Actuals!J49</f>
        <v>17666.919999999998</v>
      </c>
      <c r="N19" s="133">
        <f>+Actuals!K49</f>
        <v>0</v>
      </c>
      <c r="O19" s="134">
        <f>+Actuals!L49</f>
        <v>-12115.53</v>
      </c>
      <c r="P19" s="133">
        <f>+Actuals!M49</f>
        <v>0</v>
      </c>
      <c r="Q19" s="134">
        <f>+Actuals!N49</f>
        <v>0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-2</v>
      </c>
      <c r="W19" s="134">
        <f>+Actuals!T49</f>
        <v>101.53</v>
      </c>
      <c r="X19" s="133">
        <f>+Actuals!U49</f>
        <v>2</v>
      </c>
      <c r="Y19" s="134">
        <f>+Actuals!V49</f>
        <v>3.5</v>
      </c>
      <c r="Z19" s="133">
        <f>+Actuals!W49</f>
        <v>0</v>
      </c>
      <c r="AA19" s="134">
        <f>+Actuals!X49</f>
        <v>96.19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0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  <c r="AL19" s="133">
        <f>+Actuals!AI49</f>
        <v>0</v>
      </c>
      <c r="AM19" s="134">
        <f>+Actuals!AJ49</f>
        <v>0</v>
      </c>
      <c r="AN19" s="133">
        <f>+Actuals!AK49</f>
        <v>0</v>
      </c>
      <c r="AO19" s="134">
        <f>+Actuals!AL49</f>
        <v>0</v>
      </c>
      <c r="AP19" s="133">
        <f>+Actuals!AM49</f>
        <v>0</v>
      </c>
      <c r="AQ19" s="134">
        <f>+Actuals!AN49</f>
        <v>0</v>
      </c>
      <c r="AR19" s="133">
        <f>+Actuals!AO49</f>
        <v>0</v>
      </c>
      <c r="AS19" s="134">
        <f>+Actuals!AP49</f>
        <v>0</v>
      </c>
      <c r="AT19" s="133">
        <f>+Actuals!AQ49</f>
        <v>0</v>
      </c>
      <c r="AU19" s="134">
        <f>+Actuals!AR49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-1135706.29</v>
      </c>
      <c r="F20" s="58">
        <f>'TIE-OUT'!J20+RECLASS!J20</f>
        <v>0</v>
      </c>
      <c r="G20" s="15">
        <f>'TIE-OUT'!K20+RECLASS!K20</f>
        <v>-1135706.29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  <c r="AL20" s="133">
        <f>+Actuals!AI50</f>
        <v>0</v>
      </c>
      <c r="AM20" s="134">
        <f>+Actuals!AJ50</f>
        <v>0</v>
      </c>
      <c r="AN20" s="133">
        <f>+Actuals!AK50</f>
        <v>0</v>
      </c>
      <c r="AO20" s="134">
        <f>+Actuals!AL50</f>
        <v>0</v>
      </c>
      <c r="AP20" s="133">
        <f>+Actuals!AM50</f>
        <v>0</v>
      </c>
      <c r="AQ20" s="134">
        <f>+Actuals!AN50</f>
        <v>0</v>
      </c>
      <c r="AR20" s="133">
        <f>+Actuals!AO50</f>
        <v>0</v>
      </c>
      <c r="AS20" s="134">
        <f>+Actuals!AP50</f>
        <v>0</v>
      </c>
      <c r="AT20" s="133">
        <f>+Actuals!AQ50</f>
        <v>0</v>
      </c>
      <c r="AU20" s="134">
        <f>+Actuals!AR50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  <c r="AL21" s="133">
        <f>+Actuals!AI51</f>
        <v>0</v>
      </c>
      <c r="AM21" s="134">
        <f>+Actuals!AJ51</f>
        <v>0</v>
      </c>
      <c r="AN21" s="133">
        <f>+Actuals!AK51</f>
        <v>0</v>
      </c>
      <c r="AO21" s="134">
        <f>+Actuals!AL51</f>
        <v>0</v>
      </c>
      <c r="AP21" s="133">
        <f>+Actuals!AM51</f>
        <v>0</v>
      </c>
      <c r="AQ21" s="134">
        <f>+Actuals!AN51</f>
        <v>0</v>
      </c>
      <c r="AR21" s="133">
        <f>+Actuals!AO51</f>
        <v>0</v>
      </c>
      <c r="AS21" s="134">
        <f>+Actuals!AP51</f>
        <v>0</v>
      </c>
      <c r="AT21" s="133">
        <f>+Actuals!AQ51</f>
        <v>0</v>
      </c>
      <c r="AU21" s="134">
        <f>+Actuals!AR51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  <c r="AL22" s="133">
        <f>+Actuals!AI52</f>
        <v>0</v>
      </c>
      <c r="AM22" s="134">
        <f>+Actuals!AJ52</f>
        <v>0</v>
      </c>
      <c r="AN22" s="133">
        <f>+Actuals!AK52</f>
        <v>0</v>
      </c>
      <c r="AO22" s="134">
        <f>+Actuals!AL52</f>
        <v>0</v>
      </c>
      <c r="AP22" s="133">
        <f>+Actuals!AM52</f>
        <v>0</v>
      </c>
      <c r="AQ22" s="134">
        <f>+Actuals!AN52</f>
        <v>0</v>
      </c>
      <c r="AR22" s="133">
        <f>+Actuals!AO52</f>
        <v>0</v>
      </c>
      <c r="AS22" s="134">
        <f>+Actuals!AP52</f>
        <v>0</v>
      </c>
      <c r="AT22" s="133">
        <f>+Actuals!AQ52</f>
        <v>0</v>
      </c>
      <c r="AU22" s="134">
        <f>+Actuals!AR52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-154</v>
      </c>
      <c r="E23" s="38">
        <f t="shared" si="4"/>
        <v>2047.83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-1629</v>
      </c>
      <c r="K23" s="153">
        <f>+Actuals!H53</f>
        <v>-3685.33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</f>
        <v>0</v>
      </c>
      <c r="X23" s="133">
        <f>+Actuals!U53</f>
        <v>1500</v>
      </c>
      <c r="Y23" s="134">
        <f>+Actuals!V53+2057</f>
        <v>5776.41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-25</v>
      </c>
      <c r="AE23" s="134">
        <f>+Actuals!AB53</f>
        <v>-43.25</v>
      </c>
      <c r="AF23" s="133">
        <f>+Actuals!AC53</f>
        <v>0</v>
      </c>
      <c r="AG23" s="134">
        <f>+Actuals!AD53</f>
        <v>0</v>
      </c>
      <c r="AH23" s="133">
        <f>+Actuals!AE53</f>
        <v>-25</v>
      </c>
      <c r="AI23" s="134">
        <f>+Actuals!AF53</f>
        <v>-43.25</v>
      </c>
      <c r="AJ23" s="133">
        <f>+Actuals!AG53</f>
        <v>25</v>
      </c>
      <c r="AK23" s="134">
        <f>+Actuals!AH53</f>
        <v>43.25</v>
      </c>
      <c r="AL23" s="133">
        <f>+Actuals!AI53</f>
        <v>0</v>
      </c>
      <c r="AM23" s="134">
        <f>+Actuals!AJ53</f>
        <v>0</v>
      </c>
      <c r="AN23" s="133">
        <f>+Actuals!AK53</f>
        <v>0</v>
      </c>
      <c r="AO23" s="134">
        <f>+Actuals!AL53</f>
        <v>0</v>
      </c>
      <c r="AP23" s="133">
        <f>+Actuals!AM53</f>
        <v>0</v>
      </c>
      <c r="AQ23" s="134">
        <f>+Actuals!AN53</f>
        <v>0</v>
      </c>
      <c r="AR23" s="133">
        <f>+Actuals!AO53</f>
        <v>0</v>
      </c>
      <c r="AS23" s="134">
        <f>+Actuals!AP53</f>
        <v>0</v>
      </c>
      <c r="AT23" s="133">
        <f>+Actuals!AQ53</f>
        <v>0</v>
      </c>
      <c r="AU23" s="134">
        <f>+Actuals!AR53</f>
        <v>0</v>
      </c>
    </row>
    <row r="24" spans="1:47" x14ac:dyDescent="0.25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59">
        <f t="shared" ref="F24:AE24" si="5">SUM(F19:F23)</f>
        <v>0</v>
      </c>
      <c r="G24" s="23">
        <f t="shared" si="5"/>
        <v>-1135706.29</v>
      </c>
      <c r="H24" s="61">
        <f t="shared" si="5"/>
        <v>-2666137</v>
      </c>
      <c r="I24" s="39">
        <f t="shared" si="5"/>
        <v>-4591756.54</v>
      </c>
      <c r="J24" s="61">
        <f t="shared" si="5"/>
        <v>-978922</v>
      </c>
      <c r="K24" s="154">
        <f t="shared" si="5"/>
        <v>-1867348.1600000001</v>
      </c>
      <c r="L24" s="61">
        <f t="shared" si="5"/>
        <v>0</v>
      </c>
      <c r="M24" s="39">
        <f t="shared" si="5"/>
        <v>17666.919999999998</v>
      </c>
      <c r="N24" s="61">
        <f t="shared" si="5"/>
        <v>0</v>
      </c>
      <c r="O24" s="39">
        <f t="shared" si="5"/>
        <v>-12115.53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-2</v>
      </c>
      <c r="W24" s="39">
        <f t="shared" si="5"/>
        <v>101.53</v>
      </c>
      <c r="X24" s="61">
        <f t="shared" si="5"/>
        <v>1502</v>
      </c>
      <c r="Y24" s="39">
        <f t="shared" si="5"/>
        <v>5779.91</v>
      </c>
      <c r="Z24" s="61">
        <f t="shared" si="5"/>
        <v>0</v>
      </c>
      <c r="AA24" s="39">
        <f t="shared" si="5"/>
        <v>96.19</v>
      </c>
      <c r="AB24" s="61">
        <f t="shared" si="5"/>
        <v>0</v>
      </c>
      <c r="AC24" s="39">
        <f t="shared" si="5"/>
        <v>0</v>
      </c>
      <c r="AD24" s="61">
        <f t="shared" si="5"/>
        <v>-25</v>
      </c>
      <c r="AE24" s="39">
        <f t="shared" si="5"/>
        <v>-43.25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-25</v>
      </c>
      <c r="AI24" s="39">
        <f t="shared" si="6"/>
        <v>-43.25</v>
      </c>
      <c r="AJ24" s="61">
        <f t="shared" si="6"/>
        <v>25</v>
      </c>
      <c r="AK24" s="39">
        <f t="shared" si="6"/>
        <v>43.25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2713781</v>
      </c>
      <c r="E27" s="38">
        <f>SUM(G27,I27,K27,M27,O27,Q27,S27,U27,W27,Y27,AA27,AC27,AE27,AG27,AI27,AK27,AM27,AO27,AQ27,AS27,AU27)</f>
        <v>4854237.33</v>
      </c>
      <c r="F27" s="84">
        <f>'TIE-OUT'!J27+RECLASS!J27</f>
        <v>0</v>
      </c>
      <c r="G27" s="85">
        <f>'TIE-OUT'!K27+RECLASS!K27</f>
        <v>0</v>
      </c>
      <c r="H27" s="133">
        <f>+Actuals!E54</f>
        <v>2414397</v>
      </c>
      <c r="I27" s="134">
        <f>+Actuals!F54</f>
        <v>4682567.46</v>
      </c>
      <c r="J27" s="133">
        <f>+Actuals!G54</f>
        <v>298857</v>
      </c>
      <c r="K27" s="153">
        <f>+Actuals!H54</f>
        <v>159911.51999999999</v>
      </c>
      <c r="L27" s="133">
        <f>+Actuals!I54</f>
        <v>-144281</v>
      </c>
      <c r="M27" s="134">
        <f>+Actuals!J54</f>
        <v>-250858.27</v>
      </c>
      <c r="N27" s="133">
        <f>+Actuals!K54</f>
        <v>7979</v>
      </c>
      <c r="O27" s="134">
        <f>+Actuals!L54</f>
        <v>21488.66</v>
      </c>
      <c r="P27" s="133">
        <f>+Actuals!M54</f>
        <v>0</v>
      </c>
      <c r="Q27" s="134">
        <f>+Actuals!N54</f>
        <v>0.05</v>
      </c>
      <c r="R27" s="133">
        <f>+Actuals!O54</f>
        <v>0</v>
      </c>
      <c r="S27" s="134">
        <f>+Actuals!P54</f>
        <v>0</v>
      </c>
      <c r="T27" s="133">
        <f>+Actuals!Q54</f>
        <v>0</v>
      </c>
      <c r="U27" s="134">
        <f>+Actuals!R54</f>
        <v>0</v>
      </c>
      <c r="V27" s="133">
        <f>+Actuals!S54</f>
        <v>-101055</v>
      </c>
      <c r="W27" s="134">
        <f>+Actuals!T54</f>
        <v>-202110</v>
      </c>
      <c r="X27" s="133">
        <f>+Actuals!U54</f>
        <v>44577</v>
      </c>
      <c r="Y27" s="134">
        <f>+Actuals!V54</f>
        <v>99172.55</v>
      </c>
      <c r="Z27" s="133">
        <f>+Actuals!W54</f>
        <v>0</v>
      </c>
      <c r="AA27" s="134">
        <f>+Actuals!X54</f>
        <v>0</v>
      </c>
      <c r="AB27" s="133">
        <f>+Actuals!Y54</f>
        <v>277117</v>
      </c>
      <c r="AC27" s="134">
        <f>+Actuals!Z54</f>
        <v>511261.51</v>
      </c>
      <c r="AD27" s="133">
        <f>+Actuals!AA54</f>
        <v>-82104</v>
      </c>
      <c r="AE27" s="134">
        <f>+Actuals!AB54</f>
        <v>-164208</v>
      </c>
      <c r="AF27" s="133">
        <f>+Actuals!AC54</f>
        <v>0</v>
      </c>
      <c r="AG27" s="134">
        <f>+Actuals!AD54</f>
        <v>0.24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  <c r="AL27" s="133">
        <f>+Actuals!AI54</f>
        <v>-4949</v>
      </c>
      <c r="AM27" s="134">
        <f>+Actuals!AJ54</f>
        <v>-9474.39</v>
      </c>
      <c r="AN27" s="133">
        <f>+Actuals!AK54</f>
        <v>3243</v>
      </c>
      <c r="AO27" s="134">
        <f>+Actuals!AL54</f>
        <v>6486</v>
      </c>
      <c r="AP27" s="133">
        <f>+Actuals!AM54</f>
        <v>0</v>
      </c>
      <c r="AQ27" s="134">
        <f>+Actuals!AN54</f>
        <v>0</v>
      </c>
      <c r="AR27" s="133">
        <f>+Actuals!AO54</f>
        <v>0</v>
      </c>
      <c r="AS27" s="134">
        <f>+Actuals!AP54</f>
        <v>0</v>
      </c>
      <c r="AT27" s="133">
        <f>+Actuals!AQ54</f>
        <v>0</v>
      </c>
      <c r="AU27" s="134">
        <f>+Actuals!AR54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-8644052</v>
      </c>
      <c r="E28" s="38">
        <f>SUM(G28,I28,K28,M28,O28,Q28,S28,U28,W28,Y28,AA28,AC28,AE28,AG28,AI28,AK28,AM28,AO28,AQ28,AS28,AU28)</f>
        <v>-15426032.459999999</v>
      </c>
      <c r="F28" s="98">
        <f>'TIE-OUT'!J28+RECLASS!J28</f>
        <v>0</v>
      </c>
      <c r="G28" s="99">
        <f>'TIE-OUT'!K28+RECLASS!K28</f>
        <v>0</v>
      </c>
      <c r="H28" s="133">
        <f>+Actuals!E55</f>
        <v>-8440837</v>
      </c>
      <c r="I28" s="134">
        <f>+Actuals!F55</f>
        <v>-16794030.91</v>
      </c>
      <c r="J28" s="133">
        <f>+Actuals!G55</f>
        <v>-46971</v>
      </c>
      <c r="K28" s="153">
        <f>+Actuals!H55</f>
        <v>1653235.31</v>
      </c>
      <c r="L28" s="133">
        <f>+Actuals!I55</f>
        <v>6294</v>
      </c>
      <c r="M28" s="134">
        <f>+Actuals!J55</f>
        <v>43981.49</v>
      </c>
      <c r="N28" s="133">
        <f>+Actuals!K55</f>
        <v>0</v>
      </c>
      <c r="O28" s="134">
        <f>+Actuals!L55</f>
        <v>-33097.86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-8693</v>
      </c>
      <c r="U28" s="134">
        <f>+Actuals!R55</f>
        <v>-17386</v>
      </c>
      <c r="V28" s="133">
        <f>+Actuals!S55</f>
        <v>38955</v>
      </c>
      <c r="W28" s="134">
        <f>+Actuals!T55</f>
        <v>77910</v>
      </c>
      <c r="X28" s="133">
        <f>+Actuals!U55</f>
        <v>2213</v>
      </c>
      <c r="Y28" s="134">
        <f>+Actuals!V55-2057</f>
        <v>2421.2299999999996</v>
      </c>
      <c r="Z28" s="133">
        <f>+Actuals!W55</f>
        <v>0</v>
      </c>
      <c r="AA28" s="134">
        <f>+Actuals!X55</f>
        <v>0</v>
      </c>
      <c r="AB28" s="133">
        <f>+Actuals!Y55</f>
        <v>-195013</v>
      </c>
      <c r="AC28" s="134">
        <f>+Actuals!Z55</f>
        <v>-347053.48</v>
      </c>
      <c r="AD28" s="133">
        <f>+Actuals!AA55</f>
        <v>0</v>
      </c>
      <c r="AE28" s="134">
        <f>+Actuals!AB55</f>
        <v>0</v>
      </c>
      <c r="AF28" s="133">
        <f>+Actuals!AC55</f>
        <v>0</v>
      </c>
      <c r="AG28" s="134">
        <f>+Actuals!AD55</f>
        <v>-0.24</v>
      </c>
      <c r="AH28" s="133">
        <f>+Actuals!AE55</f>
        <v>0</v>
      </c>
      <c r="AI28" s="134">
        <f>+Actuals!AF55</f>
        <v>0</v>
      </c>
      <c r="AJ28" s="133">
        <f>+Actuals!AG55</f>
        <v>0</v>
      </c>
      <c r="AK28" s="134">
        <f>+Actuals!AH55</f>
        <v>0</v>
      </c>
      <c r="AL28" s="133">
        <f>+Actuals!AI55</f>
        <v>2490</v>
      </c>
      <c r="AM28" s="134">
        <f>+Actuals!AJ55-12012</f>
        <v>-7032</v>
      </c>
      <c r="AN28" s="133">
        <f>+Actuals!AK55</f>
        <v>-2490</v>
      </c>
      <c r="AO28" s="134">
        <f>+Actuals!AL55</f>
        <v>-4980</v>
      </c>
      <c r="AP28" s="133">
        <f>+Actuals!AM55</f>
        <v>0</v>
      </c>
      <c r="AQ28" s="134">
        <f>+Actuals!AN55</f>
        <v>0</v>
      </c>
      <c r="AR28" s="133">
        <f>+Actuals!AO55</f>
        <v>0</v>
      </c>
      <c r="AS28" s="134">
        <f>+Actuals!AP55</f>
        <v>0</v>
      </c>
      <c r="AT28" s="133">
        <f>+Actuals!AQ55</f>
        <v>0</v>
      </c>
      <c r="AU28" s="134">
        <f>+Actuals!AR55</f>
        <v>0</v>
      </c>
    </row>
    <row r="29" spans="1:47" x14ac:dyDescent="0.25">
      <c r="A29" s="9"/>
      <c r="B29" s="7" t="s">
        <v>41</v>
      </c>
      <c r="C29" s="18"/>
      <c r="D29" s="61">
        <f>SUM(D27:D28)</f>
        <v>-5930271</v>
      </c>
      <c r="E29" s="39">
        <f>SUM(E27:E28)</f>
        <v>-10571795.129999999</v>
      </c>
      <c r="F29" s="59">
        <f t="shared" ref="F29:AE29" si="8">SUM(F27:F28)</f>
        <v>0</v>
      </c>
      <c r="G29" s="23">
        <f t="shared" si="8"/>
        <v>0</v>
      </c>
      <c r="H29" s="61">
        <f t="shared" si="8"/>
        <v>-6026440</v>
      </c>
      <c r="I29" s="39">
        <f t="shared" si="8"/>
        <v>-12111463.449999999</v>
      </c>
      <c r="J29" s="61">
        <f t="shared" si="8"/>
        <v>251886</v>
      </c>
      <c r="K29" s="154">
        <f t="shared" si="8"/>
        <v>1813146.83</v>
      </c>
      <c r="L29" s="61">
        <f t="shared" si="8"/>
        <v>-137987</v>
      </c>
      <c r="M29" s="39">
        <f t="shared" si="8"/>
        <v>-206876.78</v>
      </c>
      <c r="N29" s="61">
        <f t="shared" si="8"/>
        <v>7979</v>
      </c>
      <c r="O29" s="39">
        <f t="shared" si="8"/>
        <v>-11609.2</v>
      </c>
      <c r="P29" s="61">
        <f t="shared" si="8"/>
        <v>0</v>
      </c>
      <c r="Q29" s="39">
        <f t="shared" si="8"/>
        <v>0.05</v>
      </c>
      <c r="R29" s="61">
        <f t="shared" si="8"/>
        <v>0</v>
      </c>
      <c r="S29" s="39">
        <f t="shared" si="8"/>
        <v>0</v>
      </c>
      <c r="T29" s="61">
        <f t="shared" si="8"/>
        <v>-8693</v>
      </c>
      <c r="U29" s="39">
        <f t="shared" si="8"/>
        <v>-17386</v>
      </c>
      <c r="V29" s="61">
        <f t="shared" si="8"/>
        <v>-62100</v>
      </c>
      <c r="W29" s="39">
        <f t="shared" si="8"/>
        <v>-124200</v>
      </c>
      <c r="X29" s="61">
        <f t="shared" si="8"/>
        <v>46790</v>
      </c>
      <c r="Y29" s="39">
        <f t="shared" si="8"/>
        <v>101593.78</v>
      </c>
      <c r="Z29" s="61">
        <f t="shared" si="8"/>
        <v>0</v>
      </c>
      <c r="AA29" s="39">
        <f t="shared" si="8"/>
        <v>0</v>
      </c>
      <c r="AB29" s="61">
        <f t="shared" si="8"/>
        <v>82104</v>
      </c>
      <c r="AC29" s="39">
        <f t="shared" si="8"/>
        <v>164208.03000000003</v>
      </c>
      <c r="AD29" s="61">
        <f t="shared" si="8"/>
        <v>-82104</v>
      </c>
      <c r="AE29" s="39">
        <f t="shared" si="8"/>
        <v>-164208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-2459</v>
      </c>
      <c r="AM29" s="39">
        <f t="shared" si="10"/>
        <v>-16506.39</v>
      </c>
      <c r="AN29" s="61">
        <f t="shared" si="10"/>
        <v>753</v>
      </c>
      <c r="AO29" s="39">
        <f t="shared" si="10"/>
        <v>1506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215457</v>
      </c>
      <c r="E32" s="38">
        <f t="shared" si="11"/>
        <v>385237.11200000002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204286</v>
      </c>
      <c r="K32" s="153">
        <f>+Actuals!H56</f>
        <v>365263.36800000002</v>
      </c>
      <c r="L32" s="133">
        <f>+Actuals!I56</f>
        <v>-192556</v>
      </c>
      <c r="M32" s="134">
        <f>+Actuals!J56</f>
        <v>-346307.68800000002</v>
      </c>
      <c r="N32" s="133">
        <f>+Actuals!K56</f>
        <v>0</v>
      </c>
      <c r="O32" s="134">
        <f>+Actuals!L56</f>
        <v>3307.86</v>
      </c>
      <c r="P32" s="133">
        <f>+Actuals!M56</f>
        <v>0</v>
      </c>
      <c r="Q32" s="134">
        <f>+Actuals!N56</f>
        <v>5360.61</v>
      </c>
      <c r="R32" s="133">
        <f>+Actuals!O56</f>
        <v>0</v>
      </c>
      <c r="S32" s="134">
        <f>+Actuals!P56</f>
        <v>-1477.98</v>
      </c>
      <c r="T32" s="133">
        <f>+Actuals!Q56</f>
        <v>0</v>
      </c>
      <c r="U32" s="134">
        <f>+Actuals!R56</f>
        <v>422.28</v>
      </c>
      <c r="V32" s="133">
        <f>+Actuals!S56</f>
        <v>0</v>
      </c>
      <c r="W32" s="134">
        <f>+Actuals!T56</f>
        <v>4093.77</v>
      </c>
      <c r="X32" s="133">
        <f>+Actuals!U56</f>
        <v>0</v>
      </c>
      <c r="Y32" s="134">
        <f>+Actuals!V56</f>
        <v>3331.32</v>
      </c>
      <c r="Z32" s="133">
        <f>+Actuals!W56</f>
        <v>0</v>
      </c>
      <c r="AA32" s="134">
        <f>+Actuals!X56</f>
        <v>-13020.3</v>
      </c>
      <c r="AB32" s="133">
        <f>+Actuals!Y56</f>
        <v>0</v>
      </c>
      <c r="AC32" s="134">
        <f>+Actuals!Z56</f>
        <v>0</v>
      </c>
      <c r="AD32" s="133">
        <f>+Actuals!AA56</f>
        <v>-12445</v>
      </c>
      <c r="AE32" s="134">
        <f>+Actuals!AB56</f>
        <v>-22251.66</v>
      </c>
      <c r="AF32" s="133">
        <f>+Actuals!AC56</f>
        <v>183308</v>
      </c>
      <c r="AG32" s="134">
        <f>+Actuals!AD56</f>
        <v>327754.70400000003</v>
      </c>
      <c r="AH32" s="133">
        <f>+Actuals!AE56</f>
        <v>0</v>
      </c>
      <c r="AI32" s="134">
        <f>+Actuals!AF56</f>
        <v>0</v>
      </c>
      <c r="AJ32" s="133">
        <f>+Actuals!AG56</f>
        <v>0</v>
      </c>
      <c r="AK32" s="134">
        <f>+Actuals!AH56</f>
        <v>0</v>
      </c>
      <c r="AL32" s="133">
        <f>+Actuals!AI56</f>
        <v>0</v>
      </c>
      <c r="AM32" s="134">
        <f>+Actuals!AJ56</f>
        <v>0</v>
      </c>
      <c r="AN32" s="133">
        <f>+Actuals!AK56</f>
        <v>1706</v>
      </c>
      <c r="AO32" s="134">
        <f>+Actuals!AL56</f>
        <v>3050.328</v>
      </c>
      <c r="AP32" s="133">
        <f>+Actuals!AM56</f>
        <v>0</v>
      </c>
      <c r="AQ32" s="134">
        <f>+Actuals!AN56</f>
        <v>0</v>
      </c>
      <c r="AR32" s="133">
        <v>15579</v>
      </c>
      <c r="AS32" s="134">
        <v>27855.25</v>
      </c>
      <c r="AT32" s="133">
        <v>15579</v>
      </c>
      <c r="AU32" s="134">
        <v>27855.25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-25</v>
      </c>
      <c r="E33" s="38">
        <f t="shared" si="11"/>
        <v>-43.25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  <c r="AL33" s="133">
        <f>+Actuals!AI57</f>
        <v>0</v>
      </c>
      <c r="AM33" s="134">
        <f>+Actuals!AJ57</f>
        <v>0</v>
      </c>
      <c r="AN33" s="133">
        <f>+Actuals!AK57</f>
        <v>0</v>
      </c>
      <c r="AO33" s="134">
        <f>+Actuals!AL57</f>
        <v>0</v>
      </c>
      <c r="AP33" s="133">
        <v>-25</v>
      </c>
      <c r="AQ33" s="134">
        <v>-43.25</v>
      </c>
      <c r="AR33" s="133">
        <v>0</v>
      </c>
      <c r="AS33" s="134">
        <v>0</v>
      </c>
      <c r="AT33" s="133">
        <v>0</v>
      </c>
      <c r="AU33" s="134"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  <c r="AL34" s="133">
        <f>+Actuals!AI58</f>
        <v>0</v>
      </c>
      <c r="AM34" s="134">
        <f>+Actuals!AJ58</f>
        <v>0</v>
      </c>
      <c r="AN34" s="133">
        <f>+Actuals!AK58</f>
        <v>0</v>
      </c>
      <c r="AO34" s="134">
        <f>+Actuals!AL58</f>
        <v>0</v>
      </c>
      <c r="AP34" s="133">
        <f>+Actuals!AM58</f>
        <v>0</v>
      </c>
      <c r="AQ34" s="134">
        <f>+Actuals!AN58</f>
        <v>0</v>
      </c>
      <c r="AR34" s="133">
        <f>+Actuals!AO58</f>
        <v>0</v>
      </c>
      <c r="AS34" s="134">
        <f>+Actuals!AP58</f>
        <v>0</v>
      </c>
      <c r="AT34" s="133">
        <f>+Actuals!AQ58</f>
        <v>0</v>
      </c>
      <c r="AU34" s="134">
        <f>+Actuals!AR58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  <c r="AL35" s="133">
        <f>+Actuals!AI59</f>
        <v>0</v>
      </c>
      <c r="AM35" s="134">
        <f>+Actuals!AJ59</f>
        <v>0</v>
      </c>
      <c r="AN35" s="133">
        <f>+Actuals!AK59</f>
        <v>0</v>
      </c>
      <c r="AO35" s="134">
        <f>+Actuals!AL59</f>
        <v>0</v>
      </c>
      <c r="AP35" s="133">
        <f>+Actuals!AM59</f>
        <v>0</v>
      </c>
      <c r="AQ35" s="134">
        <f>+Actuals!AN59</f>
        <v>0</v>
      </c>
      <c r="AR35" s="133">
        <f>+Actuals!AO59</f>
        <v>0</v>
      </c>
      <c r="AS35" s="134">
        <f>+Actuals!AP59</f>
        <v>0</v>
      </c>
      <c r="AT35" s="133">
        <f>+Actuals!AQ59</f>
        <v>0</v>
      </c>
      <c r="AU35" s="134">
        <f>+Actuals!AR59</f>
        <v>0</v>
      </c>
    </row>
    <row r="36" spans="1:47" x14ac:dyDescent="0.25">
      <c r="A36" s="9"/>
      <c r="B36" s="7" t="s">
        <v>47</v>
      </c>
      <c r="C36" s="6"/>
      <c r="D36" s="61">
        <f>SUM(D32:D35)</f>
        <v>215432</v>
      </c>
      <c r="E36" s="39">
        <f>SUM(E32:E35)</f>
        <v>385193.86200000002</v>
      </c>
      <c r="F36" s="59">
        <f t="shared" ref="F36:AE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204286</v>
      </c>
      <c r="K36" s="154">
        <f t="shared" si="12"/>
        <v>365263.36800000002</v>
      </c>
      <c r="L36" s="61">
        <f t="shared" si="12"/>
        <v>-192556</v>
      </c>
      <c r="M36" s="39">
        <f t="shared" si="12"/>
        <v>-346307.68800000002</v>
      </c>
      <c r="N36" s="61">
        <f t="shared" si="12"/>
        <v>0</v>
      </c>
      <c r="O36" s="39">
        <f t="shared" si="12"/>
        <v>3307.86</v>
      </c>
      <c r="P36" s="61">
        <f t="shared" si="12"/>
        <v>0</v>
      </c>
      <c r="Q36" s="39">
        <f t="shared" si="12"/>
        <v>5360.61</v>
      </c>
      <c r="R36" s="61">
        <f t="shared" si="12"/>
        <v>0</v>
      </c>
      <c r="S36" s="39">
        <f t="shared" si="12"/>
        <v>-1477.98</v>
      </c>
      <c r="T36" s="61">
        <f t="shared" si="12"/>
        <v>0</v>
      </c>
      <c r="U36" s="39">
        <f t="shared" si="12"/>
        <v>422.28</v>
      </c>
      <c r="V36" s="61">
        <f t="shared" si="12"/>
        <v>0</v>
      </c>
      <c r="W36" s="39">
        <f t="shared" si="12"/>
        <v>4093.77</v>
      </c>
      <c r="X36" s="61">
        <f t="shared" si="12"/>
        <v>0</v>
      </c>
      <c r="Y36" s="39">
        <f t="shared" si="12"/>
        <v>3331.32</v>
      </c>
      <c r="Z36" s="61">
        <f t="shared" si="12"/>
        <v>0</v>
      </c>
      <c r="AA36" s="39">
        <f t="shared" si="12"/>
        <v>-13020.3</v>
      </c>
      <c r="AB36" s="61">
        <f t="shared" si="12"/>
        <v>0</v>
      </c>
      <c r="AC36" s="39">
        <f t="shared" si="12"/>
        <v>0</v>
      </c>
      <c r="AD36" s="61">
        <f t="shared" si="12"/>
        <v>-12445</v>
      </c>
      <c r="AE36" s="39">
        <f t="shared" si="12"/>
        <v>-22251.66</v>
      </c>
      <c r="AF36" s="61">
        <f t="shared" ref="AF36:AK36" si="13">SUM(AF32:AF35)</f>
        <v>183308</v>
      </c>
      <c r="AG36" s="39">
        <f t="shared" si="13"/>
        <v>327754.70400000003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1706</v>
      </c>
      <c r="AO36" s="39">
        <f t="shared" si="14"/>
        <v>3050.328</v>
      </c>
      <c r="AP36" s="61">
        <f t="shared" si="14"/>
        <v>-25</v>
      </c>
      <c r="AQ36" s="39">
        <f t="shared" si="14"/>
        <v>-43.25</v>
      </c>
      <c r="AR36" s="61">
        <f>SUM(AR32:AR35)</f>
        <v>15579</v>
      </c>
      <c r="AS36" s="39">
        <f>SUM(AS32:AS35)</f>
        <v>27855.25</v>
      </c>
      <c r="AT36" s="61">
        <f>SUM(AT32:AT35)</f>
        <v>15579</v>
      </c>
      <c r="AU36" s="39">
        <f>SUM(AU32:AU35)</f>
        <v>27855.25</v>
      </c>
    </row>
    <row r="37" spans="1:47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1518213</v>
      </c>
      <c r="E39" s="38">
        <f t="shared" si="15"/>
        <v>2755556.61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347235</v>
      </c>
      <c r="K39" s="153">
        <f>+Actuals!H60</f>
        <v>630231.53</v>
      </c>
      <c r="L39" s="133">
        <f>+Actuals!I60</f>
        <v>1017685</v>
      </c>
      <c r="M39" s="134">
        <f>+Actuals!J60</f>
        <v>1847098.28</v>
      </c>
      <c r="N39" s="133">
        <f>+Actuals!K60</f>
        <v>153293</v>
      </c>
      <c r="O39" s="134">
        <f>+Actuals!L60</f>
        <v>278226.8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  <c r="AL39" s="133">
        <f>+Actuals!AI60</f>
        <v>0</v>
      </c>
      <c r="AM39" s="134">
        <f>+Actuals!AJ60</f>
        <v>0</v>
      </c>
      <c r="AN39" s="133">
        <f>+Actuals!AK60</f>
        <v>0</v>
      </c>
      <c r="AO39" s="134">
        <f>+Actuals!AL60</f>
        <v>0</v>
      </c>
      <c r="AP39" s="133">
        <f>+Actuals!AM60</f>
        <v>0</v>
      </c>
      <c r="AQ39" s="134">
        <f>+Actuals!AN60</f>
        <v>0</v>
      </c>
      <c r="AR39" s="133">
        <f>+Actuals!AO60</f>
        <v>0</v>
      </c>
      <c r="AS39" s="134">
        <f>+Actuals!AP60</f>
        <v>0</v>
      </c>
      <c r="AT39" s="133">
        <f>+Actuals!AQ60</f>
        <v>0</v>
      </c>
      <c r="AU39" s="134">
        <f>+Actuals!AR60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-905645</v>
      </c>
      <c r="E40" s="38">
        <f t="shared" si="15"/>
        <v>-1643745.6800000002</v>
      </c>
      <c r="F40" s="58">
        <f>'TIE-OUT'!J40+RECLASS!J40</f>
        <v>0</v>
      </c>
      <c r="G40" s="15">
        <f>'TIE-OUT'!K40+RECLASS!K40</f>
        <v>0</v>
      </c>
      <c r="H40" s="133">
        <f>+Actuals!E61</f>
        <v>-80069</v>
      </c>
      <c r="I40" s="134">
        <f>+Actuals!F61</f>
        <v>-145325.24</v>
      </c>
      <c r="J40" s="133">
        <f>+Actuals!G61</f>
        <v>80069</v>
      </c>
      <c r="K40" s="153">
        <f>+Actuals!H61</f>
        <v>145325.24</v>
      </c>
      <c r="L40" s="133">
        <f>+Actuals!I61</f>
        <v>-744373</v>
      </c>
      <c r="M40" s="134">
        <f>+Actuals!J61</f>
        <v>-1351037</v>
      </c>
      <c r="N40" s="133">
        <f>+Actuals!K61</f>
        <v>-161272</v>
      </c>
      <c r="O40" s="134">
        <f>+Actuals!L61</f>
        <v>292708.68</v>
      </c>
      <c r="P40" s="133">
        <f>+Actuals!M61</f>
        <v>0</v>
      </c>
      <c r="Q40" s="134">
        <f>+Actuals!N61</f>
        <v>-585417.36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  <c r="AL40" s="133">
        <f>+Actuals!AI61</f>
        <v>0</v>
      </c>
      <c r="AM40" s="134">
        <f>+Actuals!AJ61</f>
        <v>0</v>
      </c>
      <c r="AN40" s="133">
        <f>+Actuals!AK61</f>
        <v>0</v>
      </c>
      <c r="AO40" s="134">
        <f>+Actuals!AL61</f>
        <v>0</v>
      </c>
      <c r="AP40" s="133">
        <f>+Actuals!AM61</f>
        <v>0</v>
      </c>
      <c r="AQ40" s="134">
        <f>+Actuals!AN61</f>
        <v>0</v>
      </c>
      <c r="AR40" s="133">
        <f>+Actuals!AO61</f>
        <v>0</v>
      </c>
      <c r="AS40" s="134">
        <f>+Actuals!AP61</f>
        <v>0</v>
      </c>
      <c r="AT40" s="133">
        <f>+Actuals!AQ61</f>
        <v>0</v>
      </c>
      <c r="AU40" s="134">
        <f>+Actuals!AR61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  <c r="AL41" s="133">
        <f>+Actuals!AI62</f>
        <v>0</v>
      </c>
      <c r="AM41" s="134">
        <f>+Actuals!AJ62</f>
        <v>0</v>
      </c>
      <c r="AN41" s="133">
        <f>+Actuals!AK62</f>
        <v>0</v>
      </c>
      <c r="AO41" s="134">
        <f>+Actuals!AL62</f>
        <v>0</v>
      </c>
      <c r="AP41" s="133">
        <f>+Actuals!AM62</f>
        <v>0</v>
      </c>
      <c r="AQ41" s="134">
        <f>+Actuals!AN62</f>
        <v>0</v>
      </c>
      <c r="AR41" s="133">
        <f>+Actuals!AO62</f>
        <v>0</v>
      </c>
      <c r="AS41" s="134">
        <f>+Actuals!AP62</f>
        <v>0</v>
      </c>
      <c r="AT41" s="133">
        <f>+Actuals!AQ62</f>
        <v>0</v>
      </c>
      <c r="AU41" s="134">
        <f>+Actuals!AR62</f>
        <v>0</v>
      </c>
    </row>
    <row r="42" spans="1:47" x14ac:dyDescent="0.25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59">
        <f t="shared" ref="F42:AE42" si="16">SUM(F40:F41)</f>
        <v>0</v>
      </c>
      <c r="G42" s="23">
        <f t="shared" si="16"/>
        <v>0</v>
      </c>
      <c r="H42" s="61">
        <f t="shared" si="16"/>
        <v>-80069</v>
      </c>
      <c r="I42" s="39">
        <f t="shared" si="16"/>
        <v>-145325.24</v>
      </c>
      <c r="J42" s="61">
        <f t="shared" si="16"/>
        <v>80069</v>
      </c>
      <c r="K42" s="154">
        <f t="shared" si="16"/>
        <v>145325.24</v>
      </c>
      <c r="L42" s="61">
        <f t="shared" si="16"/>
        <v>-744373</v>
      </c>
      <c r="M42" s="39">
        <f t="shared" si="16"/>
        <v>-1351037</v>
      </c>
      <c r="N42" s="61">
        <f t="shared" si="16"/>
        <v>-161272</v>
      </c>
      <c r="O42" s="39">
        <f t="shared" si="16"/>
        <v>292708.68</v>
      </c>
      <c r="P42" s="61">
        <f t="shared" si="16"/>
        <v>0</v>
      </c>
      <c r="Q42" s="39">
        <f t="shared" si="16"/>
        <v>-585417.36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59">
        <f t="shared" ref="F43:AE43" si="19">F42+F39</f>
        <v>0</v>
      </c>
      <c r="G43" s="23">
        <f t="shared" si="19"/>
        <v>0</v>
      </c>
      <c r="H43" s="61">
        <f t="shared" si="19"/>
        <v>-80069</v>
      </c>
      <c r="I43" s="39">
        <f t="shared" si="19"/>
        <v>-145325.24</v>
      </c>
      <c r="J43" s="61">
        <f t="shared" si="19"/>
        <v>427304</v>
      </c>
      <c r="K43" s="154">
        <f t="shared" si="19"/>
        <v>775556.77</v>
      </c>
      <c r="L43" s="61">
        <f t="shared" si="19"/>
        <v>273312</v>
      </c>
      <c r="M43" s="39">
        <f t="shared" si="19"/>
        <v>496061.28</v>
      </c>
      <c r="N43" s="61">
        <f t="shared" si="19"/>
        <v>-7979</v>
      </c>
      <c r="O43" s="39">
        <f t="shared" si="19"/>
        <v>570935.48</v>
      </c>
      <c r="P43" s="61">
        <f t="shared" si="19"/>
        <v>0</v>
      </c>
      <c r="Q43" s="39">
        <f t="shared" si="19"/>
        <v>-585417.36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10025.870000000001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12255</v>
      </c>
      <c r="K45" s="153">
        <f>+Actuals!H63</f>
        <v>23652.15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0</v>
      </c>
      <c r="X45" s="133">
        <f>+Actuals!U63</f>
        <v>-6390</v>
      </c>
      <c r="Y45" s="134">
        <f>+Actuals!V63</f>
        <v>-13626.52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0</v>
      </c>
      <c r="AF45" s="133">
        <f>+Actuals!AC63</f>
        <v>0</v>
      </c>
      <c r="AG45" s="134">
        <f>+Actuals!AD63</f>
        <v>0.24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  <c r="AL45" s="133">
        <f>+Actuals!AI63</f>
        <v>0</v>
      </c>
      <c r="AM45" s="134">
        <f>+Actuals!AJ63</f>
        <v>0</v>
      </c>
      <c r="AN45" s="133">
        <f>+Actuals!AK63</f>
        <v>0</v>
      </c>
      <c r="AO45" s="134">
        <f>+Actuals!AL63</f>
        <v>0</v>
      </c>
      <c r="AP45" s="133">
        <f>+Actuals!AM63</f>
        <v>0</v>
      </c>
      <c r="AQ45" s="134">
        <f>+Actuals!AN63</f>
        <v>0</v>
      </c>
      <c r="AR45" s="133">
        <f>+Actuals!AO63</f>
        <v>0</v>
      </c>
      <c r="AS45" s="134">
        <f>+Actuals!AP63</f>
        <v>0</v>
      </c>
      <c r="AT45" s="133">
        <f>+Actuals!AQ63</f>
        <v>0</v>
      </c>
      <c r="AU45" s="134">
        <f>+Actuals!AR63</f>
        <v>0</v>
      </c>
    </row>
    <row r="46" spans="1:47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58">
        <f>'TIE-OUT'!J47+RECLASS!J47</f>
        <v>0</v>
      </c>
      <c r="G47" s="15">
        <f>'TIE-OUT'!K47+RECLASS!K47</f>
        <v>0</v>
      </c>
      <c r="H47" s="133">
        <f>+Actuals!E64</f>
        <v>45722</v>
      </c>
      <c r="I47" s="134">
        <f>+Actuals!F64</f>
        <v>82757.02</v>
      </c>
      <c r="J47" s="133">
        <f>+Actuals!G64</f>
        <v>16161</v>
      </c>
      <c r="K47" s="153">
        <f>+Actuals!H64</f>
        <v>29251.41</v>
      </c>
      <c r="L47" s="133">
        <f>+Actuals!I64</f>
        <v>-9008</v>
      </c>
      <c r="M47" s="134">
        <f>+Actuals!J64</f>
        <v>-16304.48</v>
      </c>
      <c r="N47" s="133">
        <f>+Actuals!K64</f>
        <v>0</v>
      </c>
      <c r="O47" s="134">
        <f>+Actuals!L64</f>
        <v>0</v>
      </c>
      <c r="P47" s="133">
        <f>+Actuals!M64</f>
        <v>0</v>
      </c>
      <c r="Q47" s="134">
        <f>+Actuals!N64</f>
        <v>0</v>
      </c>
      <c r="R47" s="133">
        <f>+Actuals!O64</f>
        <v>-52875</v>
      </c>
      <c r="S47" s="134">
        <f>+Actuals!P64</f>
        <v>-95703.95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  <c r="AL47" s="133">
        <f>+Actuals!AI64</f>
        <v>0</v>
      </c>
      <c r="AM47" s="134">
        <f>+Actuals!AJ64</f>
        <v>0</v>
      </c>
      <c r="AN47" s="133">
        <f>+Actuals!AK64</f>
        <v>0</v>
      </c>
      <c r="AO47" s="134">
        <f>+Actuals!AL64</f>
        <v>0</v>
      </c>
      <c r="AP47" s="133">
        <f>+Actuals!AM64</f>
        <v>0</v>
      </c>
      <c r="AQ47" s="134">
        <f>+Actuals!AN64</f>
        <v>0</v>
      </c>
      <c r="AR47" s="133">
        <f>+Actuals!AO64</f>
        <v>0</v>
      </c>
      <c r="AS47" s="134">
        <f>+Actuals!AP64</f>
        <v>0</v>
      </c>
      <c r="AT47" s="133">
        <f>+Actuals!AQ64</f>
        <v>0</v>
      </c>
      <c r="AU47" s="134">
        <f>+Actuals!AR64</f>
        <v>0</v>
      </c>
    </row>
    <row r="48" spans="1:47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-70684</v>
      </c>
      <c r="E49" s="38">
        <f t="shared" si="22"/>
        <v>-126382.98800000001</v>
      </c>
      <c r="F49" s="58">
        <f>'TIE-OUT'!J49+RECLASS!J49</f>
        <v>0</v>
      </c>
      <c r="G49" s="15">
        <f>'TIE-OUT'!K49+RECLASS!K49</f>
        <v>0</v>
      </c>
      <c r="H49" s="133">
        <f>+Actuals!E65</f>
        <v>0</v>
      </c>
      <c r="I49" s="134">
        <f>+Actuals!F65</f>
        <v>0</v>
      </c>
      <c r="J49" s="133">
        <f>+Actuals!G65</f>
        <v>4443</v>
      </c>
      <c r="K49" s="153">
        <f>+Actuals!H65</f>
        <v>7944.0839999999998</v>
      </c>
      <c r="L49" s="133">
        <f>+Actuals!I65</f>
        <v>66239</v>
      </c>
      <c r="M49" s="134">
        <f>+Actuals!J65</f>
        <v>118435.33199999999</v>
      </c>
      <c r="N49" s="133">
        <f>+Actuals!K65</f>
        <v>0</v>
      </c>
      <c r="O49" s="134">
        <f>+Actuals!L65</f>
        <v>0</v>
      </c>
      <c r="P49" s="133">
        <f>+Actuals!M65</f>
        <v>44182</v>
      </c>
      <c r="Q49" s="134">
        <f>+Actuals!N65</f>
        <v>78997.415999999997</v>
      </c>
      <c r="R49" s="133">
        <f>+Actuals!O65</f>
        <v>0</v>
      </c>
      <c r="S49" s="134">
        <f>+Actuals!P65</f>
        <v>0</v>
      </c>
      <c r="T49" s="133">
        <f>+Actuals!Q65</f>
        <v>8693</v>
      </c>
      <c r="U49" s="134">
        <f>+Actuals!R65</f>
        <v>15543.084000000001</v>
      </c>
      <c r="V49" s="133">
        <f>+Actuals!S65</f>
        <v>62102</v>
      </c>
      <c r="W49" s="134">
        <f>+Actuals!T65</f>
        <v>111038.376</v>
      </c>
      <c r="X49" s="133">
        <f>+Actuals!U65</f>
        <v>-41902</v>
      </c>
      <c r="Y49" s="134">
        <f>+Actuals!V65</f>
        <v>-74920.775999999998</v>
      </c>
      <c r="Z49" s="133">
        <f>+Actuals!W65</f>
        <v>0</v>
      </c>
      <c r="AA49" s="134">
        <f>+Actuals!X65</f>
        <v>0</v>
      </c>
      <c r="AB49" s="133">
        <f>+Actuals!Y65</f>
        <v>-82104</v>
      </c>
      <c r="AC49" s="134">
        <f>+Actuals!Z65</f>
        <v>-146801.95199999999</v>
      </c>
      <c r="AD49" s="133">
        <f>+Actuals!AA65</f>
        <v>82129</v>
      </c>
      <c r="AE49" s="134">
        <f>+Actuals!AB65</f>
        <v>146846.652</v>
      </c>
      <c r="AF49" s="133">
        <f>+Actuals!AC65</f>
        <v>-183308</v>
      </c>
      <c r="AG49" s="134">
        <f>+Actuals!AD65</f>
        <v>-327754.70400000003</v>
      </c>
      <c r="AH49" s="133">
        <f>+Actuals!AE65</f>
        <v>25</v>
      </c>
      <c r="AI49" s="134">
        <f>+Actuals!AF65</f>
        <v>44.7</v>
      </c>
      <c r="AJ49" s="133">
        <f>+Actuals!AG65</f>
        <v>-25</v>
      </c>
      <c r="AK49" s="134">
        <f>+Actuals!AH65</f>
        <v>-44.7</v>
      </c>
      <c r="AL49" s="133">
        <f>+Actuals!AI65</f>
        <v>2459</v>
      </c>
      <c r="AM49" s="134">
        <f>+Actuals!AJ65</f>
        <v>4396.692</v>
      </c>
      <c r="AN49" s="133">
        <f>+Actuals!AK65</f>
        <v>-2459</v>
      </c>
      <c r="AO49" s="134">
        <f>+Actuals!AL65</f>
        <v>-4396.692</v>
      </c>
      <c r="AP49" s="133">
        <f>+Actuals!AM65</f>
        <v>0</v>
      </c>
      <c r="AQ49" s="134">
        <f>+Actuals!AN65</f>
        <v>0</v>
      </c>
      <c r="AR49" s="133">
        <v>-15579</v>
      </c>
      <c r="AS49" s="134">
        <v>-27855.25</v>
      </c>
      <c r="AT49" s="133">
        <v>-15579</v>
      </c>
      <c r="AU49" s="134">
        <v>-27855.25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-27551</v>
      </c>
      <c r="E51" s="38">
        <f t="shared" si="22"/>
        <v>-50720.54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-27551</v>
      </c>
      <c r="K51" s="153">
        <f>+Actuals!H66</f>
        <v>-47998.53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0</v>
      </c>
      <c r="W51" s="134">
        <f>+Actuals!T66</f>
        <v>0</v>
      </c>
      <c r="X51" s="133">
        <f>+Actuals!U66</f>
        <v>0</v>
      </c>
      <c r="Y51" s="134">
        <f>+Actuals!V66-2057</f>
        <v>-2722.01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  <c r="AL51" s="133">
        <f>+Actuals!AI66</f>
        <v>0</v>
      </c>
      <c r="AM51" s="134">
        <f>+Actuals!AJ66</f>
        <v>0</v>
      </c>
      <c r="AN51" s="133">
        <f>+Actuals!AK66</f>
        <v>0</v>
      </c>
      <c r="AO51" s="134">
        <f>+Actuals!AL66</f>
        <v>0</v>
      </c>
      <c r="AP51" s="133">
        <f>+Actuals!AM66</f>
        <v>0</v>
      </c>
      <c r="AQ51" s="134">
        <f>+Actuals!AN66</f>
        <v>0</v>
      </c>
      <c r="AR51" s="133">
        <f>+Actuals!AO66</f>
        <v>0</v>
      </c>
      <c r="AS51" s="134">
        <f>+Actuals!AP66</f>
        <v>0</v>
      </c>
      <c r="AT51" s="133">
        <f>+Actuals!AQ66</f>
        <v>0</v>
      </c>
      <c r="AU51" s="134">
        <f>+Actuals!AR66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886869</v>
      </c>
      <c r="E54" s="38">
        <f>SUM(G54,I54,K54,M54,O54,Q54,S54,U54,W54,Y54,AA54,AC54,AE54,AG54,AI54,AK54,AM54,AO54,AQ54,AS54,AU54)</f>
        <v>1136642.72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24138.22</v>
      </c>
      <c r="J54" s="133">
        <f>+Actuals!G67</f>
        <v>886869</v>
      </c>
      <c r="K54" s="153">
        <f>+Actuals!H67</f>
        <v>1112504.5</v>
      </c>
      <c r="L54" s="133">
        <f>+Actuals!I67</f>
        <v>0</v>
      </c>
      <c r="M54" s="134">
        <f>+Actuals!J67</f>
        <v>0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  <c r="AL54" s="133">
        <f>+Actuals!AI67</f>
        <v>0</v>
      </c>
      <c r="AM54" s="134">
        <f>+Actuals!AJ67</f>
        <v>0</v>
      </c>
      <c r="AN54" s="133">
        <f>+Actuals!AK67</f>
        <v>0</v>
      </c>
      <c r="AO54" s="134">
        <f>+Actuals!AL67</f>
        <v>0</v>
      </c>
      <c r="AP54" s="133">
        <f>+Actuals!AM67</f>
        <v>0</v>
      </c>
      <c r="AQ54" s="134">
        <f>+Actuals!AN67</f>
        <v>0</v>
      </c>
      <c r="AR54" s="133">
        <f>+Actuals!AO67</f>
        <v>0</v>
      </c>
      <c r="AS54" s="134">
        <f>+Actuals!AP67</f>
        <v>0</v>
      </c>
      <c r="AT54" s="133">
        <f>+Actuals!AQ67</f>
        <v>0</v>
      </c>
      <c r="AU54" s="134">
        <f>+Actuals!AR67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</f>
        <v>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  <c r="AL55" s="133">
        <f>+Actuals!AI68</f>
        <v>0</v>
      </c>
      <c r="AM55" s="134">
        <f>+Actuals!AJ68</f>
        <v>0</v>
      </c>
      <c r="AN55" s="133">
        <f>+Actuals!AK68</f>
        <v>0</v>
      </c>
      <c r="AO55" s="134">
        <f>+Actuals!AL68</f>
        <v>0</v>
      </c>
      <c r="AP55" s="133">
        <f>+Actuals!AM68</f>
        <v>0</v>
      </c>
      <c r="AQ55" s="134">
        <f>+Actuals!AN68</f>
        <v>0</v>
      </c>
      <c r="AR55" s="133">
        <f>+Actuals!AO68</f>
        <v>0</v>
      </c>
      <c r="AS55" s="134">
        <f>+Actuals!AP68</f>
        <v>0</v>
      </c>
      <c r="AT55" s="133">
        <f>+Actuals!AQ68</f>
        <v>0</v>
      </c>
      <c r="AU55" s="134">
        <f>+Actuals!AR68</f>
        <v>0</v>
      </c>
    </row>
    <row r="56" spans="1:47" x14ac:dyDescent="0.25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59">
        <f t="shared" ref="F56:AE56" si="23">SUM(F54:F55)</f>
        <v>0</v>
      </c>
      <c r="G56" s="23">
        <f t="shared" si="23"/>
        <v>0</v>
      </c>
      <c r="H56" s="61">
        <f t="shared" si="23"/>
        <v>0</v>
      </c>
      <c r="I56" s="39">
        <f t="shared" si="23"/>
        <v>24138.22</v>
      </c>
      <c r="J56" s="61">
        <f t="shared" si="23"/>
        <v>886869</v>
      </c>
      <c r="K56" s="154">
        <f t="shared" si="23"/>
        <v>1112504.5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3300445</v>
      </c>
      <c r="E59" s="38">
        <f>SUM(G59,I59,K59,M59,O59,Q59,S59,U59,W59,Y59,AA59,AC59,AE59,AG59,AI59,AK59,AM59,AO59,AQ59,AS59,AU59)</f>
        <v>122122.00999999989</v>
      </c>
      <c r="F59" s="84">
        <f>'TIE-OUT'!J59+RECLASS!J59</f>
        <v>0</v>
      </c>
      <c r="G59" s="85">
        <f>'TIE-OUT'!K59+RECLASS!K59</f>
        <v>0</v>
      </c>
      <c r="H59" s="133">
        <f>+Actuals!E69+3283843</f>
        <v>3284215</v>
      </c>
      <c r="I59" s="134">
        <f>+Actuals!F69+788646</f>
        <v>788653.44</v>
      </c>
      <c r="J59" s="133">
        <f>+Actuals!G69</f>
        <v>3926</v>
      </c>
      <c r="K59" s="153">
        <f>+Actuals!H69</f>
        <v>-676256.43</v>
      </c>
      <c r="L59" s="133">
        <f>+Actuals!I69</f>
        <v>0</v>
      </c>
      <c r="M59" s="134">
        <f>+Actuals!J69</f>
        <v>9725</v>
      </c>
      <c r="N59" s="133">
        <f>+Actuals!K69</f>
        <v>0</v>
      </c>
      <c r="O59" s="134">
        <f>+Actuals!L69</f>
        <v>0</v>
      </c>
      <c r="P59" s="133">
        <f>+Actuals!M69</f>
        <v>0</v>
      </c>
      <c r="Q59" s="134">
        <f>+Actuals!N69</f>
        <v>0</v>
      </c>
      <c r="R59" s="133">
        <f>+Actuals!O69</f>
        <v>8693</v>
      </c>
      <c r="S59" s="134">
        <f>+Actuals!P69</f>
        <v>0</v>
      </c>
      <c r="T59" s="133">
        <f>+Actuals!Q69</f>
        <v>-8693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0</v>
      </c>
      <c r="AC59" s="134">
        <f>+Actuals!Z69</f>
        <v>0</v>
      </c>
      <c r="AD59" s="133">
        <f>+Actuals!AA69</f>
        <v>12445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  <c r="AL59" s="133">
        <f>+Actuals!AI69</f>
        <v>-141</v>
      </c>
      <c r="AM59" s="134">
        <f>+Actuals!AJ69</f>
        <v>0</v>
      </c>
      <c r="AN59" s="133">
        <f>+Actuals!AK69</f>
        <v>0</v>
      </c>
      <c r="AO59" s="134">
        <f>+Actuals!AL69</f>
        <v>0</v>
      </c>
      <c r="AP59" s="133">
        <f>+Actuals!AM69</f>
        <v>0</v>
      </c>
      <c r="AQ59" s="134">
        <f>+Actuals!AN69</f>
        <v>0</v>
      </c>
      <c r="AR59" s="133">
        <f>+Actuals!AO69</f>
        <v>0</v>
      </c>
      <c r="AS59" s="134">
        <f>+Actuals!AP69</f>
        <v>0</v>
      </c>
      <c r="AT59" s="133">
        <f>+Actuals!AQ69</f>
        <v>0</v>
      </c>
      <c r="AU59" s="134">
        <f>+Actuals!AR69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+Actuals!F70+170000</f>
        <v>170000</v>
      </c>
      <c r="J60" s="133">
        <f>+Actuals!G70</f>
        <v>0</v>
      </c>
      <c r="K60" s="153">
        <f>+Actuals!H70+301099</f>
        <v>301099</v>
      </c>
      <c r="L60" s="133">
        <f>+Actuals!I70</f>
        <v>0</v>
      </c>
      <c r="M60" s="134">
        <f>+Actuals!J70+315000+135000</f>
        <v>450000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+Actuals!N70-315000</f>
        <v>-315000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  <c r="AL60" s="133">
        <f>+Actuals!AI70</f>
        <v>0</v>
      </c>
      <c r="AM60" s="134">
        <f>+Actuals!AJ70</f>
        <v>0</v>
      </c>
      <c r="AN60" s="133">
        <f>+Actuals!AK70</f>
        <v>0</v>
      </c>
      <c r="AO60" s="134">
        <f>+Actuals!AL70</f>
        <v>0</v>
      </c>
      <c r="AP60" s="133">
        <f>+Actuals!AM70</f>
        <v>0</v>
      </c>
      <c r="AQ60" s="134">
        <f>+Actuals!AN70</f>
        <v>0</v>
      </c>
      <c r="AR60" s="133">
        <f>+Actuals!AO70</f>
        <v>0</v>
      </c>
      <c r="AS60" s="134">
        <f>+Actuals!AP70</f>
        <v>0</v>
      </c>
      <c r="AT60" s="133">
        <f>+Actuals!AQ70</f>
        <v>0</v>
      </c>
      <c r="AU60" s="134">
        <f>+Actuals!AR70</f>
        <v>0</v>
      </c>
    </row>
    <row r="61" spans="1:47" x14ac:dyDescent="0.25">
      <c r="A61" s="9"/>
      <c r="B61" s="62" t="s">
        <v>65</v>
      </c>
      <c r="C61" s="6"/>
      <c r="D61" s="61">
        <f>SUM(D59:D60)</f>
        <v>3300445</v>
      </c>
      <c r="E61" s="39">
        <f>SUM(E59:E60)</f>
        <v>728221.00999999989</v>
      </c>
      <c r="F61" s="59">
        <f t="shared" ref="F61:AE61" si="26">SUM(F59:F60)</f>
        <v>0</v>
      </c>
      <c r="G61" s="23">
        <f t="shared" si="26"/>
        <v>0</v>
      </c>
      <c r="H61" s="61">
        <f t="shared" si="26"/>
        <v>3284215</v>
      </c>
      <c r="I61" s="39">
        <f t="shared" si="26"/>
        <v>958653.43999999994</v>
      </c>
      <c r="J61" s="61">
        <f t="shared" si="26"/>
        <v>3926</v>
      </c>
      <c r="K61" s="154">
        <f t="shared" si="26"/>
        <v>-375157.43000000005</v>
      </c>
      <c r="L61" s="61">
        <f t="shared" si="26"/>
        <v>0</v>
      </c>
      <c r="M61" s="39">
        <f t="shared" si="26"/>
        <v>459725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-315000</v>
      </c>
      <c r="R61" s="61">
        <f t="shared" si="26"/>
        <v>8693</v>
      </c>
      <c r="S61" s="39">
        <f t="shared" si="26"/>
        <v>0</v>
      </c>
      <c r="T61" s="61">
        <f t="shared" si="26"/>
        <v>-8693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12445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-141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-20499921</v>
      </c>
      <c r="E64" s="38">
        <f>SUM(G64,I64,K64,M64,O64,Q64,S64,U64,W64,Y64,AA64,AC64,AE64,AG64,AI64,AK64,AM64,AO64,AQ64,AS64,AU64)</f>
        <v>-3513725.3499999992</v>
      </c>
      <c r="F64" s="84">
        <f>'TIE-OUT'!J64+RECLASS!J64</f>
        <v>0</v>
      </c>
      <c r="G64" s="85">
        <f>'TIE-OUT'!K64+RECLASS!K64</f>
        <v>0</v>
      </c>
      <c r="H64" s="133">
        <f>+Actuals!E71</f>
        <v>-886869</v>
      </c>
      <c r="I64" s="134">
        <f>+Actuals!F71</f>
        <v>-1246212</v>
      </c>
      <c r="J64" s="133">
        <f>+Actuals!G71</f>
        <v>-12665248</v>
      </c>
      <c r="K64" s="153">
        <f>+Actuals!H71</f>
        <v>-2193760.2999999998</v>
      </c>
      <c r="L64" s="133">
        <f>+Actuals!I71</f>
        <v>192646</v>
      </c>
      <c r="M64" s="134">
        <f>+Actuals!J71</f>
        <v>-7743.48</v>
      </c>
      <c r="N64" s="133">
        <f>+Actuals!K71</f>
        <v>-21296</v>
      </c>
      <c r="O64" s="134">
        <f>+Actuals!L71</f>
        <v>-450000.01</v>
      </c>
      <c r="P64" s="133">
        <f>+Actuals!M71</f>
        <v>-7196170</v>
      </c>
      <c r="Q64" s="134">
        <f>+Actuals!N71</f>
        <v>244531.95</v>
      </c>
      <c r="R64" s="133">
        <f>+Actuals!O71</f>
        <v>0</v>
      </c>
      <c r="S64" s="134">
        <f>+Actuals!P71</f>
        <v>-323.11</v>
      </c>
      <c r="T64" s="133">
        <f>+Actuals!Q71</f>
        <v>78267</v>
      </c>
      <c r="U64" s="134">
        <f>+Actuals!R71</f>
        <v>139906.70000000001</v>
      </c>
      <c r="V64" s="133">
        <f>+Actuals!S71</f>
        <v>-2</v>
      </c>
      <c r="W64" s="134">
        <f>+Actuals!T71</f>
        <v>-0.19</v>
      </c>
      <c r="X64" s="133">
        <f>+Actuals!U71</f>
        <v>8695</v>
      </c>
      <c r="Y64" s="134">
        <f>+Actuals!V71</f>
        <v>986510.99</v>
      </c>
      <c r="Z64" s="133">
        <f>+Actuals!W71</f>
        <v>-9944</v>
      </c>
      <c r="AA64" s="134">
        <f>+Actuals!X71</f>
        <v>-986635.9</v>
      </c>
      <c r="AB64" s="133">
        <f>+Actuals!Y71</f>
        <v>0</v>
      </c>
      <c r="AC64" s="134">
        <f>+Actuals!Z71</f>
        <v>0.01</v>
      </c>
      <c r="AD64" s="133">
        <f>+Actuals!AA71</f>
        <v>0</v>
      </c>
      <c r="AE64" s="134">
        <f>+Actuals!AB71</f>
        <v>-0.01</v>
      </c>
      <c r="AF64" s="133">
        <f>+Actuals!AC71</f>
        <v>0</v>
      </c>
      <c r="AG64" s="134">
        <f>+Actuals!AD71</f>
        <v>0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0</v>
      </c>
      <c r="AL64" s="133">
        <f>+Actuals!AI71</f>
        <v>0</v>
      </c>
      <c r="AM64" s="134">
        <f>+Actuals!AJ71</f>
        <v>0.01</v>
      </c>
      <c r="AN64" s="133">
        <f>+Actuals!AK71</f>
        <v>0</v>
      </c>
      <c r="AO64" s="134">
        <f>+Actuals!AL71</f>
        <v>-0.01</v>
      </c>
      <c r="AP64" s="133">
        <f>+Actuals!AM71</f>
        <v>0</v>
      </c>
      <c r="AQ64" s="134">
        <f>+Actuals!AN71</f>
        <v>0</v>
      </c>
      <c r="AR64" s="133">
        <f>+Actuals!AO71</f>
        <v>0</v>
      </c>
      <c r="AS64" s="134">
        <f>+Actuals!AP71</f>
        <v>0</v>
      </c>
      <c r="AT64" s="133">
        <f>+Actuals!AQ71</f>
        <v>0</v>
      </c>
      <c r="AU64" s="134">
        <f>+Actuals!AR71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19865068</v>
      </c>
      <c r="E65" s="38">
        <f>SUM(G65,I65,K65,M65,O65,Q65,S65,U65,W65,Y65,AA65,AC65,AE65,AG65,AI65,AK65,AM65,AO65,AQ65,AS65,AU65)</f>
        <v>1949593.35</v>
      </c>
      <c r="F65" s="98">
        <f>'TIE-OUT'!J65+RECLASS!J65</f>
        <v>0</v>
      </c>
      <c r="G65" s="99">
        <f>'TIE-OUT'!K65+RECLASS!K65</f>
        <v>0</v>
      </c>
      <c r="H65" s="133">
        <f>+Actuals!E72</f>
        <v>886869</v>
      </c>
      <c r="I65" s="134">
        <f>+Actuals!F72</f>
        <v>1246212</v>
      </c>
      <c r="J65" s="133">
        <f>+Actuals!G72</f>
        <v>18974549</v>
      </c>
      <c r="K65" s="153">
        <f>+Actuals!H72</f>
        <v>703016.35</v>
      </c>
      <c r="L65" s="133">
        <f>+Actuals!I72</f>
        <v>-6294</v>
      </c>
      <c r="M65" s="134">
        <f>+Actuals!J72</f>
        <v>-629.4</v>
      </c>
      <c r="N65" s="133">
        <f>+Actuals!K72</f>
        <v>0</v>
      </c>
      <c r="O65" s="134">
        <f>+Actuals!L72</f>
        <v>0.01</v>
      </c>
      <c r="P65" s="133">
        <f>+Actuals!M72</f>
        <v>0</v>
      </c>
      <c r="Q65" s="134">
        <f>+Actuals!N72</f>
        <v>-0.01</v>
      </c>
      <c r="R65" s="133">
        <f>+Actuals!O72</f>
        <v>0</v>
      </c>
      <c r="S65" s="134">
        <f>+Actuals!P72</f>
        <v>0.01</v>
      </c>
      <c r="T65" s="133">
        <f>+Actuals!Q72</f>
        <v>8693</v>
      </c>
      <c r="U65" s="134">
        <f>+Actuals!R72</f>
        <v>869.29</v>
      </c>
      <c r="V65" s="133">
        <f>+Actuals!S72</f>
        <v>0</v>
      </c>
      <c r="W65" s="134">
        <f>+Actuals!T72</f>
        <v>0</v>
      </c>
      <c r="X65" s="133">
        <f>+Actuals!U72</f>
        <v>-8693</v>
      </c>
      <c r="Y65" s="134">
        <f>+Actuals!V72</f>
        <v>-986510.8</v>
      </c>
      <c r="Z65" s="133">
        <f>+Actuals!W72</f>
        <v>9944</v>
      </c>
      <c r="AA65" s="134">
        <f>+Actuals!X72</f>
        <v>986635.9</v>
      </c>
      <c r="AB65" s="133">
        <f>+Actuals!Y72</f>
        <v>0</v>
      </c>
      <c r="AC65" s="134">
        <f>+Actuals!Z72</f>
        <v>0</v>
      </c>
      <c r="AD65" s="133">
        <f>+Actuals!AA72</f>
        <v>0</v>
      </c>
      <c r="AE65" s="134">
        <f>+Actuals!AB72</f>
        <v>0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  <c r="AL65" s="133">
        <f>+Actuals!AI72</f>
        <v>0</v>
      </c>
      <c r="AM65" s="134">
        <f>+Actuals!AJ72</f>
        <v>0</v>
      </c>
      <c r="AN65" s="133">
        <f>+Actuals!AK72</f>
        <v>0</v>
      </c>
      <c r="AO65" s="134">
        <f>+Actuals!AL72</f>
        <v>0</v>
      </c>
      <c r="AP65" s="133">
        <f>+Actuals!AM72</f>
        <v>0</v>
      </c>
      <c r="AQ65" s="134">
        <f>+Actuals!AN72</f>
        <v>0</v>
      </c>
      <c r="AR65" s="133">
        <f>+Actuals!AO72</f>
        <v>0</v>
      </c>
      <c r="AS65" s="134">
        <f>+Actuals!AP72</f>
        <v>0</v>
      </c>
      <c r="AT65" s="133">
        <f>+Actuals!AQ72</f>
        <v>0</v>
      </c>
      <c r="AU65" s="134">
        <f>+Actuals!AR72</f>
        <v>0</v>
      </c>
    </row>
    <row r="66" spans="1:47" x14ac:dyDescent="0.25">
      <c r="A66" s="9"/>
      <c r="B66" s="7" t="s">
        <v>68</v>
      </c>
      <c r="C66" s="6"/>
      <c r="D66" s="61">
        <f>SUM(D64:D65)</f>
        <v>-634853</v>
      </c>
      <c r="E66" s="39">
        <f>SUM(E64:E65)</f>
        <v>-1564131.9999999991</v>
      </c>
      <c r="F66" s="59">
        <f t="shared" ref="F66:AE66" si="29">SUM(F64:F65)</f>
        <v>0</v>
      </c>
      <c r="G66" s="23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6309301</v>
      </c>
      <c r="K66" s="154">
        <f t="shared" si="29"/>
        <v>-1490743.9499999997</v>
      </c>
      <c r="L66" s="61">
        <f t="shared" si="29"/>
        <v>186352</v>
      </c>
      <c r="M66" s="39">
        <f t="shared" si="29"/>
        <v>-8372.8799999999992</v>
      </c>
      <c r="N66" s="61">
        <f t="shared" si="29"/>
        <v>-21296</v>
      </c>
      <c r="O66" s="39">
        <f t="shared" si="29"/>
        <v>-450000</v>
      </c>
      <c r="P66" s="61">
        <f t="shared" si="29"/>
        <v>-7196170</v>
      </c>
      <c r="Q66" s="39">
        <f t="shared" si="29"/>
        <v>244531.94</v>
      </c>
      <c r="R66" s="61">
        <f t="shared" si="29"/>
        <v>0</v>
      </c>
      <c r="S66" s="39">
        <f t="shared" si="29"/>
        <v>-323.10000000000002</v>
      </c>
      <c r="T66" s="61">
        <f t="shared" si="29"/>
        <v>86960</v>
      </c>
      <c r="U66" s="39">
        <f t="shared" si="29"/>
        <v>140775.99000000002</v>
      </c>
      <c r="V66" s="61">
        <f t="shared" si="29"/>
        <v>-2</v>
      </c>
      <c r="W66" s="39">
        <f t="shared" si="29"/>
        <v>-0.19</v>
      </c>
      <c r="X66" s="61">
        <f t="shared" si="29"/>
        <v>2</v>
      </c>
      <c r="Y66" s="39">
        <f t="shared" si="29"/>
        <v>0.18999999994412065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0.01</v>
      </c>
      <c r="AD66" s="61">
        <f t="shared" si="29"/>
        <v>0</v>
      </c>
      <c r="AE66" s="39">
        <f t="shared" si="29"/>
        <v>-0.01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0.01</v>
      </c>
      <c r="AN66" s="61">
        <f t="shared" si="31"/>
        <v>0</v>
      </c>
      <c r="AO66" s="39">
        <f t="shared" si="31"/>
        <v>-0.01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  <c r="AL70" s="133">
        <f>+Actuals!AI73</f>
        <v>0</v>
      </c>
      <c r="AM70" s="134">
        <f>+Actuals!AJ73</f>
        <v>0</v>
      </c>
      <c r="AN70" s="133">
        <f>+Actuals!AK73</f>
        <v>0</v>
      </c>
      <c r="AO70" s="134">
        <f>+Actuals!AL73</f>
        <v>0</v>
      </c>
      <c r="AP70" s="133">
        <f>+Actuals!AM73</f>
        <v>0</v>
      </c>
      <c r="AQ70" s="134">
        <f>+Actuals!AN73</f>
        <v>0</v>
      </c>
      <c r="AR70" s="133">
        <f>+Actuals!AO73</f>
        <v>0</v>
      </c>
      <c r="AS70" s="134">
        <f>+Actuals!AP73</f>
        <v>0</v>
      </c>
      <c r="AT70" s="133">
        <f>+Actuals!AQ73</f>
        <v>0</v>
      </c>
      <c r="AU70" s="134">
        <f>+Actuals!AR73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  <c r="AL71" s="133">
        <f>+Actuals!AI74</f>
        <v>0</v>
      </c>
      <c r="AM71" s="134">
        <f>+Actuals!AJ74</f>
        <v>0</v>
      </c>
      <c r="AN71" s="133">
        <f>+Actuals!AK74</f>
        <v>0</v>
      </c>
      <c r="AO71" s="134">
        <f>+Actuals!AL74</f>
        <v>0</v>
      </c>
      <c r="AP71" s="133">
        <f>+Actuals!AM74</f>
        <v>0</v>
      </c>
      <c r="AQ71" s="134">
        <f>+Actuals!AN74</f>
        <v>0</v>
      </c>
      <c r="AR71" s="133">
        <f>+Actuals!AO74</f>
        <v>0</v>
      </c>
      <c r="AS71" s="134">
        <f>+Actuals!AP74</f>
        <v>0</v>
      </c>
      <c r="AT71" s="133">
        <f>+Actuals!AQ74</f>
        <v>0</v>
      </c>
      <c r="AU71" s="134">
        <f>+Actuals!AR74</f>
        <v>0</v>
      </c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E72" si="32">SUM(F70:F71)</f>
        <v>0</v>
      </c>
      <c r="G72" s="23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  <c r="AL73" s="133">
        <f>+Actuals!AI75</f>
        <v>0</v>
      </c>
      <c r="AM73" s="134">
        <f>+Actuals!AJ75</f>
        <v>0</v>
      </c>
      <c r="AN73" s="133">
        <f>+Actuals!AK75</f>
        <v>0</v>
      </c>
      <c r="AO73" s="134">
        <f>+Actuals!AL75</f>
        <v>0</v>
      </c>
      <c r="AP73" s="133">
        <f>+Actuals!AM75</f>
        <v>0</v>
      </c>
      <c r="AQ73" s="134">
        <f>+Actuals!AN75</f>
        <v>0</v>
      </c>
      <c r="AR73" s="133">
        <f>+Actuals!AO75</f>
        <v>0</v>
      </c>
      <c r="AS73" s="134">
        <f>+Actuals!AP75</f>
        <v>0</v>
      </c>
      <c r="AT73" s="133">
        <f>+Actuals!AQ75</f>
        <v>0</v>
      </c>
      <c r="AU73" s="134">
        <f>+Actuals!AR75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  <c r="AL74" s="133">
        <f>+Actuals!AI76</f>
        <v>0</v>
      </c>
      <c r="AM74" s="134">
        <f>+Actuals!AJ76</f>
        <v>0</v>
      </c>
      <c r="AN74" s="133">
        <f>+Actuals!AK76</f>
        <v>0</v>
      </c>
      <c r="AO74" s="134">
        <f>+Actuals!AL76</f>
        <v>0</v>
      </c>
      <c r="AP74" s="133">
        <f>+Actuals!AM76</f>
        <v>0</v>
      </c>
      <c r="AQ74" s="134">
        <f>+Actuals!AN76</f>
        <v>0</v>
      </c>
      <c r="AR74" s="133">
        <f>+Actuals!AO76</f>
        <v>0</v>
      </c>
      <c r="AS74" s="134">
        <f>+Actuals!AP76</f>
        <v>0</v>
      </c>
      <c r="AT74" s="133">
        <f>+Actuals!AQ76</f>
        <v>0</v>
      </c>
      <c r="AU74" s="134">
        <f>+Actuals!AR76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  <c r="AL75" s="133">
        <f>+Actuals!AI77</f>
        <v>0</v>
      </c>
      <c r="AM75" s="134">
        <f>+Actuals!AJ77</f>
        <v>0</v>
      </c>
      <c r="AN75" s="133">
        <f>+Actuals!AK77</f>
        <v>0</v>
      </c>
      <c r="AO75" s="134">
        <f>+Actuals!AL77</f>
        <v>0</v>
      </c>
      <c r="AP75" s="133">
        <f>+Actuals!AM77</f>
        <v>0</v>
      </c>
      <c r="AQ75" s="134">
        <f>+Actuals!AN77</f>
        <v>0</v>
      </c>
      <c r="AR75" s="133">
        <f>+Actuals!AO77</f>
        <v>0</v>
      </c>
      <c r="AS75" s="134">
        <f>+Actuals!AP77</f>
        <v>0</v>
      </c>
      <c r="AT75" s="133">
        <f>+Actuals!AQ77</f>
        <v>0</v>
      </c>
      <c r="AU75" s="134">
        <f>+Actuals!AR77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  <c r="AL76" s="133">
        <f>+Actuals!AI78</f>
        <v>0</v>
      </c>
      <c r="AM76" s="134">
        <f>+Actuals!AJ78</f>
        <v>0</v>
      </c>
      <c r="AN76" s="133">
        <f>+Actuals!AK78</f>
        <v>0</v>
      </c>
      <c r="AO76" s="134">
        <f>+Actuals!AL78</f>
        <v>0</v>
      </c>
      <c r="AP76" s="133">
        <f>+Actuals!AM78</f>
        <v>0</v>
      </c>
      <c r="AQ76" s="134">
        <f>+Actuals!AN78</f>
        <v>0</v>
      </c>
      <c r="AR76" s="133">
        <f>+Actuals!AO78</f>
        <v>0</v>
      </c>
      <c r="AS76" s="134">
        <f>+Actuals!AP78</f>
        <v>0</v>
      </c>
      <c r="AT76" s="133">
        <f>+Actuals!AQ78</f>
        <v>0</v>
      </c>
      <c r="AU76" s="134">
        <f>+Actuals!AR78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  <c r="AL77" s="133">
        <f>+Actuals!AI79</f>
        <v>0</v>
      </c>
      <c r="AM77" s="134">
        <f>+Actuals!AJ79</f>
        <v>0</v>
      </c>
      <c r="AN77" s="133">
        <f>+Actuals!AK79</f>
        <v>0</v>
      </c>
      <c r="AO77" s="134">
        <f>+Actuals!AL79</f>
        <v>0</v>
      </c>
      <c r="AP77" s="133">
        <f>+Actuals!AM79</f>
        <v>0</v>
      </c>
      <c r="AQ77" s="134">
        <f>+Actuals!AN79</f>
        <v>0</v>
      </c>
      <c r="AR77" s="133">
        <f>+Actuals!AO79</f>
        <v>0</v>
      </c>
      <c r="AS77" s="134">
        <f>+Actuals!AP79</f>
        <v>0</v>
      </c>
      <c r="AT77" s="133">
        <f>+Actuals!AQ79</f>
        <v>0</v>
      </c>
      <c r="AU77" s="134">
        <f>+Actuals!AR79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  <c r="AL78" s="133">
        <f>+Actuals!AI80</f>
        <v>0</v>
      </c>
      <c r="AM78" s="134">
        <f>+Actuals!AJ80</f>
        <v>0</v>
      </c>
      <c r="AN78" s="133">
        <f>+Actuals!AK80</f>
        <v>0</v>
      </c>
      <c r="AO78" s="134">
        <f>+Actuals!AL80</f>
        <v>0</v>
      </c>
      <c r="AP78" s="133">
        <f>+Actuals!AM80</f>
        <v>0</v>
      </c>
      <c r="AQ78" s="134">
        <f>+Actuals!AN80</f>
        <v>0</v>
      </c>
      <c r="AR78" s="133">
        <f>+Actuals!AO80</f>
        <v>0</v>
      </c>
      <c r="AS78" s="134">
        <f>+Actuals!AP80</f>
        <v>0</v>
      </c>
      <c r="AT78" s="133">
        <f>+Actuals!AQ80</f>
        <v>0</v>
      </c>
      <c r="AU78" s="134">
        <f>+Actuals!AR80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  <c r="AL79" s="133">
        <f>+Actuals!AI81</f>
        <v>0</v>
      </c>
      <c r="AM79" s="134">
        <f>+Actuals!AJ81</f>
        <v>0</v>
      </c>
      <c r="AN79" s="133">
        <f>+Actuals!AK81</f>
        <v>0</v>
      </c>
      <c r="AO79" s="134">
        <f>+Actuals!AL81</f>
        <v>0</v>
      </c>
      <c r="AP79" s="133">
        <f>+Actuals!AM81</f>
        <v>0</v>
      </c>
      <c r="AQ79" s="134">
        <f>+Actuals!AN81</f>
        <v>0</v>
      </c>
      <c r="AR79" s="133">
        <f>+Actuals!AO81</f>
        <v>0</v>
      </c>
      <c r="AS79" s="134">
        <f>+Actuals!AP81</f>
        <v>0</v>
      </c>
      <c r="AT79" s="133">
        <f>+Actuals!AQ81</f>
        <v>0</v>
      </c>
      <c r="AU79" s="134">
        <f>+Actuals!AR81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  <c r="AL80" s="133">
        <f>+Actuals!AI82</f>
        <v>0</v>
      </c>
      <c r="AM80" s="134">
        <f>+Actuals!AJ82</f>
        <v>0</v>
      </c>
      <c r="AN80" s="133">
        <f>+Actuals!AK82</f>
        <v>0</v>
      </c>
      <c r="AO80" s="134">
        <f>+Actuals!AL82</f>
        <v>0</v>
      </c>
      <c r="AP80" s="133">
        <f>+Actuals!AM82</f>
        <v>0</v>
      </c>
      <c r="AQ80" s="134">
        <f>+Actuals!AN82</f>
        <v>0</v>
      </c>
      <c r="AR80" s="133">
        <f>+Actuals!AO82</f>
        <v>0</v>
      </c>
      <c r="AS80" s="134">
        <f>+Actuals!AP82</f>
        <v>0</v>
      </c>
      <c r="AT80" s="133">
        <f>+Actuals!AQ82</f>
        <v>0</v>
      </c>
      <c r="AU80" s="134">
        <f>+Actuals!AR82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  <c r="AL81" s="133">
        <f>+Actuals!AI83</f>
        <v>0</v>
      </c>
      <c r="AM81" s="134">
        <f>+Actuals!AJ83</f>
        <v>0</v>
      </c>
      <c r="AN81" s="133">
        <f>+Actuals!AK83</f>
        <v>0</v>
      </c>
      <c r="AO81" s="134">
        <f>+Actuals!AL83</f>
        <v>0</v>
      </c>
      <c r="AP81" s="133">
        <f>+Actuals!AM83</f>
        <v>0</v>
      </c>
      <c r="AQ81" s="134">
        <f>+Actuals!AN83</f>
        <v>0</v>
      </c>
      <c r="AR81" s="133">
        <f>+Actuals!AO83</f>
        <v>0</v>
      </c>
      <c r="AS81" s="134">
        <f>+Actuals!AP83</f>
        <v>0</v>
      </c>
      <c r="AT81" s="133">
        <f>+Actuals!AQ83</f>
        <v>0</v>
      </c>
      <c r="AU81" s="134">
        <f>+Actuals!AR83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-25</v>
      </c>
      <c r="E82" s="93">
        <f>SUM(E72:E81)+E16+E24+E29+E36+E43+E45+E47+E49+E51+E56+E61+E66</f>
        <v>591543.99399999948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118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1257566.1640000001</v>
      </c>
      <c r="N82" s="92">
        <f>N16+N24+N29+N36+N43+N45+N47+N49</f>
        <v>0</v>
      </c>
      <c r="O82" s="93">
        <f>SUM(O72:O81)+O16+O24+O29+O36+O43+O45+O47+O49+O51+O56+O61+O66</f>
        <v>112871.43999999994</v>
      </c>
      <c r="P82" s="92">
        <f>P16+P24+P29+P36+P43+P45+P47+P49</f>
        <v>0</v>
      </c>
      <c r="Q82" s="93">
        <f>SUM(Q72:Q81)+Q16+Q24+Q29+Q36+Q43+Q45+Q47+Q49+Q51+Q56+Q61+Q66</f>
        <v>-651493.78399999999</v>
      </c>
      <c r="R82" s="92">
        <f>R16+R24+R29+R36+R43+R45+R47+R49</f>
        <v>0</v>
      </c>
      <c r="S82" s="93">
        <f>SUM(S72:S81)+S16+S24+S29+S36+S43+S45+S47+S49+S51+S56+S61+S66</f>
        <v>-1801.2799999999929</v>
      </c>
      <c r="T82" s="92">
        <f>T16+T24+T29+T36+T43+T45+T47+T49</f>
        <v>0</v>
      </c>
      <c r="U82" s="93">
        <f>SUM(U72:U81)+U16+U24+U29+U36+U43+U45+U47+U49+U51+U56+U61+U66</f>
        <v>139356.34400000001</v>
      </c>
      <c r="V82" s="92">
        <f>V16+V24+V29+V36+V43+V45+V47+V49</f>
        <v>0</v>
      </c>
      <c r="W82" s="93">
        <f>SUM(W72:W81)+W16+W24+W29+W36+W43+W45+W47+W49+W51+W56+W61+W66</f>
        <v>-8969.6439999999984</v>
      </c>
      <c r="X82" s="92">
        <f>X16+X24+X29+X36+X43+X45+X47+X49</f>
        <v>0</v>
      </c>
      <c r="Y82" s="93">
        <f>SUM(Y72:Y81)+Y16+Y24+Y29+Y36+Y43+Y45+Y47+Y49+Y51+Y56+Y61+Y66</f>
        <v>19435.893999999949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17406.088000000036</v>
      </c>
      <c r="AD82" s="92">
        <f>AD16+AD24+AD29+AD36+AD43+AD45+AD47+AD49</f>
        <v>0</v>
      </c>
      <c r="AE82" s="93">
        <f>SUM(AE72:AE81)+AE16+AE24+AE29+AE36+AE43+AE45+AE47+AE49+AE51+AE56+AE61+AE66</f>
        <v>-18001.968000000012</v>
      </c>
      <c r="AF82" s="92">
        <f>AF16+AF24+AF29+AF36+AF43+AF45+AF47+AF49</f>
        <v>0</v>
      </c>
      <c r="AG82" s="93">
        <f>SUM(AG72:AG81)+AG16+AG24+AG29+AG36+AG43+AG45+AG47+AG49+AG51+AG56+AG61+AG66</f>
        <v>0.23999999999068677</v>
      </c>
      <c r="AH82" s="92">
        <f>AH16+AH24+AH29+AH36+AH43+AH45+AH47+AH49</f>
        <v>0</v>
      </c>
      <c r="AI82" s="93">
        <f>SUM(AI72:AI81)+AI16+AI24+AI29+AI36+AI43+AI45+AI47+AI49+AI51+AI56+AI61+AI66</f>
        <v>1.4500000000000028</v>
      </c>
      <c r="AJ82" s="92">
        <f>AJ16+AJ24+AJ29+AJ36+AJ43+AJ45+AJ47+AJ49</f>
        <v>0</v>
      </c>
      <c r="AK82" s="93">
        <f>SUM(AK72:AK81)+AK16+AK24+AK29+AK36+AK43+AK45+AK47+AK49+AK51+AK56+AK61+AK66</f>
        <v>-1.4500000000000028</v>
      </c>
      <c r="AL82" s="92">
        <f>AL16+AL24+AL29+AL36+AL43+AL45+AL47+AL49</f>
        <v>0</v>
      </c>
      <c r="AM82" s="93">
        <f>SUM(AM72:AM81)+AM16+AM24+AM29+AM36+AM43+AM45+AM47+AM49+AM51+AM56+AM61+AM66</f>
        <v>-12109.688</v>
      </c>
      <c r="AN82" s="92">
        <f>AN16+AN24+AN29+AN36+AN43+AN45+AN47+AN49</f>
        <v>0</v>
      </c>
      <c r="AO82" s="93">
        <f>SUM(AO72:AO81)+AO16+AO24+AO29+AO36+AO43+AO45+AO47+AO49+AO51+AO56+AO61+AO66</f>
        <v>159.62599999999952</v>
      </c>
      <c r="AP82" s="92">
        <f>AP16+AP24+AP29+AP36+AP43+AP45+AP47+AP49</f>
        <v>-25</v>
      </c>
      <c r="AQ82" s="93">
        <f>SUM(AQ72:AQ81)+AQ16+AQ24+AQ29+AQ36+AQ43+AQ45+AQ47+AQ49+AQ51+AQ56+AQ61+AQ66</f>
        <v>-43.25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  <c r="I84" s="45"/>
      <c r="K84" s="155"/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U187"/>
  <sheetViews>
    <sheetView zoomScale="75" workbookViewId="0">
      <pane xSplit="3" ySplit="9" topLeftCell="F75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8810649</v>
      </c>
      <c r="E11" s="38">
        <f t="shared" si="0"/>
        <v>17116005.479999997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8726924</v>
      </c>
      <c r="I11" s="38">
        <f>'SE-EGM-GL'!I11+'SE-LRC-GL'!I11</f>
        <v>17753340.109999999</v>
      </c>
      <c r="J11" s="60">
        <f>'SE-EGM-GL'!J11+'SE-LRC-GL'!J11</f>
        <v>62587</v>
      </c>
      <c r="K11" s="38">
        <f>'SE-EGM-GL'!K11+'SE-LRC-GL'!K11</f>
        <v>-1430616.39</v>
      </c>
      <c r="L11" s="60">
        <f>'SE-EGM-GL'!L11+'SE-LRC-GL'!L11</f>
        <v>0</v>
      </c>
      <c r="M11" s="38">
        <f>'SE-EGM-GL'!M11+'SE-LRC-GL'!M11</f>
        <v>743539.46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'SE-EGM-GL'!AN11+'SE-LRC-GL'!AN11</f>
        <v>0</v>
      </c>
      <c r="AG11" s="38">
        <f>'SE-EGM-GL'!AO11+'SE-LRC-GL'!AO11</f>
        <v>0</v>
      </c>
      <c r="AH11" s="60">
        <f>'SE-EGM-GL'!AR11+'SE-LRC-GL'!AR11</f>
        <v>0</v>
      </c>
      <c r="AI11" s="38">
        <f>'SE-EGM-GL'!AS11+'SE-LRC-GL'!AS11</f>
        <v>0</v>
      </c>
      <c r="AJ11" s="60">
        <f>'SE-EGM-GL'!AV11+'SE-LRC-GL'!AV11</f>
        <v>0</v>
      </c>
      <c r="AK11" s="38">
        <f>'SE-EGM-GL'!AW11+'SE-LRC-GL'!AW11</f>
        <v>0</v>
      </c>
      <c r="AL11" s="60">
        <f>'SE-EGM-GL'!AX11+'SE-LRC-GL'!AX11</f>
        <v>0</v>
      </c>
      <c r="AM11" s="38">
        <f>'SE-EGM-GL'!AY11+'SE-LRC-GL'!AY11</f>
        <v>0</v>
      </c>
      <c r="AN11" s="60">
        <f>'SE-EGM-GL'!AZ11+'SE-LRC-GL'!AZ11</f>
        <v>0</v>
      </c>
      <c r="AO11" s="38">
        <f>'SE-EGM-GL'!BA11+'SE-LRC-GL'!BA11</f>
        <v>0</v>
      </c>
      <c r="AP11" s="60">
        <f>'SE-EGM-GL'!BB11+'SE-LRC-GL'!BB11</f>
        <v>0</v>
      </c>
      <c r="AQ11" s="38">
        <f>'SE-EGM-GL'!BC11+'SE-LRC-GL'!BC11</f>
        <v>0</v>
      </c>
      <c r="AR11" s="60">
        <f>'SE-EGM-GL'!BD11+'SE-LRC-GL'!BD11</f>
        <v>0</v>
      </c>
      <c r="AS11" s="38">
        <f>'SE-EGM-GL'!BE11+'SE-LRC-GL'!BE11</f>
        <v>0</v>
      </c>
      <c r="AT11" s="60">
        <f>'SE-EGM-GL'!BF11+'SE-LRC-GL'!BF11</f>
        <v>0</v>
      </c>
      <c r="AU11" s="38">
        <f>'SE-EGM-GL'!BG11+'SE-LRC-GL'!BG11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'SE-EGM-GL'!AR12+'SE-LRC-GL'!AR12</f>
        <v>0</v>
      </c>
      <c r="AI12" s="38">
        <f>'SE-EGM-GL'!AS12+'SE-LRC-GL'!AS12</f>
        <v>0</v>
      </c>
      <c r="AJ12" s="60">
        <f>'SE-EGM-GL'!AV12+'SE-LRC-GL'!AV12</f>
        <v>0</v>
      </c>
      <c r="AK12" s="38">
        <f>'SE-EGM-GL'!AW12+'SE-LRC-GL'!AW12</f>
        <v>0</v>
      </c>
      <c r="AL12" s="60">
        <f>'SE-EGM-GL'!AX12+'SE-LRC-GL'!AX12</f>
        <v>0</v>
      </c>
      <c r="AM12" s="38">
        <f>'SE-EGM-GL'!AY12+'SE-LRC-GL'!AY12</f>
        <v>0</v>
      </c>
      <c r="AN12" s="60">
        <f>'SE-EGM-GL'!AZ12+'SE-LRC-GL'!AZ12</f>
        <v>0</v>
      </c>
      <c r="AO12" s="38">
        <f>'SE-EGM-GL'!BA12+'SE-LRC-GL'!BA12</f>
        <v>0</v>
      </c>
      <c r="AP12" s="60">
        <f>'SE-EGM-GL'!BB12+'SE-LRC-GL'!BB12</f>
        <v>0</v>
      </c>
      <c r="AQ12" s="38">
        <f>'SE-EGM-GL'!BC12+'SE-LRC-GL'!BC12</f>
        <v>0</v>
      </c>
      <c r="AR12" s="60">
        <f>'SE-EGM-GL'!BD12+'SE-LRC-GL'!BD12</f>
        <v>0</v>
      </c>
      <c r="AS12" s="38">
        <f>'SE-EGM-GL'!BE12+'SE-LRC-GL'!BE12</f>
        <v>0</v>
      </c>
      <c r="AT12" s="60">
        <f>'SE-EGM-GL'!BF12+'SE-LRC-GL'!BF12</f>
        <v>0</v>
      </c>
      <c r="AU12" s="38">
        <f>'SE-EGM-GL'!BG12+'SE-LRC-GL'!BG12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'SE-EGM-GL'!AR13+'SE-LRC-GL'!AR13</f>
        <v>0</v>
      </c>
      <c r="AI13" s="38">
        <f>'SE-EGM-GL'!AS13+'SE-LRC-GL'!AS13</f>
        <v>0</v>
      </c>
      <c r="AJ13" s="60">
        <f>'SE-EGM-GL'!AV13+'SE-LRC-GL'!AV13</f>
        <v>0</v>
      </c>
      <c r="AK13" s="38">
        <f>'SE-EGM-GL'!AW13+'SE-LRC-GL'!AW13</f>
        <v>0</v>
      </c>
      <c r="AL13" s="60">
        <f>'SE-EGM-GL'!AX13+'SE-LRC-GL'!AX13</f>
        <v>0</v>
      </c>
      <c r="AM13" s="38">
        <f>'SE-EGM-GL'!AY13+'SE-LRC-GL'!AY13</f>
        <v>0</v>
      </c>
      <c r="AN13" s="60">
        <f>'SE-EGM-GL'!AZ13+'SE-LRC-GL'!AZ13</f>
        <v>0</v>
      </c>
      <c r="AO13" s="38">
        <f>'SE-EGM-GL'!BA13+'SE-LRC-GL'!BA13</f>
        <v>0</v>
      </c>
      <c r="AP13" s="60">
        <f>'SE-EGM-GL'!BB13+'SE-LRC-GL'!BB13</f>
        <v>0</v>
      </c>
      <c r="AQ13" s="38">
        <f>'SE-EGM-GL'!BC13+'SE-LRC-GL'!BC13</f>
        <v>0</v>
      </c>
      <c r="AR13" s="60">
        <f>'SE-EGM-GL'!BD13+'SE-LRC-GL'!BD13</f>
        <v>0</v>
      </c>
      <c r="AS13" s="38">
        <f>'SE-EGM-GL'!BE13+'SE-LRC-GL'!BE13</f>
        <v>0</v>
      </c>
      <c r="AT13" s="60">
        <f>'SE-EGM-GL'!BF13+'SE-LRC-GL'!BF13</f>
        <v>0</v>
      </c>
      <c r="AU13" s="38">
        <f>'SE-EGM-GL'!BG13+'SE-LRC-GL'!BG13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'SE-EGM-GL'!AR14+'SE-LRC-GL'!AR14</f>
        <v>0</v>
      </c>
      <c r="AI14" s="38">
        <f>'SE-EGM-GL'!AS14+'SE-LRC-GL'!AS14</f>
        <v>0</v>
      </c>
      <c r="AJ14" s="60">
        <f>'SE-EGM-GL'!AV14+'SE-LRC-GL'!AV14</f>
        <v>0</v>
      </c>
      <c r="AK14" s="38">
        <f>'SE-EGM-GL'!AW14+'SE-LRC-GL'!AW14</f>
        <v>0</v>
      </c>
      <c r="AL14" s="60">
        <f>'SE-EGM-GL'!AX14+'SE-LRC-GL'!AX14</f>
        <v>0</v>
      </c>
      <c r="AM14" s="38">
        <f>'SE-EGM-GL'!AY14+'SE-LRC-GL'!AY14</f>
        <v>0</v>
      </c>
      <c r="AN14" s="60">
        <f>'SE-EGM-GL'!AZ14+'SE-LRC-GL'!AZ14</f>
        <v>0</v>
      </c>
      <c r="AO14" s="38">
        <f>'SE-EGM-GL'!BA14+'SE-LRC-GL'!BA14</f>
        <v>0</v>
      </c>
      <c r="AP14" s="60">
        <f>'SE-EGM-GL'!BB14+'SE-LRC-GL'!BB14</f>
        <v>0</v>
      </c>
      <c r="AQ14" s="38">
        <f>'SE-EGM-GL'!BC14+'SE-LRC-GL'!BC14</f>
        <v>0</v>
      </c>
      <c r="AR14" s="60">
        <f>'SE-EGM-GL'!BD14+'SE-LRC-GL'!BD14</f>
        <v>0</v>
      </c>
      <c r="AS14" s="38">
        <f>'SE-EGM-GL'!BE14+'SE-LRC-GL'!BE14</f>
        <v>0</v>
      </c>
      <c r="AT14" s="60">
        <f>'SE-EGM-GL'!BF14+'SE-LRC-GL'!BF14</f>
        <v>0</v>
      </c>
      <c r="AU14" s="38">
        <f>'SE-EGM-GL'!BG14+'SE-LRC-GL'!BG14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'SE-EGM-GL'!AR15+'SE-LRC-GL'!AR15</f>
        <v>0</v>
      </c>
      <c r="AI15" s="38">
        <f>'SE-EGM-GL'!AS15+'SE-LRC-GL'!AS15</f>
        <v>0</v>
      </c>
      <c r="AJ15" s="60">
        <f>'SE-EGM-GL'!AV15+'SE-LRC-GL'!AV15</f>
        <v>0</v>
      </c>
      <c r="AK15" s="38">
        <f>'SE-EGM-GL'!AW15+'SE-LRC-GL'!AW15</f>
        <v>0</v>
      </c>
      <c r="AL15" s="60">
        <f>'SE-EGM-GL'!AX15+'SE-LRC-GL'!AX15</f>
        <v>0</v>
      </c>
      <c r="AM15" s="38">
        <f>'SE-EGM-GL'!AY15+'SE-LRC-GL'!AY15</f>
        <v>0</v>
      </c>
      <c r="AN15" s="60">
        <f>'SE-EGM-GL'!AZ15+'SE-LRC-GL'!AZ15</f>
        <v>0</v>
      </c>
      <c r="AO15" s="38">
        <f>'SE-EGM-GL'!BA15+'SE-LRC-GL'!BA15</f>
        <v>0</v>
      </c>
      <c r="AP15" s="60">
        <f>'SE-EGM-GL'!BB15+'SE-LRC-GL'!BB15</f>
        <v>0</v>
      </c>
      <c r="AQ15" s="38">
        <f>'SE-EGM-GL'!BC15+'SE-LRC-GL'!BC15</f>
        <v>0</v>
      </c>
      <c r="AR15" s="60">
        <f>'SE-EGM-GL'!BD15+'SE-LRC-GL'!BD15</f>
        <v>0</v>
      </c>
      <c r="AS15" s="38">
        <f>'SE-EGM-GL'!BE15+'SE-LRC-GL'!BE15</f>
        <v>0</v>
      </c>
      <c r="AT15" s="60">
        <f>'SE-EGM-GL'!BF15+'SE-LRC-GL'!BF15</f>
        <v>0</v>
      </c>
      <c r="AU15" s="38">
        <f>'SE-EGM-GL'!BG15+'SE-LRC-GL'!BG15</f>
        <v>0</v>
      </c>
    </row>
    <row r="16" spans="1:47" x14ac:dyDescent="0.25">
      <c r="A16" s="9"/>
      <c r="B16" s="7" t="s">
        <v>34</v>
      </c>
      <c r="C16" s="6"/>
      <c r="D16" s="61">
        <f>SUM(D11:D15)</f>
        <v>8810649</v>
      </c>
      <c r="E16" s="39">
        <f>SUM(E11:E15)</f>
        <v>17116005.479999997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8726924</v>
      </c>
      <c r="I16" s="39">
        <f t="shared" si="1"/>
        <v>17753340.109999999</v>
      </c>
      <c r="J16" s="61">
        <f t="shared" si="1"/>
        <v>62587</v>
      </c>
      <c r="K16" s="39">
        <f t="shared" si="1"/>
        <v>-1430616.39</v>
      </c>
      <c r="L16" s="61">
        <f t="shared" si="1"/>
        <v>0</v>
      </c>
      <c r="M16" s="39">
        <f t="shared" si="1"/>
        <v>743539.46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2">SUM(AE11:AE15)</f>
        <v>21654.3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-3643430</v>
      </c>
      <c r="E19" s="38">
        <f t="shared" si="4"/>
        <v>-6449666.7599999998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-2666137</v>
      </c>
      <c r="I19" s="38">
        <f>'SE-EGM-GL'!I19+'SE-LRC-GL'!I19</f>
        <v>-4591756.54</v>
      </c>
      <c r="J19" s="60">
        <f>'SE-EGM-GL'!J19+'SE-LRC-GL'!J19</f>
        <v>-977293</v>
      </c>
      <c r="K19" s="38">
        <f>'SE-EGM-GL'!K19+'SE-LRC-GL'!K19</f>
        <v>-1863662.83</v>
      </c>
      <c r="L19" s="60">
        <f>'SE-EGM-GL'!L19+'SE-LRC-GL'!L19</f>
        <v>0</v>
      </c>
      <c r="M19" s="38">
        <f>'SE-EGM-GL'!M19+'SE-LRC-GL'!M19</f>
        <v>17666.919999999998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'SE-EGM-GL'!AR19+'SE-LRC-GL'!AR19</f>
        <v>0</v>
      </c>
      <c r="AI19" s="38">
        <f>'SE-EGM-GL'!AS19+'SE-LRC-GL'!AS19</f>
        <v>0</v>
      </c>
      <c r="AJ19" s="60">
        <f>'SE-EGM-GL'!AV19+'SE-LRC-GL'!AV19</f>
        <v>0</v>
      </c>
      <c r="AK19" s="38">
        <f>'SE-EGM-GL'!AW19+'SE-LRC-GL'!AW19</f>
        <v>0</v>
      </c>
      <c r="AL19" s="60">
        <f>'SE-EGM-GL'!AX19+'SE-LRC-GL'!AX19</f>
        <v>0</v>
      </c>
      <c r="AM19" s="38">
        <f>'SE-EGM-GL'!AY19+'SE-LRC-GL'!AY19</f>
        <v>0</v>
      </c>
      <c r="AN19" s="60">
        <f>'SE-EGM-GL'!AZ19+'SE-LRC-GL'!AZ19</f>
        <v>0</v>
      </c>
      <c r="AO19" s="38">
        <f>'SE-EGM-GL'!BA19+'SE-LRC-GL'!BA19</f>
        <v>0</v>
      </c>
      <c r="AP19" s="60">
        <f>'SE-EGM-GL'!BB19+'SE-LRC-GL'!BB19</f>
        <v>0</v>
      </c>
      <c r="AQ19" s="38">
        <f>'SE-EGM-GL'!BC19+'SE-LRC-GL'!BC19</f>
        <v>0</v>
      </c>
      <c r="AR19" s="60">
        <f>'SE-EGM-GL'!BD19+'SE-LRC-GL'!BD19</f>
        <v>0</v>
      </c>
      <c r="AS19" s="38">
        <f>'SE-EGM-GL'!BE19+'SE-LRC-GL'!BE19</f>
        <v>0</v>
      </c>
      <c r="AT19" s="60">
        <f>'SE-EGM-GL'!BF19+'SE-LRC-GL'!BF19</f>
        <v>0</v>
      </c>
      <c r="AU19" s="38">
        <f>'SE-EGM-GL'!BG19+'SE-LRC-GL'!BG19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-1135706.29</v>
      </c>
      <c r="F20" s="60">
        <f>('TIE-OUT'!J20+'TIE-OUT'!L20)+(RECLASS!J20+RECLASS!L20)</f>
        <v>0</v>
      </c>
      <c r="G20" s="38">
        <f>('TIE-OUT'!K20+'TIE-OUT'!M20)+(RECLASS!K20+RECLASS!M20)</f>
        <v>-1135706.29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'SE-EGM-GL'!AR20+'SE-LRC-GL'!AR20</f>
        <v>0</v>
      </c>
      <c r="AI20" s="38">
        <f>'SE-EGM-GL'!AS20+'SE-LRC-GL'!AS20</f>
        <v>0</v>
      </c>
      <c r="AJ20" s="60">
        <f>'SE-EGM-GL'!AV20+'SE-LRC-GL'!AV20</f>
        <v>0</v>
      </c>
      <c r="AK20" s="38">
        <f>'SE-EGM-GL'!AW20+'SE-LRC-GL'!AW20</f>
        <v>0</v>
      </c>
      <c r="AL20" s="60">
        <f>'SE-EGM-GL'!AX20+'SE-LRC-GL'!AX20</f>
        <v>0</v>
      </c>
      <c r="AM20" s="38">
        <f>'SE-EGM-GL'!AY20+'SE-LRC-GL'!AY20</f>
        <v>0</v>
      </c>
      <c r="AN20" s="60">
        <f>'SE-EGM-GL'!AZ20+'SE-LRC-GL'!AZ20</f>
        <v>0</v>
      </c>
      <c r="AO20" s="38">
        <f>'SE-EGM-GL'!BA20+'SE-LRC-GL'!BA20</f>
        <v>0</v>
      </c>
      <c r="AP20" s="60">
        <f>'SE-EGM-GL'!BB20+'SE-LRC-GL'!BB20</f>
        <v>0</v>
      </c>
      <c r="AQ20" s="38">
        <f>'SE-EGM-GL'!BC20+'SE-LRC-GL'!BC20</f>
        <v>0</v>
      </c>
      <c r="AR20" s="60">
        <f>'SE-EGM-GL'!BD20+'SE-LRC-GL'!BD20</f>
        <v>0</v>
      </c>
      <c r="AS20" s="38">
        <f>'SE-EGM-GL'!BE20+'SE-LRC-GL'!BE20</f>
        <v>0</v>
      </c>
      <c r="AT20" s="60">
        <f>'SE-EGM-GL'!BF20+'SE-LRC-GL'!BF20</f>
        <v>0</v>
      </c>
      <c r="AU20" s="38">
        <f>'SE-EGM-GL'!BG20+'SE-LRC-GL'!BG20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'SE-EGM-GL'!AR21+'SE-LRC-GL'!AR21</f>
        <v>0</v>
      </c>
      <c r="AI21" s="38">
        <f>'SE-EGM-GL'!AS21+'SE-LRC-GL'!AS21</f>
        <v>0</v>
      </c>
      <c r="AJ21" s="60">
        <f>'SE-EGM-GL'!AV21+'SE-LRC-GL'!AV21</f>
        <v>0</v>
      </c>
      <c r="AK21" s="38">
        <f>'SE-EGM-GL'!AW21+'SE-LRC-GL'!AW21</f>
        <v>0</v>
      </c>
      <c r="AL21" s="60">
        <f>'SE-EGM-GL'!AX21+'SE-LRC-GL'!AX21</f>
        <v>0</v>
      </c>
      <c r="AM21" s="38">
        <f>'SE-EGM-GL'!AY21+'SE-LRC-GL'!AY21</f>
        <v>0</v>
      </c>
      <c r="AN21" s="60">
        <f>'SE-EGM-GL'!AZ21+'SE-LRC-GL'!AZ21</f>
        <v>0</v>
      </c>
      <c r="AO21" s="38">
        <f>'SE-EGM-GL'!BA21+'SE-LRC-GL'!BA21</f>
        <v>0</v>
      </c>
      <c r="AP21" s="60">
        <f>'SE-EGM-GL'!BB21+'SE-LRC-GL'!BB21</f>
        <v>0</v>
      </c>
      <c r="AQ21" s="38">
        <f>'SE-EGM-GL'!BC21+'SE-LRC-GL'!BC21</f>
        <v>0</v>
      </c>
      <c r="AR21" s="60">
        <f>'SE-EGM-GL'!BD21+'SE-LRC-GL'!BD21</f>
        <v>0</v>
      </c>
      <c r="AS21" s="38">
        <f>'SE-EGM-GL'!BE21+'SE-LRC-GL'!BE21</f>
        <v>0</v>
      </c>
      <c r="AT21" s="60">
        <f>'SE-EGM-GL'!BF21+'SE-LRC-GL'!BF21</f>
        <v>0</v>
      </c>
      <c r="AU21" s="38">
        <f>'SE-EGM-GL'!BG21+'SE-LRC-GL'!BG21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'SE-EGM-GL'!AR22+'SE-LRC-GL'!AR22</f>
        <v>0</v>
      </c>
      <c r="AI22" s="38">
        <f>'SE-EGM-GL'!AS22+'SE-LRC-GL'!AS22</f>
        <v>0</v>
      </c>
      <c r="AJ22" s="60">
        <f>'SE-EGM-GL'!AV22+'SE-LRC-GL'!AV22</f>
        <v>0</v>
      </c>
      <c r="AK22" s="38">
        <f>'SE-EGM-GL'!AW22+'SE-LRC-GL'!AW22</f>
        <v>0</v>
      </c>
      <c r="AL22" s="60">
        <f>'SE-EGM-GL'!AX22+'SE-LRC-GL'!AX22</f>
        <v>0</v>
      </c>
      <c r="AM22" s="38">
        <f>'SE-EGM-GL'!AY22+'SE-LRC-GL'!AY22</f>
        <v>0</v>
      </c>
      <c r="AN22" s="60">
        <f>'SE-EGM-GL'!AZ22+'SE-LRC-GL'!AZ22</f>
        <v>0</v>
      </c>
      <c r="AO22" s="38">
        <f>'SE-EGM-GL'!BA22+'SE-LRC-GL'!BA22</f>
        <v>0</v>
      </c>
      <c r="AP22" s="60">
        <f>'SE-EGM-GL'!BB22+'SE-LRC-GL'!BB22</f>
        <v>0</v>
      </c>
      <c r="AQ22" s="38">
        <f>'SE-EGM-GL'!BC22+'SE-LRC-GL'!BC22</f>
        <v>0</v>
      </c>
      <c r="AR22" s="60">
        <f>'SE-EGM-GL'!BD22+'SE-LRC-GL'!BD22</f>
        <v>0</v>
      </c>
      <c r="AS22" s="38">
        <f>'SE-EGM-GL'!BE22+'SE-LRC-GL'!BE22</f>
        <v>0</v>
      </c>
      <c r="AT22" s="60">
        <f>'SE-EGM-GL'!BF22+'SE-LRC-GL'!BF22</f>
        <v>0</v>
      </c>
      <c r="AU22" s="38">
        <f>'SE-EGM-GL'!BG22+'SE-LRC-GL'!BG22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-154</v>
      </c>
      <c r="E23" s="38">
        <f t="shared" si="4"/>
        <v>2047.83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-1629</v>
      </c>
      <c r="K23" s="38">
        <f>'SE-EGM-GL'!K23+'SE-LRC-GL'!K23</f>
        <v>-3685.33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'SE-EGM-GL'!AN23+'SE-LRC-GL'!AN23</f>
        <v>0</v>
      </c>
      <c r="AG23" s="38">
        <f>'SE-EGM-GL'!AO23+'SE-LRC-GL'!AO23</f>
        <v>0</v>
      </c>
      <c r="AH23" s="60">
        <f>'SE-EGM-GL'!AR23+'SE-LRC-GL'!AR23</f>
        <v>0</v>
      </c>
      <c r="AI23" s="38">
        <f>'SE-EGM-GL'!AS23+'SE-LRC-GL'!AS23</f>
        <v>0</v>
      </c>
      <c r="AJ23" s="60">
        <f>'SE-EGM-GL'!AV23+'SE-LRC-GL'!AV23</f>
        <v>0</v>
      </c>
      <c r="AK23" s="38">
        <f>'SE-EGM-GL'!AW23+'SE-LRC-GL'!AW23</f>
        <v>0</v>
      </c>
      <c r="AL23" s="60">
        <f>'SE-EGM-GL'!AX23+'SE-LRC-GL'!AX23</f>
        <v>0</v>
      </c>
      <c r="AM23" s="38">
        <f>'SE-EGM-GL'!AY23+'SE-LRC-GL'!AY23</f>
        <v>0</v>
      </c>
      <c r="AN23" s="60">
        <f>'SE-EGM-GL'!AZ23+'SE-LRC-GL'!AZ23</f>
        <v>0</v>
      </c>
      <c r="AO23" s="38">
        <f>'SE-EGM-GL'!BA23+'SE-LRC-GL'!BA23</f>
        <v>0</v>
      </c>
      <c r="AP23" s="60">
        <f>'SE-EGM-GL'!BB23+'SE-LRC-GL'!BB23</f>
        <v>0</v>
      </c>
      <c r="AQ23" s="38">
        <f>'SE-EGM-GL'!BC23+'SE-LRC-GL'!BC23</f>
        <v>0</v>
      </c>
      <c r="AR23" s="60">
        <f>'SE-EGM-GL'!BD23+'SE-LRC-GL'!BD23</f>
        <v>0</v>
      </c>
      <c r="AS23" s="38">
        <f>'SE-EGM-GL'!BE23+'SE-LRC-GL'!BE23</f>
        <v>0</v>
      </c>
      <c r="AT23" s="60">
        <f>'SE-EGM-GL'!BF23+'SE-LRC-GL'!BF23</f>
        <v>0</v>
      </c>
      <c r="AU23" s="38">
        <f>'SE-EGM-GL'!BG23+'SE-LRC-GL'!BG23</f>
        <v>0</v>
      </c>
    </row>
    <row r="24" spans="1:47" x14ac:dyDescent="0.25">
      <c r="A24" s="9"/>
      <c r="B24" s="7" t="s">
        <v>37</v>
      </c>
      <c r="C24" s="6"/>
      <c r="D24" s="61">
        <f>SUM(D19:D23)</f>
        <v>-3643584</v>
      </c>
      <c r="E24" s="39">
        <f>SUM(E19:E23)</f>
        <v>-7583325.2199999997</v>
      </c>
      <c r="F24" s="61">
        <f t="shared" ref="F24:AD24" si="5">SUM(F19:F23)</f>
        <v>0</v>
      </c>
      <c r="G24" s="39">
        <f t="shared" si="5"/>
        <v>-1135706.29</v>
      </c>
      <c r="H24" s="61">
        <f t="shared" si="5"/>
        <v>-2666137</v>
      </c>
      <c r="I24" s="39">
        <f t="shared" si="5"/>
        <v>-4591756.54</v>
      </c>
      <c r="J24" s="61">
        <f t="shared" si="5"/>
        <v>-978922</v>
      </c>
      <c r="K24" s="39">
        <f t="shared" si="5"/>
        <v>-1867348.1600000001</v>
      </c>
      <c r="L24" s="61">
        <f t="shared" si="5"/>
        <v>0</v>
      </c>
      <c r="M24" s="39">
        <f t="shared" si="5"/>
        <v>17666.919999999998</v>
      </c>
      <c r="N24" s="61">
        <f t="shared" si="5"/>
        <v>0</v>
      </c>
      <c r="O24" s="39">
        <f t="shared" si="5"/>
        <v>-12115.53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-2</v>
      </c>
      <c r="W24" s="39">
        <f t="shared" si="5"/>
        <v>101.53</v>
      </c>
      <c r="X24" s="61">
        <f t="shared" si="5"/>
        <v>1502</v>
      </c>
      <c r="Y24" s="39">
        <f t="shared" si="5"/>
        <v>5779.91</v>
      </c>
      <c r="Z24" s="61">
        <f t="shared" si="5"/>
        <v>0</v>
      </c>
      <c r="AA24" s="39">
        <f t="shared" si="5"/>
        <v>96.19</v>
      </c>
      <c r="AB24" s="61">
        <f t="shared" si="5"/>
        <v>0</v>
      </c>
      <c r="AC24" s="39">
        <f t="shared" si="5"/>
        <v>0</v>
      </c>
      <c r="AD24" s="61">
        <f t="shared" si="5"/>
        <v>-25</v>
      </c>
      <c r="AE24" s="39">
        <f t="shared" ref="AE24:AK24" si="6">SUM(AE19:AE23)</f>
        <v>-43.25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2718730</v>
      </c>
      <c r="E27" s="38">
        <f>SUM(G27,I27,K27,M27,O27,Q27,S27,U27,W27,Y27,AA27,AC27,AE27,AG27,AI27,AK27,AM27,AO27,AQ27,AS27,AU27)</f>
        <v>4863711.4799999995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2414397</v>
      </c>
      <c r="I27" s="38">
        <f>'SE-EGM-GL'!I27+'SE-LRC-GL'!I27</f>
        <v>4682567.46</v>
      </c>
      <c r="J27" s="60">
        <f>'SE-EGM-GL'!J27+'SE-LRC-GL'!J27</f>
        <v>298857</v>
      </c>
      <c r="K27" s="38">
        <f>'SE-EGM-GL'!K27+'SE-LRC-GL'!K27</f>
        <v>159911.51999999999</v>
      </c>
      <c r="L27" s="60">
        <f>'SE-EGM-GL'!L27+'SE-LRC-GL'!L27</f>
        <v>-144281</v>
      </c>
      <c r="M27" s="38">
        <f>'SE-EGM-GL'!M27+'SE-LRC-GL'!M27</f>
        <v>-250858.27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'SE-EGM-GL'!AN27+'SE-LRC-GL'!AN27</f>
        <v>3243</v>
      </c>
      <c r="AG27" s="38">
        <f>'SE-EGM-GL'!AO27+'SE-LRC-GL'!AO27</f>
        <v>6486</v>
      </c>
      <c r="AH27" s="60">
        <f>'SE-EGM-GL'!AR27+'SE-LRC-GL'!AR27</f>
        <v>0</v>
      </c>
      <c r="AI27" s="38">
        <f>'SE-EGM-GL'!AS27+'SE-LRC-GL'!AS27</f>
        <v>0</v>
      </c>
      <c r="AJ27" s="60">
        <f>'SE-EGM-GL'!AV27+'SE-LRC-GL'!AV27</f>
        <v>0</v>
      </c>
      <c r="AK27" s="38">
        <f>'SE-EGM-GL'!AW27+'SE-LRC-GL'!AW27</f>
        <v>0</v>
      </c>
      <c r="AL27" s="60">
        <f>'SE-EGM-GL'!AX27+'SE-LRC-GL'!AX27</f>
        <v>0</v>
      </c>
      <c r="AM27" s="38">
        <f>'SE-EGM-GL'!AY27+'SE-LRC-GL'!AY27</f>
        <v>0</v>
      </c>
      <c r="AN27" s="60">
        <f>'SE-EGM-GL'!AZ27+'SE-LRC-GL'!AZ27</f>
        <v>0</v>
      </c>
      <c r="AO27" s="38">
        <f>'SE-EGM-GL'!BA27+'SE-LRC-GL'!BA27</f>
        <v>0</v>
      </c>
      <c r="AP27" s="60">
        <f>'SE-EGM-GL'!BB27+'SE-LRC-GL'!BB27</f>
        <v>0</v>
      </c>
      <c r="AQ27" s="38">
        <f>'SE-EGM-GL'!BC27+'SE-LRC-GL'!BC27</f>
        <v>0</v>
      </c>
      <c r="AR27" s="60">
        <f>'SE-EGM-GL'!BD27+'SE-LRC-GL'!BD27</f>
        <v>0</v>
      </c>
      <c r="AS27" s="38">
        <f>'SE-EGM-GL'!BE27+'SE-LRC-GL'!BE27</f>
        <v>0</v>
      </c>
      <c r="AT27" s="60">
        <f>'SE-EGM-GL'!BF27+'SE-LRC-GL'!BF27</f>
        <v>0</v>
      </c>
      <c r="AU27" s="38">
        <f>'SE-EGM-GL'!BG27+'SE-LRC-GL'!BG27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-8646542</v>
      </c>
      <c r="E28" s="38">
        <f>SUM(G28,I28,K28,M28,O28,Q28,S28,U28,W28,Y28,AA28,AC28,AE28,AG28,AI28,AK28,AM28,AO28,AQ28,AS28,AU28)</f>
        <v>-15419000.219999999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-8440837</v>
      </c>
      <c r="I28" s="38">
        <f>'SE-EGM-GL'!I28+'SE-LRC-GL'!I28</f>
        <v>-16794030.91</v>
      </c>
      <c r="J28" s="60">
        <f>'SE-EGM-GL'!J28+'SE-LRC-GL'!J28</f>
        <v>-46971</v>
      </c>
      <c r="K28" s="38">
        <f>'SE-EGM-GL'!K28+'SE-LRC-GL'!K28</f>
        <v>1653235.31</v>
      </c>
      <c r="L28" s="60">
        <f>'SE-EGM-GL'!L28+'SE-LRC-GL'!L28</f>
        <v>6294</v>
      </c>
      <c r="M28" s="38">
        <f>'SE-EGM-GL'!M28+'SE-LRC-GL'!M28</f>
        <v>43981.49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-2490</v>
      </c>
      <c r="AG28" s="38">
        <f>'SE-EGM-GL'!AO28+'SE-LRC-GL'!AO28</f>
        <v>-4980</v>
      </c>
      <c r="AH28" s="60">
        <f>'SE-EGM-GL'!AR28+'SE-LRC-GL'!AR28</f>
        <v>0</v>
      </c>
      <c r="AI28" s="38">
        <f>'SE-EGM-GL'!AS28+'SE-LRC-GL'!AS28</f>
        <v>0</v>
      </c>
      <c r="AJ28" s="60">
        <f>'SE-EGM-GL'!AV28+'SE-LRC-GL'!AV28</f>
        <v>0</v>
      </c>
      <c r="AK28" s="38">
        <f>'SE-EGM-GL'!AW28+'SE-LRC-GL'!AW28</f>
        <v>0</v>
      </c>
      <c r="AL28" s="60">
        <f>'SE-EGM-GL'!AX28+'SE-LRC-GL'!AX28</f>
        <v>0</v>
      </c>
      <c r="AM28" s="38">
        <f>'SE-EGM-GL'!AY28+'SE-LRC-GL'!AY28</f>
        <v>0</v>
      </c>
      <c r="AN28" s="60">
        <f>'SE-EGM-GL'!AZ28+'SE-LRC-GL'!AZ28</f>
        <v>0</v>
      </c>
      <c r="AO28" s="38">
        <f>'SE-EGM-GL'!BA28+'SE-LRC-GL'!BA28</f>
        <v>0</v>
      </c>
      <c r="AP28" s="60">
        <f>'SE-EGM-GL'!BB28+'SE-LRC-GL'!BB28</f>
        <v>0</v>
      </c>
      <c r="AQ28" s="38">
        <f>'SE-EGM-GL'!BC28+'SE-LRC-GL'!BC28</f>
        <v>0</v>
      </c>
      <c r="AR28" s="60">
        <f>'SE-EGM-GL'!BD28+'SE-LRC-GL'!BD28</f>
        <v>0</v>
      </c>
      <c r="AS28" s="38">
        <f>'SE-EGM-GL'!BE28+'SE-LRC-GL'!BE28</f>
        <v>0</v>
      </c>
      <c r="AT28" s="60">
        <f>'SE-EGM-GL'!BF28+'SE-LRC-GL'!BF28</f>
        <v>0</v>
      </c>
      <c r="AU28" s="38">
        <f>'SE-EGM-GL'!BG28+'SE-LRC-GL'!BG28</f>
        <v>0</v>
      </c>
    </row>
    <row r="29" spans="1:47" x14ac:dyDescent="0.25">
      <c r="A29" s="9"/>
      <c r="B29" s="7" t="s">
        <v>41</v>
      </c>
      <c r="C29" s="18"/>
      <c r="D29" s="61">
        <f>SUM(D27:D28)</f>
        <v>-5927812</v>
      </c>
      <c r="E29" s="39">
        <f>SUM(E27:E28)</f>
        <v>-10555288.739999998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-6026440</v>
      </c>
      <c r="I29" s="39">
        <f t="shared" si="8"/>
        <v>-12111463.449999999</v>
      </c>
      <c r="J29" s="61">
        <f t="shared" si="8"/>
        <v>251886</v>
      </c>
      <c r="K29" s="39">
        <f t="shared" si="8"/>
        <v>1813146.83</v>
      </c>
      <c r="L29" s="61">
        <f t="shared" si="8"/>
        <v>-137987</v>
      </c>
      <c r="M29" s="39">
        <f t="shared" si="8"/>
        <v>-206876.78</v>
      </c>
      <c r="N29" s="61">
        <f t="shared" si="8"/>
        <v>7979</v>
      </c>
      <c r="O29" s="39">
        <f t="shared" si="8"/>
        <v>-11609.2</v>
      </c>
      <c r="P29" s="61">
        <f t="shared" si="8"/>
        <v>0</v>
      </c>
      <c r="Q29" s="39">
        <f t="shared" si="8"/>
        <v>0.05</v>
      </c>
      <c r="R29" s="61">
        <f t="shared" si="8"/>
        <v>0</v>
      </c>
      <c r="S29" s="39">
        <f t="shared" si="8"/>
        <v>0</v>
      </c>
      <c r="T29" s="61">
        <f t="shared" si="8"/>
        <v>-8693</v>
      </c>
      <c r="U29" s="39">
        <f t="shared" si="8"/>
        <v>-17386</v>
      </c>
      <c r="V29" s="61">
        <f t="shared" si="8"/>
        <v>-62100</v>
      </c>
      <c r="W29" s="39">
        <f t="shared" si="8"/>
        <v>-124200</v>
      </c>
      <c r="X29" s="61">
        <f t="shared" si="8"/>
        <v>46790</v>
      </c>
      <c r="Y29" s="39">
        <f t="shared" si="8"/>
        <v>101593.78</v>
      </c>
      <c r="Z29" s="61">
        <f t="shared" si="8"/>
        <v>0</v>
      </c>
      <c r="AA29" s="39">
        <f t="shared" si="8"/>
        <v>0</v>
      </c>
      <c r="AB29" s="61">
        <f t="shared" si="8"/>
        <v>82104</v>
      </c>
      <c r="AC29" s="39">
        <f t="shared" si="8"/>
        <v>164208.03000000003</v>
      </c>
      <c r="AD29" s="61">
        <f t="shared" si="8"/>
        <v>-82104</v>
      </c>
      <c r="AE29" s="39">
        <f t="shared" ref="AE29:AK29" si="9">SUM(AE27:AE28)</f>
        <v>-164208</v>
      </c>
      <c r="AF29" s="61">
        <f t="shared" si="9"/>
        <v>753</v>
      </c>
      <c r="AG29" s="39">
        <f t="shared" si="9"/>
        <v>1506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16570</v>
      </c>
      <c r="E32" s="38">
        <f t="shared" si="11"/>
        <v>29627.157999999996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204286</v>
      </c>
      <c r="K32" s="38">
        <f>'SE-EGM-GL'!K32+'SE-LRC-GL'!K32</f>
        <v>365263.36800000002</v>
      </c>
      <c r="L32" s="60">
        <f>'SE-EGM-GL'!L32+'SE-LRC-GL'!L32</f>
        <v>-192556</v>
      </c>
      <c r="M32" s="38">
        <f>'SE-EGM-GL'!M32+'SE-LRC-GL'!M32</f>
        <v>-346307.68800000002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'SE-EGM-GL'!AN32+'SE-LRC-GL'!AN32</f>
        <v>1706</v>
      </c>
      <c r="AG32" s="38">
        <f>'SE-EGM-GL'!AO32+'SE-LRC-GL'!AO32</f>
        <v>3050.328</v>
      </c>
      <c r="AH32" s="60">
        <f>'SE-EGM-GL'!AR32+'SE-LRC-GL'!AR32</f>
        <v>15579</v>
      </c>
      <c r="AI32" s="38">
        <f>'SE-EGM-GL'!AS32+'SE-LRC-GL'!AS32</f>
        <v>27855.25</v>
      </c>
      <c r="AJ32" s="60">
        <f>'SE-EGM-GL'!AV32+'SE-LRC-GL'!AV32</f>
        <v>0</v>
      </c>
      <c r="AK32" s="38">
        <f>'SE-EGM-GL'!AW32+'SE-LRC-GL'!AW32</f>
        <v>0</v>
      </c>
      <c r="AL32" s="60">
        <f>'SE-EGM-GL'!AX32+'SE-LRC-GL'!AX32</f>
        <v>0</v>
      </c>
      <c r="AM32" s="38">
        <f>'SE-EGM-GL'!AY32+'SE-LRC-GL'!AY32</f>
        <v>0</v>
      </c>
      <c r="AN32" s="60">
        <f>'SE-EGM-GL'!AZ32+'SE-LRC-GL'!AZ32</f>
        <v>0</v>
      </c>
      <c r="AO32" s="38">
        <f>'SE-EGM-GL'!BA32+'SE-LRC-GL'!BA32</f>
        <v>0</v>
      </c>
      <c r="AP32" s="60">
        <f>'SE-EGM-GL'!BB32+'SE-LRC-GL'!BB32</f>
        <v>0</v>
      </c>
      <c r="AQ32" s="38">
        <f>'SE-EGM-GL'!BC32+'SE-LRC-GL'!BC32</f>
        <v>0</v>
      </c>
      <c r="AR32" s="60">
        <f>'SE-EGM-GL'!BD32+'SE-LRC-GL'!BD32</f>
        <v>0</v>
      </c>
      <c r="AS32" s="38">
        <f>'SE-EGM-GL'!BE32+'SE-LRC-GL'!BE32</f>
        <v>0</v>
      </c>
      <c r="AT32" s="60">
        <f>'SE-EGM-GL'!BF32+'SE-LRC-GL'!BF32</f>
        <v>0</v>
      </c>
      <c r="AU32" s="38">
        <f>'SE-EGM-GL'!BG32+'SE-LRC-GL'!BG32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'SE-EGM-GL'!AR33+'SE-LRC-GL'!AR33</f>
        <v>0</v>
      </c>
      <c r="AI33" s="38">
        <f>'SE-EGM-GL'!AS33+'SE-LRC-GL'!AS33</f>
        <v>0</v>
      </c>
      <c r="AJ33" s="60">
        <f>'SE-EGM-GL'!AV33+'SE-LRC-GL'!AV33</f>
        <v>0</v>
      </c>
      <c r="AK33" s="38">
        <f>'SE-EGM-GL'!AW33+'SE-LRC-GL'!AW33</f>
        <v>0</v>
      </c>
      <c r="AL33" s="60">
        <f>'SE-EGM-GL'!AX33+'SE-LRC-GL'!AX33</f>
        <v>0</v>
      </c>
      <c r="AM33" s="38">
        <f>'SE-EGM-GL'!AY33+'SE-LRC-GL'!AY33</f>
        <v>0</v>
      </c>
      <c r="AN33" s="60">
        <f>'SE-EGM-GL'!AZ33+'SE-LRC-GL'!AZ33</f>
        <v>0</v>
      </c>
      <c r="AO33" s="38">
        <f>'SE-EGM-GL'!BA33+'SE-LRC-GL'!BA33</f>
        <v>0</v>
      </c>
      <c r="AP33" s="60">
        <f>'SE-EGM-GL'!BB33+'SE-LRC-GL'!BB33</f>
        <v>0</v>
      </c>
      <c r="AQ33" s="38">
        <f>'SE-EGM-GL'!BC33+'SE-LRC-GL'!BC33</f>
        <v>0</v>
      </c>
      <c r="AR33" s="60">
        <f>'SE-EGM-GL'!BD33+'SE-LRC-GL'!BD33</f>
        <v>0</v>
      </c>
      <c r="AS33" s="38">
        <f>'SE-EGM-GL'!BE33+'SE-LRC-GL'!BE33</f>
        <v>0</v>
      </c>
      <c r="AT33" s="60">
        <f>'SE-EGM-GL'!BF33+'SE-LRC-GL'!BF33</f>
        <v>0</v>
      </c>
      <c r="AU33" s="38">
        <f>'SE-EGM-GL'!BG33+'SE-LRC-GL'!BG33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'SE-EGM-GL'!AR34+'SE-LRC-GL'!AR34</f>
        <v>0</v>
      </c>
      <c r="AI34" s="38">
        <f>'SE-EGM-GL'!AS34+'SE-LRC-GL'!AS34</f>
        <v>0</v>
      </c>
      <c r="AJ34" s="60">
        <f>'SE-EGM-GL'!AV34+'SE-LRC-GL'!AV34</f>
        <v>0</v>
      </c>
      <c r="AK34" s="38">
        <f>'SE-EGM-GL'!AW34+'SE-LRC-GL'!AW34</f>
        <v>0</v>
      </c>
      <c r="AL34" s="60">
        <f>'SE-EGM-GL'!AX34+'SE-LRC-GL'!AX34</f>
        <v>0</v>
      </c>
      <c r="AM34" s="38">
        <f>'SE-EGM-GL'!AY34+'SE-LRC-GL'!AY34</f>
        <v>0</v>
      </c>
      <c r="AN34" s="60">
        <f>'SE-EGM-GL'!AZ34+'SE-LRC-GL'!AZ34</f>
        <v>0</v>
      </c>
      <c r="AO34" s="38">
        <f>'SE-EGM-GL'!BA34+'SE-LRC-GL'!BA34</f>
        <v>0</v>
      </c>
      <c r="AP34" s="60">
        <f>'SE-EGM-GL'!BB34+'SE-LRC-GL'!BB34</f>
        <v>0</v>
      </c>
      <c r="AQ34" s="38">
        <f>'SE-EGM-GL'!BC34+'SE-LRC-GL'!BC34</f>
        <v>0</v>
      </c>
      <c r="AR34" s="60">
        <f>'SE-EGM-GL'!BD34+'SE-LRC-GL'!BD34</f>
        <v>0</v>
      </c>
      <c r="AS34" s="38">
        <f>'SE-EGM-GL'!BE34+'SE-LRC-GL'!BE34</f>
        <v>0</v>
      </c>
      <c r="AT34" s="60">
        <f>'SE-EGM-GL'!BF34+'SE-LRC-GL'!BF34</f>
        <v>0</v>
      </c>
      <c r="AU34" s="38">
        <f>'SE-EGM-GL'!BG34+'SE-LRC-GL'!BG34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'SE-EGM-GL'!AR35+'SE-LRC-GL'!AR35</f>
        <v>0</v>
      </c>
      <c r="AI35" s="38">
        <f>'SE-EGM-GL'!AS35+'SE-LRC-GL'!AS35</f>
        <v>0</v>
      </c>
      <c r="AJ35" s="60">
        <f>'SE-EGM-GL'!AV35+'SE-LRC-GL'!AV35</f>
        <v>0</v>
      </c>
      <c r="AK35" s="38">
        <f>'SE-EGM-GL'!AW35+'SE-LRC-GL'!AW35</f>
        <v>0</v>
      </c>
      <c r="AL35" s="60">
        <f>'SE-EGM-GL'!AX35+'SE-LRC-GL'!AX35</f>
        <v>0</v>
      </c>
      <c r="AM35" s="38">
        <f>'SE-EGM-GL'!AY35+'SE-LRC-GL'!AY35</f>
        <v>0</v>
      </c>
      <c r="AN35" s="60">
        <f>'SE-EGM-GL'!AZ35+'SE-LRC-GL'!AZ35</f>
        <v>0</v>
      </c>
      <c r="AO35" s="38">
        <f>'SE-EGM-GL'!BA35+'SE-LRC-GL'!BA35</f>
        <v>0</v>
      </c>
      <c r="AP35" s="60">
        <f>'SE-EGM-GL'!BB35+'SE-LRC-GL'!BB35</f>
        <v>0</v>
      </c>
      <c r="AQ35" s="38">
        <f>'SE-EGM-GL'!BC35+'SE-LRC-GL'!BC35</f>
        <v>0</v>
      </c>
      <c r="AR35" s="60">
        <f>'SE-EGM-GL'!BD35+'SE-LRC-GL'!BD35</f>
        <v>0</v>
      </c>
      <c r="AS35" s="38">
        <f>'SE-EGM-GL'!BE35+'SE-LRC-GL'!BE35</f>
        <v>0</v>
      </c>
      <c r="AT35" s="60">
        <f>'SE-EGM-GL'!BF35+'SE-LRC-GL'!BF35</f>
        <v>0</v>
      </c>
      <c r="AU35" s="38">
        <f>'SE-EGM-GL'!BG35+'SE-LRC-GL'!BG35</f>
        <v>0</v>
      </c>
    </row>
    <row r="36" spans="1:47" x14ac:dyDescent="0.25">
      <c r="A36" s="9"/>
      <c r="B36" s="7" t="s">
        <v>47</v>
      </c>
      <c r="C36" s="6"/>
      <c r="D36" s="61">
        <f>SUM(D32:D35)</f>
        <v>16570</v>
      </c>
      <c r="E36" s="39">
        <f>SUM(E32:E35)</f>
        <v>29627.157999999996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204286</v>
      </c>
      <c r="K36" s="39">
        <f t="shared" si="12"/>
        <v>365263.36800000002</v>
      </c>
      <c r="L36" s="61">
        <f t="shared" si="12"/>
        <v>-192556</v>
      </c>
      <c r="M36" s="39">
        <f t="shared" si="12"/>
        <v>-346307.68800000002</v>
      </c>
      <c r="N36" s="61">
        <f t="shared" si="12"/>
        <v>0</v>
      </c>
      <c r="O36" s="39">
        <f t="shared" si="12"/>
        <v>3307.86</v>
      </c>
      <c r="P36" s="61">
        <f t="shared" si="12"/>
        <v>0</v>
      </c>
      <c r="Q36" s="39">
        <f t="shared" si="12"/>
        <v>5360.61</v>
      </c>
      <c r="R36" s="61">
        <f t="shared" si="12"/>
        <v>0</v>
      </c>
      <c r="S36" s="39">
        <f t="shared" si="12"/>
        <v>-1477.98</v>
      </c>
      <c r="T36" s="61">
        <f t="shared" si="12"/>
        <v>0</v>
      </c>
      <c r="U36" s="39">
        <f t="shared" si="12"/>
        <v>422.28</v>
      </c>
      <c r="V36" s="61">
        <f t="shared" si="12"/>
        <v>0</v>
      </c>
      <c r="W36" s="39">
        <f t="shared" si="12"/>
        <v>4093.77</v>
      </c>
      <c r="X36" s="61">
        <f t="shared" si="12"/>
        <v>0</v>
      </c>
      <c r="Y36" s="39">
        <f t="shared" si="12"/>
        <v>3331.32</v>
      </c>
      <c r="Z36" s="61">
        <f t="shared" si="12"/>
        <v>0</v>
      </c>
      <c r="AA36" s="39">
        <f t="shared" si="12"/>
        <v>-13020.3</v>
      </c>
      <c r="AB36" s="61">
        <f t="shared" si="12"/>
        <v>0</v>
      </c>
      <c r="AC36" s="39">
        <f t="shared" si="12"/>
        <v>0</v>
      </c>
      <c r="AD36" s="61">
        <f t="shared" si="12"/>
        <v>-12445</v>
      </c>
      <c r="AE36" s="39">
        <f t="shared" ref="AE36:AK36" si="13">SUM(AE32:AE35)</f>
        <v>-22251.66</v>
      </c>
      <c r="AF36" s="61">
        <f t="shared" si="13"/>
        <v>1706</v>
      </c>
      <c r="AG36" s="39">
        <f t="shared" si="13"/>
        <v>3050.328</v>
      </c>
      <c r="AH36" s="61">
        <f t="shared" si="13"/>
        <v>15579</v>
      </c>
      <c r="AI36" s="39">
        <f t="shared" si="13"/>
        <v>27855.25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1518213</v>
      </c>
      <c r="E39" s="38">
        <f t="shared" si="15"/>
        <v>2755556.61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347235</v>
      </c>
      <c r="K39" s="38">
        <f>'SE-EGM-GL'!K39+'SE-LRC-GL'!K39</f>
        <v>630231.53</v>
      </c>
      <c r="L39" s="60">
        <f>'SE-EGM-GL'!L39+'SE-LRC-GL'!L39</f>
        <v>1017685</v>
      </c>
      <c r="M39" s="38">
        <f>'SE-EGM-GL'!M39+'SE-LRC-GL'!M39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'SE-EGM-GL'!AR39+'SE-LRC-GL'!AR39</f>
        <v>0</v>
      </c>
      <c r="AI39" s="38">
        <f>'SE-EGM-GL'!AS39+'SE-LRC-GL'!AS39</f>
        <v>0</v>
      </c>
      <c r="AJ39" s="60">
        <f>'SE-EGM-GL'!AV39+'SE-LRC-GL'!AV39</f>
        <v>0</v>
      </c>
      <c r="AK39" s="38">
        <f>'SE-EGM-GL'!AW39+'SE-LRC-GL'!AW39</f>
        <v>0</v>
      </c>
      <c r="AL39" s="60">
        <f>'SE-EGM-GL'!AX39+'SE-LRC-GL'!AX39</f>
        <v>0</v>
      </c>
      <c r="AM39" s="38">
        <f>'SE-EGM-GL'!AY39+'SE-LRC-GL'!AY39</f>
        <v>0</v>
      </c>
      <c r="AN39" s="60">
        <f>'SE-EGM-GL'!AZ39+'SE-LRC-GL'!AZ39</f>
        <v>0</v>
      </c>
      <c r="AO39" s="38">
        <f>'SE-EGM-GL'!BA39+'SE-LRC-GL'!BA39</f>
        <v>0</v>
      </c>
      <c r="AP39" s="60">
        <f>'SE-EGM-GL'!BB39+'SE-LRC-GL'!BB39</f>
        <v>0</v>
      </c>
      <c r="AQ39" s="38">
        <f>'SE-EGM-GL'!BC39+'SE-LRC-GL'!BC39</f>
        <v>0</v>
      </c>
      <c r="AR39" s="60">
        <f>'SE-EGM-GL'!BD39+'SE-LRC-GL'!BD39</f>
        <v>0</v>
      </c>
      <c r="AS39" s="38">
        <f>'SE-EGM-GL'!BE39+'SE-LRC-GL'!BE39</f>
        <v>0</v>
      </c>
      <c r="AT39" s="60">
        <f>'SE-EGM-GL'!BF39+'SE-LRC-GL'!BF39</f>
        <v>0</v>
      </c>
      <c r="AU39" s="38">
        <f>'SE-EGM-GL'!BG39+'SE-LRC-GL'!BG39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-905645</v>
      </c>
      <c r="E40" s="38">
        <f t="shared" si="15"/>
        <v>-1643745.6800000002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-80069</v>
      </c>
      <c r="I40" s="38">
        <f>'SE-EGM-GL'!I40+'SE-LRC-GL'!I40</f>
        <v>-145325.24</v>
      </c>
      <c r="J40" s="60">
        <f>'SE-EGM-GL'!J40+'SE-LRC-GL'!J40</f>
        <v>80069</v>
      </c>
      <c r="K40" s="38">
        <f>'SE-EGM-GL'!K40+'SE-LRC-GL'!K40</f>
        <v>145325.24</v>
      </c>
      <c r="L40" s="60">
        <f>'SE-EGM-GL'!L40+'SE-LRC-GL'!L40</f>
        <v>-744373</v>
      </c>
      <c r="M40" s="38">
        <f>'SE-EGM-GL'!M40+'SE-LRC-GL'!M40</f>
        <v>-1351037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'SE-EGM-GL'!AR40+'SE-LRC-GL'!AR40</f>
        <v>0</v>
      </c>
      <c r="AI40" s="38">
        <f>'SE-EGM-GL'!AS40+'SE-LRC-GL'!AS40</f>
        <v>0</v>
      </c>
      <c r="AJ40" s="60">
        <f>'SE-EGM-GL'!AV40+'SE-LRC-GL'!AV40</f>
        <v>0</v>
      </c>
      <c r="AK40" s="38">
        <f>'SE-EGM-GL'!AW40+'SE-LRC-GL'!AW40</f>
        <v>0</v>
      </c>
      <c r="AL40" s="60">
        <f>'SE-EGM-GL'!AX40+'SE-LRC-GL'!AX40</f>
        <v>0</v>
      </c>
      <c r="AM40" s="38">
        <f>'SE-EGM-GL'!AY40+'SE-LRC-GL'!AY40</f>
        <v>0</v>
      </c>
      <c r="AN40" s="60">
        <f>'SE-EGM-GL'!AZ40+'SE-LRC-GL'!AZ40</f>
        <v>0</v>
      </c>
      <c r="AO40" s="38">
        <f>'SE-EGM-GL'!BA40+'SE-LRC-GL'!BA40</f>
        <v>0</v>
      </c>
      <c r="AP40" s="60">
        <f>'SE-EGM-GL'!BB40+'SE-LRC-GL'!BB40</f>
        <v>0</v>
      </c>
      <c r="AQ40" s="38">
        <f>'SE-EGM-GL'!BC40+'SE-LRC-GL'!BC40</f>
        <v>0</v>
      </c>
      <c r="AR40" s="60">
        <f>'SE-EGM-GL'!BD40+'SE-LRC-GL'!BD40</f>
        <v>0</v>
      </c>
      <c r="AS40" s="38">
        <f>'SE-EGM-GL'!BE40+'SE-LRC-GL'!BE40</f>
        <v>0</v>
      </c>
      <c r="AT40" s="60">
        <f>'SE-EGM-GL'!BF40+'SE-LRC-GL'!BF40</f>
        <v>0</v>
      </c>
      <c r="AU40" s="38">
        <f>'SE-EGM-GL'!BG40+'SE-LRC-GL'!BG40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'SE-EGM-GL'!AR41+'SE-LRC-GL'!AR41</f>
        <v>0</v>
      </c>
      <c r="AI41" s="38">
        <f>'SE-EGM-GL'!AS41+'SE-LRC-GL'!AS41</f>
        <v>0</v>
      </c>
      <c r="AJ41" s="60">
        <f>'SE-EGM-GL'!AV41+'SE-LRC-GL'!AV41</f>
        <v>0</v>
      </c>
      <c r="AK41" s="38">
        <f>'SE-EGM-GL'!AW41+'SE-LRC-GL'!AW41</f>
        <v>0</v>
      </c>
      <c r="AL41" s="60">
        <f>'SE-EGM-GL'!AX41+'SE-LRC-GL'!AX41</f>
        <v>0</v>
      </c>
      <c r="AM41" s="38">
        <f>'SE-EGM-GL'!AY41+'SE-LRC-GL'!AY41</f>
        <v>0</v>
      </c>
      <c r="AN41" s="60">
        <f>'SE-EGM-GL'!AZ41+'SE-LRC-GL'!AZ41</f>
        <v>0</v>
      </c>
      <c r="AO41" s="38">
        <f>'SE-EGM-GL'!BA41+'SE-LRC-GL'!BA41</f>
        <v>0</v>
      </c>
      <c r="AP41" s="60">
        <f>'SE-EGM-GL'!BB41+'SE-LRC-GL'!BB41</f>
        <v>0</v>
      </c>
      <c r="AQ41" s="38">
        <f>'SE-EGM-GL'!BC41+'SE-LRC-GL'!BC41</f>
        <v>0</v>
      </c>
      <c r="AR41" s="60">
        <f>'SE-EGM-GL'!BD41+'SE-LRC-GL'!BD41</f>
        <v>0</v>
      </c>
      <c r="AS41" s="38">
        <f>'SE-EGM-GL'!BE41+'SE-LRC-GL'!BE41</f>
        <v>0</v>
      </c>
      <c r="AT41" s="60">
        <f>'SE-EGM-GL'!BF41+'SE-LRC-GL'!BF41</f>
        <v>0</v>
      </c>
      <c r="AU41" s="38">
        <f>'SE-EGM-GL'!BG41+'SE-LRC-GL'!BG41</f>
        <v>0</v>
      </c>
    </row>
    <row r="42" spans="1:47" x14ac:dyDescent="0.25">
      <c r="A42" s="9"/>
      <c r="B42" s="7"/>
      <c r="C42" s="53" t="s">
        <v>52</v>
      </c>
      <c r="D42" s="61">
        <f>SUM(D40:D41)</f>
        <v>-905645</v>
      </c>
      <c r="E42" s="39">
        <f>SUM(E40:E41)</f>
        <v>-1643745.6800000002</v>
      </c>
      <c r="F42" s="61">
        <f t="shared" ref="F42:AD42" si="16">SUM(F40:F41)</f>
        <v>0</v>
      </c>
      <c r="G42" s="39">
        <f t="shared" si="16"/>
        <v>0</v>
      </c>
      <c r="H42" s="61">
        <f t="shared" si="16"/>
        <v>-80069</v>
      </c>
      <c r="I42" s="39">
        <f t="shared" si="16"/>
        <v>-145325.24</v>
      </c>
      <c r="J42" s="61">
        <f t="shared" si="16"/>
        <v>80069</v>
      </c>
      <c r="K42" s="39">
        <f t="shared" si="16"/>
        <v>145325.24</v>
      </c>
      <c r="L42" s="61">
        <f t="shared" si="16"/>
        <v>-744373</v>
      </c>
      <c r="M42" s="39">
        <f t="shared" si="16"/>
        <v>-1351037</v>
      </c>
      <c r="N42" s="61">
        <f t="shared" si="16"/>
        <v>-161272</v>
      </c>
      <c r="O42" s="39">
        <f t="shared" si="16"/>
        <v>292708.68</v>
      </c>
      <c r="P42" s="61">
        <f t="shared" si="16"/>
        <v>0</v>
      </c>
      <c r="Q42" s="39">
        <f t="shared" si="16"/>
        <v>-585417.36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ref="AE42:AK42" si="17">SUM(AE40:AE41)</f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612568</v>
      </c>
      <c r="E43" s="39">
        <f>E42+E39</f>
        <v>1111810.9299999997</v>
      </c>
      <c r="F43" s="61">
        <f t="shared" ref="F43:AD43" si="19">F42+F39</f>
        <v>0</v>
      </c>
      <c r="G43" s="39">
        <f t="shared" si="19"/>
        <v>0</v>
      </c>
      <c r="H43" s="61">
        <f t="shared" si="19"/>
        <v>-80069</v>
      </c>
      <c r="I43" s="39">
        <f t="shared" si="19"/>
        <v>-145325.24</v>
      </c>
      <c r="J43" s="61">
        <f t="shared" si="19"/>
        <v>427304</v>
      </c>
      <c r="K43" s="39">
        <f t="shared" si="19"/>
        <v>775556.77</v>
      </c>
      <c r="L43" s="61">
        <f t="shared" si="19"/>
        <v>273312</v>
      </c>
      <c r="M43" s="39">
        <f t="shared" si="19"/>
        <v>496061.28</v>
      </c>
      <c r="N43" s="61">
        <f t="shared" si="19"/>
        <v>-7979</v>
      </c>
      <c r="O43" s="39">
        <f t="shared" si="19"/>
        <v>570935.48</v>
      </c>
      <c r="P43" s="61">
        <f t="shared" si="19"/>
        <v>0</v>
      </c>
      <c r="Q43" s="39">
        <f t="shared" si="19"/>
        <v>-585417.36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ref="AE43:AK43" si="20">AE42+AE39</f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10025.630000000001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12255</v>
      </c>
      <c r="K45" s="38">
        <f>'SE-EGM-GL'!K45+'SE-LRC-GL'!K45</f>
        <v>23652.15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'SE-EGM-GL'!AR45+'SE-LRC-GL'!AR45</f>
        <v>0</v>
      </c>
      <c r="AI45" s="38">
        <f>'SE-EGM-GL'!AS45+'SE-LRC-GL'!AS45</f>
        <v>0</v>
      </c>
      <c r="AJ45" s="60">
        <f>'SE-EGM-GL'!AV45+'SE-LRC-GL'!AV45</f>
        <v>0</v>
      </c>
      <c r="AK45" s="38">
        <f>'SE-EGM-GL'!AW45+'SE-LRC-GL'!AW45</f>
        <v>0</v>
      </c>
      <c r="AL45" s="60">
        <f>'SE-EGM-GL'!AX45+'SE-LRC-GL'!AX45</f>
        <v>0</v>
      </c>
      <c r="AM45" s="38">
        <f>'SE-EGM-GL'!AY45+'SE-LRC-GL'!AY45</f>
        <v>0</v>
      </c>
      <c r="AN45" s="60">
        <f>'SE-EGM-GL'!AZ45+'SE-LRC-GL'!AZ45</f>
        <v>0</v>
      </c>
      <c r="AO45" s="38">
        <f>'SE-EGM-GL'!BA45+'SE-LRC-GL'!BA45</f>
        <v>0</v>
      </c>
      <c r="AP45" s="60">
        <f>'SE-EGM-GL'!BB45+'SE-LRC-GL'!BB45</f>
        <v>0</v>
      </c>
      <c r="AQ45" s="38">
        <f>'SE-EGM-GL'!BC45+'SE-LRC-GL'!BC45</f>
        <v>0</v>
      </c>
      <c r="AR45" s="60">
        <f>'SE-EGM-GL'!BD45+'SE-LRC-GL'!BD45</f>
        <v>0</v>
      </c>
      <c r="AS45" s="38">
        <f>'SE-EGM-GL'!BE45+'SE-LRC-GL'!BE45</f>
        <v>0</v>
      </c>
      <c r="AT45" s="60">
        <f>'SE-EGM-GL'!BF45+'SE-LRC-GL'!BF45</f>
        <v>0</v>
      </c>
      <c r="AU45" s="38">
        <f>'SE-EGM-GL'!BG45+'SE-LRC-GL'!BG45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45722</v>
      </c>
      <c r="I47" s="38">
        <f>'SE-EGM-GL'!I47+'SE-LRC-GL'!I47</f>
        <v>82757.02</v>
      </c>
      <c r="J47" s="60">
        <f>'SE-EGM-GL'!J47+'SE-LRC-GL'!J47</f>
        <v>16161</v>
      </c>
      <c r="K47" s="38">
        <f>'SE-EGM-GL'!K47+'SE-LRC-GL'!K47</f>
        <v>29251.41</v>
      </c>
      <c r="L47" s="60">
        <f>'SE-EGM-GL'!L47+'SE-LRC-GL'!L47</f>
        <v>-9008</v>
      </c>
      <c r="M47" s="38">
        <f>'SE-EGM-GL'!M47+'SE-LRC-GL'!M47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'SE-EGM-GL'!AR47+'SE-LRC-GL'!AR47</f>
        <v>0</v>
      </c>
      <c r="AI47" s="38">
        <f>'SE-EGM-GL'!AS47+'SE-LRC-GL'!AS47</f>
        <v>0</v>
      </c>
      <c r="AJ47" s="60">
        <f>'SE-EGM-GL'!AV47+'SE-LRC-GL'!AV47</f>
        <v>0</v>
      </c>
      <c r="AK47" s="38">
        <f>'SE-EGM-GL'!AW47+'SE-LRC-GL'!AW47</f>
        <v>0</v>
      </c>
      <c r="AL47" s="60">
        <f>'SE-EGM-GL'!AX47+'SE-LRC-GL'!AX47</f>
        <v>0</v>
      </c>
      <c r="AM47" s="38">
        <f>'SE-EGM-GL'!AY47+'SE-LRC-GL'!AY47</f>
        <v>0</v>
      </c>
      <c r="AN47" s="60">
        <f>'SE-EGM-GL'!AZ47+'SE-LRC-GL'!AZ47</f>
        <v>0</v>
      </c>
      <c r="AO47" s="38">
        <f>'SE-EGM-GL'!BA47+'SE-LRC-GL'!BA47</f>
        <v>0</v>
      </c>
      <c r="AP47" s="60">
        <f>'SE-EGM-GL'!BB47+'SE-LRC-GL'!BB47</f>
        <v>0</v>
      </c>
      <c r="AQ47" s="38">
        <f>'SE-EGM-GL'!BC47+'SE-LRC-GL'!BC47</f>
        <v>0</v>
      </c>
      <c r="AR47" s="60">
        <f>'SE-EGM-GL'!BD47+'SE-LRC-GL'!BD47</f>
        <v>0</v>
      </c>
      <c r="AS47" s="38">
        <f>'SE-EGM-GL'!BE47+'SE-LRC-GL'!BE47</f>
        <v>0</v>
      </c>
      <c r="AT47" s="60">
        <f>'SE-EGM-GL'!BF47+'SE-LRC-GL'!BF47</f>
        <v>0</v>
      </c>
      <c r="AU47" s="38">
        <f>'SE-EGM-GL'!BG47+'SE-LRC-GL'!BG47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125744</v>
      </c>
      <c r="E49" s="38">
        <f t="shared" si="22"/>
        <v>224830.274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0</v>
      </c>
      <c r="I49" s="38">
        <f>'SE-EGM-GL'!I49+'SE-LRC-GL'!I49</f>
        <v>0</v>
      </c>
      <c r="J49" s="60">
        <f>'SE-EGM-GL'!J49+'SE-LRC-GL'!J49</f>
        <v>4443</v>
      </c>
      <c r="K49" s="38">
        <f>'SE-EGM-GL'!K49+'SE-LRC-GL'!K49</f>
        <v>7944.0839999999998</v>
      </c>
      <c r="L49" s="60">
        <f>'SE-EGM-GL'!L49+'SE-LRC-GL'!L49</f>
        <v>66239</v>
      </c>
      <c r="M49" s="38">
        <f>'SE-EGM-GL'!M49+'SE-LRC-GL'!M49</f>
        <v>118435.33199999999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'SE-EGM-GL'!AN49+'SE-LRC-GL'!AN49</f>
        <v>-2459</v>
      </c>
      <c r="AG49" s="38">
        <f>'SE-EGM-GL'!AO49+'SE-LRC-GL'!AO49</f>
        <v>-4396.692</v>
      </c>
      <c r="AH49" s="60">
        <f>'SE-EGM-GL'!AR49+'SE-LRC-GL'!AR49</f>
        <v>-15579</v>
      </c>
      <c r="AI49" s="38">
        <f>'SE-EGM-GL'!AS49+'SE-LRC-GL'!AS49</f>
        <v>-27855.25</v>
      </c>
      <c r="AJ49" s="60">
        <f>'SE-EGM-GL'!AV49+'SE-LRC-GL'!AV49</f>
        <v>0</v>
      </c>
      <c r="AK49" s="38">
        <f>'SE-EGM-GL'!AW49+'SE-LRC-GL'!AW49</f>
        <v>0</v>
      </c>
      <c r="AL49" s="60">
        <f>'SE-EGM-GL'!AX49+'SE-LRC-GL'!AX49</f>
        <v>0</v>
      </c>
      <c r="AM49" s="38">
        <f>'SE-EGM-GL'!AY49+'SE-LRC-GL'!AY49</f>
        <v>0</v>
      </c>
      <c r="AN49" s="60">
        <f>'SE-EGM-GL'!AZ49+'SE-LRC-GL'!AZ49</f>
        <v>0</v>
      </c>
      <c r="AO49" s="38">
        <f>'SE-EGM-GL'!BA49+'SE-LRC-GL'!BA49</f>
        <v>0</v>
      </c>
      <c r="AP49" s="60">
        <f>'SE-EGM-GL'!BB49+'SE-LRC-GL'!BB49</f>
        <v>0</v>
      </c>
      <c r="AQ49" s="38">
        <f>'SE-EGM-GL'!BC49+'SE-LRC-GL'!BC49</f>
        <v>0</v>
      </c>
      <c r="AR49" s="60">
        <f>'SE-EGM-GL'!BD49+'SE-LRC-GL'!BD49</f>
        <v>0</v>
      </c>
      <c r="AS49" s="38">
        <f>'SE-EGM-GL'!BE49+'SE-LRC-GL'!BE49</f>
        <v>0</v>
      </c>
      <c r="AT49" s="60">
        <f>'SE-EGM-GL'!BF49+'SE-LRC-GL'!BF49</f>
        <v>0</v>
      </c>
      <c r="AU49" s="38">
        <f>'SE-EGM-GL'!BG49+'SE-LRC-GL'!BG49</f>
        <v>0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-27551</v>
      </c>
      <c r="E51" s="38">
        <f t="shared" si="22"/>
        <v>-50720.54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-27551</v>
      </c>
      <c r="K51" s="38">
        <f>'SE-EGM-GL'!K51+'SE-LRC-GL'!K51</f>
        <v>-47998.53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'SE-EGM-GL'!AR51+'SE-LRC-GL'!AR51</f>
        <v>0</v>
      </c>
      <c r="AI51" s="38">
        <f>'SE-EGM-GL'!AS51+'SE-LRC-GL'!AS51</f>
        <v>0</v>
      </c>
      <c r="AJ51" s="60">
        <f>'SE-EGM-GL'!AV51+'SE-LRC-GL'!AV51</f>
        <v>0</v>
      </c>
      <c r="AK51" s="38">
        <f>'SE-EGM-GL'!AW51+'SE-LRC-GL'!AW51</f>
        <v>0</v>
      </c>
      <c r="AL51" s="60">
        <f>'SE-EGM-GL'!AX51+'SE-LRC-GL'!AX51</f>
        <v>0</v>
      </c>
      <c r="AM51" s="38">
        <f>'SE-EGM-GL'!AY51+'SE-LRC-GL'!AY51</f>
        <v>0</v>
      </c>
      <c r="AN51" s="60">
        <f>'SE-EGM-GL'!AZ51+'SE-LRC-GL'!AZ51</f>
        <v>0</v>
      </c>
      <c r="AO51" s="38">
        <f>'SE-EGM-GL'!BA51+'SE-LRC-GL'!BA51</f>
        <v>0</v>
      </c>
      <c r="AP51" s="60">
        <f>'SE-EGM-GL'!BB51+'SE-LRC-GL'!BB51</f>
        <v>0</v>
      </c>
      <c r="AQ51" s="38">
        <f>'SE-EGM-GL'!BC51+'SE-LRC-GL'!BC51</f>
        <v>0</v>
      </c>
      <c r="AR51" s="60">
        <f>'SE-EGM-GL'!BD51+'SE-LRC-GL'!BD51</f>
        <v>0</v>
      </c>
      <c r="AS51" s="38">
        <f>'SE-EGM-GL'!BE51+'SE-LRC-GL'!BE51</f>
        <v>0</v>
      </c>
      <c r="AT51" s="60">
        <f>'SE-EGM-GL'!BF51+'SE-LRC-GL'!BF51</f>
        <v>0</v>
      </c>
      <c r="AU51" s="38">
        <f>'SE-EGM-GL'!BG51+'SE-LRC-GL'!BG51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886869</v>
      </c>
      <c r="E54" s="38">
        <f>SUM(G54,I54,K54,M54,O54,Q54,S54,U54,W54,Y54,AA54,AC54,AE54,AG54,AI54,AK54,AM54,AO54,AQ54,AS54,AU54)</f>
        <v>1136642.72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24138.22</v>
      </c>
      <c r="J54" s="60">
        <f>'SE-EGM-GL'!J54+'SE-LRC-GL'!J54</f>
        <v>886869</v>
      </c>
      <c r="K54" s="38">
        <f>'SE-EGM-GL'!K54+'SE-LRC-GL'!K54</f>
        <v>1112504.5</v>
      </c>
      <c r="L54" s="60">
        <f>'SE-EGM-GL'!L54+'SE-LRC-GL'!L54</f>
        <v>0</v>
      </c>
      <c r="M54" s="38">
        <f>'SE-EGM-GL'!M54+'SE-LRC-GL'!M54</f>
        <v>0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'SE-EGM-GL'!AR54+'SE-LRC-GL'!AR54</f>
        <v>0</v>
      </c>
      <c r="AI54" s="38">
        <f>'SE-EGM-GL'!AS54+'SE-LRC-GL'!AS54</f>
        <v>0</v>
      </c>
      <c r="AJ54" s="60">
        <f>'SE-EGM-GL'!AV54+'SE-LRC-GL'!AV54</f>
        <v>0</v>
      </c>
      <c r="AK54" s="38">
        <f>'SE-EGM-GL'!AW54+'SE-LRC-GL'!AW54</f>
        <v>0</v>
      </c>
      <c r="AL54" s="60">
        <f>'SE-EGM-GL'!AX54+'SE-LRC-GL'!AX54</f>
        <v>0</v>
      </c>
      <c r="AM54" s="38">
        <f>'SE-EGM-GL'!AY54+'SE-LRC-GL'!AY54</f>
        <v>0</v>
      </c>
      <c r="AN54" s="60">
        <f>'SE-EGM-GL'!AZ54+'SE-LRC-GL'!AZ54</f>
        <v>0</v>
      </c>
      <c r="AO54" s="38">
        <f>'SE-EGM-GL'!BA54+'SE-LRC-GL'!BA54</f>
        <v>0</v>
      </c>
      <c r="AP54" s="60">
        <f>'SE-EGM-GL'!BB54+'SE-LRC-GL'!BB54</f>
        <v>0</v>
      </c>
      <c r="AQ54" s="38">
        <f>'SE-EGM-GL'!BC54+'SE-LRC-GL'!BC54</f>
        <v>0</v>
      </c>
      <c r="AR54" s="60">
        <f>'SE-EGM-GL'!BD54+'SE-LRC-GL'!BD54</f>
        <v>0</v>
      </c>
      <c r="AS54" s="38">
        <f>'SE-EGM-GL'!BE54+'SE-LRC-GL'!BE54</f>
        <v>0</v>
      </c>
      <c r="AT54" s="60">
        <f>'SE-EGM-GL'!BF54+'SE-LRC-GL'!BF54</f>
        <v>0</v>
      </c>
      <c r="AU54" s="38">
        <f>'SE-EGM-GL'!BG54+'SE-LRC-GL'!BG54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'SE-EGM-GL'!AR55+'SE-LRC-GL'!AR55</f>
        <v>0</v>
      </c>
      <c r="AI55" s="38">
        <f>'SE-EGM-GL'!AS55+'SE-LRC-GL'!AS55</f>
        <v>0</v>
      </c>
      <c r="AJ55" s="60">
        <f>'SE-EGM-GL'!AV55+'SE-LRC-GL'!AV55</f>
        <v>0</v>
      </c>
      <c r="AK55" s="38">
        <f>'SE-EGM-GL'!AW55+'SE-LRC-GL'!AW55</f>
        <v>0</v>
      </c>
      <c r="AL55" s="60">
        <f>'SE-EGM-GL'!AX55+'SE-LRC-GL'!AX55</f>
        <v>0</v>
      </c>
      <c r="AM55" s="38">
        <f>'SE-EGM-GL'!AY55+'SE-LRC-GL'!AY55</f>
        <v>0</v>
      </c>
      <c r="AN55" s="60">
        <f>'SE-EGM-GL'!AZ55+'SE-LRC-GL'!AZ55</f>
        <v>0</v>
      </c>
      <c r="AO55" s="38">
        <f>'SE-EGM-GL'!BA55+'SE-LRC-GL'!BA55</f>
        <v>0</v>
      </c>
      <c r="AP55" s="60">
        <f>'SE-EGM-GL'!BB55+'SE-LRC-GL'!BB55</f>
        <v>0</v>
      </c>
      <c r="AQ55" s="38">
        <f>'SE-EGM-GL'!BC55+'SE-LRC-GL'!BC55</f>
        <v>0</v>
      </c>
      <c r="AR55" s="60">
        <f>'SE-EGM-GL'!BD55+'SE-LRC-GL'!BD55</f>
        <v>0</v>
      </c>
      <c r="AS55" s="38">
        <f>'SE-EGM-GL'!BE55+'SE-LRC-GL'!BE55</f>
        <v>0</v>
      </c>
      <c r="AT55" s="60">
        <f>'SE-EGM-GL'!BF55+'SE-LRC-GL'!BF55</f>
        <v>0</v>
      </c>
      <c r="AU55" s="38">
        <f>'SE-EGM-GL'!BG55+'SE-LRC-GL'!BG55</f>
        <v>0</v>
      </c>
    </row>
    <row r="56" spans="1:47" x14ac:dyDescent="0.25">
      <c r="A56" s="9"/>
      <c r="B56" s="7" t="s">
        <v>61</v>
      </c>
      <c r="C56" s="6"/>
      <c r="D56" s="61">
        <f>SUM(D54:D55)</f>
        <v>886869</v>
      </c>
      <c r="E56" s="39">
        <f>SUM(E54:E55)</f>
        <v>1136642.72</v>
      </c>
      <c r="F56" s="61">
        <f t="shared" ref="F56:AD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24138.22</v>
      </c>
      <c r="J56" s="61">
        <f t="shared" si="23"/>
        <v>886869</v>
      </c>
      <c r="K56" s="39">
        <f t="shared" si="23"/>
        <v>1112504.5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ref="AE56:AK56" si="24">SUM(AE54:AE55)</f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3300586</v>
      </c>
      <c r="E59" s="38">
        <f>SUM(G59,I59,K59,M59,O59,Q59,S59,U59,W59,Y59,AA59,AC59,AE59,AG59,AI59,AK59,AM59,AO59,AQ59,AS59,AU59)</f>
        <v>122122.00999999989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3284215</v>
      </c>
      <c r="I59" s="38">
        <f>'SE-EGM-GL'!I59+'SE-LRC-GL'!I59</f>
        <v>788653.44</v>
      </c>
      <c r="J59" s="60">
        <f>'SE-EGM-GL'!J59+'SE-LRC-GL'!J59</f>
        <v>3926</v>
      </c>
      <c r="K59" s="38">
        <f>'SE-EGM-GL'!K59+'SE-LRC-GL'!K59</f>
        <v>-676256.43</v>
      </c>
      <c r="L59" s="60">
        <f>'SE-EGM-GL'!L59+'SE-LRC-GL'!L59</f>
        <v>0</v>
      </c>
      <c r="M59" s="38">
        <f>'SE-EGM-GL'!M59+'SE-LRC-GL'!M59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'SE-EGM-GL'!AR59+'SE-LRC-GL'!AR59</f>
        <v>0</v>
      </c>
      <c r="AI59" s="38">
        <f>'SE-EGM-GL'!AS59+'SE-LRC-GL'!AS59</f>
        <v>0</v>
      </c>
      <c r="AJ59" s="60">
        <f>'SE-EGM-GL'!AV59+'SE-LRC-GL'!AV59</f>
        <v>0</v>
      </c>
      <c r="AK59" s="38">
        <f>'SE-EGM-GL'!AW59+'SE-LRC-GL'!AW59</f>
        <v>0</v>
      </c>
      <c r="AL59" s="60">
        <f>'SE-EGM-GL'!AX59+'SE-LRC-GL'!AX59</f>
        <v>0</v>
      </c>
      <c r="AM59" s="38">
        <f>'SE-EGM-GL'!AY59+'SE-LRC-GL'!AY59</f>
        <v>0</v>
      </c>
      <c r="AN59" s="60">
        <f>'SE-EGM-GL'!AZ59+'SE-LRC-GL'!AZ59</f>
        <v>0</v>
      </c>
      <c r="AO59" s="38">
        <f>'SE-EGM-GL'!BA59+'SE-LRC-GL'!BA59</f>
        <v>0</v>
      </c>
      <c r="AP59" s="60">
        <f>'SE-EGM-GL'!BB59+'SE-LRC-GL'!BB59</f>
        <v>0</v>
      </c>
      <c r="AQ59" s="38">
        <f>'SE-EGM-GL'!BC59+'SE-LRC-GL'!BC59</f>
        <v>0</v>
      </c>
      <c r="AR59" s="60">
        <f>'SE-EGM-GL'!BD59+'SE-LRC-GL'!BD59</f>
        <v>0</v>
      </c>
      <c r="AS59" s="38">
        <f>'SE-EGM-GL'!BE59+'SE-LRC-GL'!BE59</f>
        <v>0</v>
      </c>
      <c r="AT59" s="60">
        <f>'SE-EGM-GL'!BF59+'SE-LRC-GL'!BF59</f>
        <v>0</v>
      </c>
      <c r="AU59" s="38">
        <f>'SE-EGM-GL'!BG59+'SE-LRC-GL'!BG59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170000</v>
      </c>
      <c r="J60" s="60">
        <f>'SE-EGM-GL'!J60+'SE-LRC-GL'!J60</f>
        <v>0</v>
      </c>
      <c r="K60" s="38">
        <f>'SE-EGM-GL'!K60+'SE-LRC-GL'!K60</f>
        <v>301099</v>
      </c>
      <c r="L60" s="60">
        <f>'SE-EGM-GL'!L60+'SE-LRC-GL'!L60</f>
        <v>0</v>
      </c>
      <c r="M60" s="38">
        <f>'SE-EGM-GL'!M60+'SE-LRC-GL'!M60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'SE-EGM-GL'!AR60+'SE-LRC-GL'!AR60</f>
        <v>0</v>
      </c>
      <c r="AI60" s="38">
        <f>'SE-EGM-GL'!AS60+'SE-LRC-GL'!AS60</f>
        <v>0</v>
      </c>
      <c r="AJ60" s="60">
        <f>'SE-EGM-GL'!AV60+'SE-LRC-GL'!AV60</f>
        <v>0</v>
      </c>
      <c r="AK60" s="38">
        <f>'SE-EGM-GL'!AW60+'SE-LRC-GL'!AW60</f>
        <v>0</v>
      </c>
      <c r="AL60" s="60">
        <f>'SE-EGM-GL'!AX60+'SE-LRC-GL'!AX60</f>
        <v>0</v>
      </c>
      <c r="AM60" s="38">
        <f>'SE-EGM-GL'!AY60+'SE-LRC-GL'!AY60</f>
        <v>0</v>
      </c>
      <c r="AN60" s="60">
        <f>'SE-EGM-GL'!AZ60+'SE-LRC-GL'!AZ60</f>
        <v>0</v>
      </c>
      <c r="AO60" s="38">
        <f>'SE-EGM-GL'!BA60+'SE-LRC-GL'!BA60</f>
        <v>0</v>
      </c>
      <c r="AP60" s="60">
        <f>'SE-EGM-GL'!BB60+'SE-LRC-GL'!BB60</f>
        <v>0</v>
      </c>
      <c r="AQ60" s="38">
        <f>'SE-EGM-GL'!BC60+'SE-LRC-GL'!BC60</f>
        <v>0</v>
      </c>
      <c r="AR60" s="60">
        <f>'SE-EGM-GL'!BD60+'SE-LRC-GL'!BD60</f>
        <v>0</v>
      </c>
      <c r="AS60" s="38">
        <f>'SE-EGM-GL'!BE60+'SE-LRC-GL'!BE60</f>
        <v>0</v>
      </c>
      <c r="AT60" s="60">
        <f>'SE-EGM-GL'!BF60+'SE-LRC-GL'!BF60</f>
        <v>0</v>
      </c>
      <c r="AU60" s="38">
        <f>'SE-EGM-GL'!BG60+'SE-LRC-GL'!BG60</f>
        <v>0</v>
      </c>
    </row>
    <row r="61" spans="1:47" x14ac:dyDescent="0.25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26">SUM(F59:F60)</f>
        <v>0</v>
      </c>
      <c r="G61" s="39">
        <f t="shared" si="26"/>
        <v>0</v>
      </c>
      <c r="H61" s="61">
        <f t="shared" si="26"/>
        <v>3284215</v>
      </c>
      <c r="I61" s="39">
        <f t="shared" si="26"/>
        <v>958653.43999999994</v>
      </c>
      <c r="J61" s="61">
        <f t="shared" si="26"/>
        <v>3926</v>
      </c>
      <c r="K61" s="39">
        <f t="shared" si="26"/>
        <v>-375157.43000000005</v>
      </c>
      <c r="L61" s="61">
        <f t="shared" si="26"/>
        <v>0</v>
      </c>
      <c r="M61" s="39">
        <f t="shared" si="26"/>
        <v>459725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-315000</v>
      </c>
      <c r="R61" s="61">
        <f t="shared" si="26"/>
        <v>8693</v>
      </c>
      <c r="S61" s="39">
        <f t="shared" si="26"/>
        <v>0</v>
      </c>
      <c r="T61" s="61">
        <f t="shared" si="26"/>
        <v>-8693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12445</v>
      </c>
      <c r="AE61" s="39">
        <f t="shared" ref="AE61:AK61" si="27">SUM(AE59:AE60)</f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-13552117</v>
      </c>
      <c r="E64" s="38">
        <f>SUM(G64,I64,K64,M64,O64,Q64,S64,U64,W64,Y64,AA64,AC64,AE64,AG64,AI64,AK64,AM64,AO64,AQ64,AS64,AU64)</f>
        <v>-3439972.3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-886869</v>
      </c>
      <c r="I64" s="38">
        <f>'SE-EGM-GL'!I64+'SE-LRC-GL'!I64</f>
        <v>-1246212</v>
      </c>
      <c r="J64" s="60">
        <f>'SE-EGM-GL'!J64+'SE-LRC-GL'!J64</f>
        <v>-12665248</v>
      </c>
      <c r="K64" s="38">
        <f>'SE-EGM-GL'!K64+'SE-LRC-GL'!K64</f>
        <v>-2193760.2999999998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19861418</v>
      </c>
      <c r="E65" s="38">
        <f>SUM(G65,I65,K65,M65,O65,Q65,S65,U65,W65,Y65,AA65,AC65,AE65,AG65,AI65,AK65,AM65,AO65,AQ65,AS65,AU65)</f>
        <v>1949228.35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886869</v>
      </c>
      <c r="I65" s="38">
        <f>'SE-EGM-GL'!I65+'SE-LRC-GL'!I65</f>
        <v>1246212</v>
      </c>
      <c r="J65" s="60">
        <f>'SE-EGM-GL'!J65+'SE-LRC-GL'!J65</f>
        <v>18974549</v>
      </c>
      <c r="K65" s="38">
        <f>'SE-EGM-GL'!K65+'SE-LRC-GL'!K65</f>
        <v>703016.35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5">
      <c r="A66" s="9"/>
      <c r="B66" s="7" t="s">
        <v>68</v>
      </c>
      <c r="C66" s="6"/>
      <c r="D66" s="61">
        <f>SUM(D64:D65)</f>
        <v>6309301</v>
      </c>
      <c r="E66" s="39">
        <f>SUM(E64:E65)</f>
        <v>-1490743.9499999997</v>
      </c>
      <c r="F66" s="61">
        <f t="shared" ref="F66:AD66" si="29">SUM(F64:F65)</f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6309301</v>
      </c>
      <c r="K66" s="39">
        <f t="shared" si="29"/>
        <v>-1490743.9499999997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ref="AE66:AK66" si="30">SUM(AE64:AE65)</f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'SE-EGM-GL'!AR70+'SE-LRC-GL'!AR70</f>
        <v>0</v>
      </c>
      <c r="AI70" s="38">
        <f>'SE-EGM-GL'!AS70+'SE-LRC-GL'!AS70</f>
        <v>0</v>
      </c>
      <c r="AJ70" s="60">
        <f>'SE-EGM-GL'!AV70+'SE-LRC-GL'!AV70</f>
        <v>0</v>
      </c>
      <c r="AK70" s="38">
        <f>'SE-EGM-GL'!AW70+'SE-LRC-GL'!AW70</f>
        <v>0</v>
      </c>
      <c r="AL70" s="60">
        <f>'SE-EGM-GL'!AX70+'SE-LRC-GL'!AX70</f>
        <v>0</v>
      </c>
      <c r="AM70" s="38">
        <f>'SE-EGM-GL'!AY70+'SE-LRC-GL'!AY70</f>
        <v>0</v>
      </c>
      <c r="AN70" s="60">
        <f>'SE-EGM-GL'!AZ70+'SE-LRC-GL'!AZ70</f>
        <v>0</v>
      </c>
      <c r="AO70" s="38">
        <f>'SE-EGM-GL'!BA70+'SE-LRC-GL'!BA70</f>
        <v>0</v>
      </c>
      <c r="AP70" s="60">
        <f>'SE-EGM-GL'!BB70+'SE-LRC-GL'!BB70</f>
        <v>0</v>
      </c>
      <c r="AQ70" s="38">
        <f>'SE-EGM-GL'!BC70+'SE-LRC-GL'!BC70</f>
        <v>0</v>
      </c>
      <c r="AR70" s="60">
        <f>'SE-EGM-GL'!BD70+'SE-LRC-GL'!BD70</f>
        <v>0</v>
      </c>
      <c r="AS70" s="38">
        <f>'SE-EGM-GL'!BE70+'SE-LRC-GL'!BE70</f>
        <v>0</v>
      </c>
      <c r="AT70" s="60">
        <f>'SE-EGM-GL'!BF70+'SE-LRC-GL'!BF70</f>
        <v>0</v>
      </c>
      <c r="AU70" s="38">
        <f>'SE-EGM-GL'!BG70+'SE-LRC-GL'!BG70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'SE-EGM-GL'!AR71+'SE-LRC-GL'!AR71</f>
        <v>0</v>
      </c>
      <c r="AI71" s="38">
        <f>'SE-EGM-GL'!AS71+'SE-LRC-GL'!AS71</f>
        <v>0</v>
      </c>
      <c r="AJ71" s="60">
        <f>'SE-EGM-GL'!AV71+'SE-LRC-GL'!AV71</f>
        <v>0</v>
      </c>
      <c r="AK71" s="38">
        <f>'SE-EGM-GL'!AW71+'SE-LRC-GL'!AW71</f>
        <v>0</v>
      </c>
      <c r="AL71" s="60">
        <f>'SE-EGM-GL'!AX71+'SE-LRC-GL'!AX71</f>
        <v>0</v>
      </c>
      <c r="AM71" s="38">
        <f>'SE-EGM-GL'!AY71+'SE-LRC-GL'!AY71</f>
        <v>0</v>
      </c>
      <c r="AN71" s="60">
        <f>'SE-EGM-GL'!AZ71+'SE-LRC-GL'!AZ71</f>
        <v>0</v>
      </c>
      <c r="AO71" s="38">
        <f>'SE-EGM-GL'!BA71+'SE-LRC-GL'!BA71</f>
        <v>0</v>
      </c>
      <c r="AP71" s="60">
        <f>'SE-EGM-GL'!BB71+'SE-LRC-GL'!BB71</f>
        <v>0</v>
      </c>
      <c r="AQ71" s="38">
        <f>'SE-EGM-GL'!BC71+'SE-LRC-GL'!BC71</f>
        <v>0</v>
      </c>
      <c r="AR71" s="60">
        <f>'SE-EGM-GL'!BD71+'SE-LRC-GL'!BD71</f>
        <v>0</v>
      </c>
      <c r="AS71" s="38">
        <f>'SE-EGM-GL'!BE71+'SE-LRC-GL'!BE71</f>
        <v>0</v>
      </c>
      <c r="AT71" s="60">
        <f>'SE-EGM-GL'!BF71+'SE-LRC-GL'!BF71</f>
        <v>0</v>
      </c>
      <c r="AU71" s="38">
        <f>'SE-EGM-GL'!BG71+'SE-LRC-GL'!BG71</f>
        <v>0</v>
      </c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D72" si="32">SUM(F70:F71)</f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ref="AE72:AK72" si="33">SUM(AE70:AE71)</f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'SE-EGM-GL'!AR73+'SE-LRC-GL'!AR73</f>
        <v>0</v>
      </c>
      <c r="AI73" s="38">
        <f>'SE-EGM-GL'!AS73+'SE-LRC-GL'!AS73</f>
        <v>0</v>
      </c>
      <c r="AJ73" s="60">
        <f>'SE-EGM-GL'!AV73+'SE-LRC-GL'!AV73</f>
        <v>0</v>
      </c>
      <c r="AK73" s="38">
        <f>'SE-EGM-GL'!AW73+'SE-LRC-GL'!AW73</f>
        <v>0</v>
      </c>
      <c r="AL73" s="60">
        <f>'SE-EGM-GL'!AX73+'SE-LRC-GL'!AX73</f>
        <v>0</v>
      </c>
      <c r="AM73" s="38">
        <f>'SE-EGM-GL'!AY73+'SE-LRC-GL'!AY73</f>
        <v>0</v>
      </c>
      <c r="AN73" s="60">
        <f>'SE-EGM-GL'!AZ73+'SE-LRC-GL'!AZ73</f>
        <v>0</v>
      </c>
      <c r="AO73" s="38">
        <f>'SE-EGM-GL'!BA73+'SE-LRC-GL'!BA73</f>
        <v>0</v>
      </c>
      <c r="AP73" s="60">
        <f>'SE-EGM-GL'!BB73+'SE-LRC-GL'!BB73</f>
        <v>0</v>
      </c>
      <c r="AQ73" s="38">
        <f>'SE-EGM-GL'!BC73+'SE-LRC-GL'!BC73</f>
        <v>0</v>
      </c>
      <c r="AR73" s="60">
        <f>'SE-EGM-GL'!BD73+'SE-LRC-GL'!BD73</f>
        <v>0</v>
      </c>
      <c r="AS73" s="38">
        <f>'SE-EGM-GL'!BE73+'SE-LRC-GL'!BE73</f>
        <v>0</v>
      </c>
      <c r="AT73" s="60">
        <f>'SE-EGM-GL'!BF73+'SE-LRC-GL'!BF73</f>
        <v>0</v>
      </c>
      <c r="AU73" s="38">
        <f>'SE-EGM-GL'!BG73+'SE-LRC-GL'!BG73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'SE-EGM-GL'!AR74+'SE-LRC-GL'!AR74</f>
        <v>0</v>
      </c>
      <c r="AI74" s="38">
        <f>'SE-EGM-GL'!AS74+'SE-LRC-GL'!AS74</f>
        <v>0</v>
      </c>
      <c r="AJ74" s="60">
        <f>'SE-EGM-GL'!AV74+'SE-LRC-GL'!AV74</f>
        <v>0</v>
      </c>
      <c r="AK74" s="38">
        <f>'SE-EGM-GL'!AW74+'SE-LRC-GL'!AW74</f>
        <v>0</v>
      </c>
      <c r="AL74" s="60">
        <f>'SE-EGM-GL'!AX74+'SE-LRC-GL'!AX74</f>
        <v>0</v>
      </c>
      <c r="AM74" s="38">
        <f>'SE-EGM-GL'!AY74+'SE-LRC-GL'!AY74</f>
        <v>0</v>
      </c>
      <c r="AN74" s="60">
        <f>'SE-EGM-GL'!AZ74+'SE-LRC-GL'!AZ74</f>
        <v>0</v>
      </c>
      <c r="AO74" s="38">
        <f>'SE-EGM-GL'!BA74+'SE-LRC-GL'!BA74</f>
        <v>0</v>
      </c>
      <c r="AP74" s="60">
        <f>'SE-EGM-GL'!BB74+'SE-LRC-GL'!BB74</f>
        <v>0</v>
      </c>
      <c r="AQ74" s="38">
        <f>'SE-EGM-GL'!BC74+'SE-LRC-GL'!BC74</f>
        <v>0</v>
      </c>
      <c r="AR74" s="60">
        <f>'SE-EGM-GL'!BD74+'SE-LRC-GL'!BD74</f>
        <v>0</v>
      </c>
      <c r="AS74" s="38">
        <f>'SE-EGM-GL'!BE74+'SE-LRC-GL'!BE74</f>
        <v>0</v>
      </c>
      <c r="AT74" s="60">
        <f>'SE-EGM-GL'!BF74+'SE-LRC-GL'!BF74</f>
        <v>0</v>
      </c>
      <c r="AU74" s="38">
        <f>'SE-EGM-GL'!BG74+'SE-LRC-GL'!BG74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'SE-EGM-GL'!AR75+'SE-LRC-GL'!AR75</f>
        <v>0</v>
      </c>
      <c r="AI75" s="38">
        <f>'SE-EGM-GL'!AS75+'SE-LRC-GL'!AS75</f>
        <v>0</v>
      </c>
      <c r="AJ75" s="60">
        <f>'SE-EGM-GL'!AV75+'SE-LRC-GL'!AV75</f>
        <v>0</v>
      </c>
      <c r="AK75" s="38">
        <f>'SE-EGM-GL'!AW75+'SE-LRC-GL'!AW75</f>
        <v>0</v>
      </c>
      <c r="AL75" s="60">
        <f>'SE-EGM-GL'!AX75+'SE-LRC-GL'!AX75</f>
        <v>0</v>
      </c>
      <c r="AM75" s="38">
        <f>'SE-EGM-GL'!AY75+'SE-LRC-GL'!AY75</f>
        <v>0</v>
      </c>
      <c r="AN75" s="60">
        <f>'SE-EGM-GL'!AZ75+'SE-LRC-GL'!AZ75</f>
        <v>0</v>
      </c>
      <c r="AO75" s="38">
        <f>'SE-EGM-GL'!BA75+'SE-LRC-GL'!BA75</f>
        <v>0</v>
      </c>
      <c r="AP75" s="60">
        <f>'SE-EGM-GL'!BB75+'SE-LRC-GL'!BB75</f>
        <v>0</v>
      </c>
      <c r="AQ75" s="38">
        <f>'SE-EGM-GL'!BC75+'SE-LRC-GL'!BC75</f>
        <v>0</v>
      </c>
      <c r="AR75" s="60">
        <f>'SE-EGM-GL'!BD75+'SE-LRC-GL'!BD75</f>
        <v>0</v>
      </c>
      <c r="AS75" s="38">
        <f>'SE-EGM-GL'!BE75+'SE-LRC-GL'!BE75</f>
        <v>0</v>
      </c>
      <c r="AT75" s="60">
        <f>'SE-EGM-GL'!BF75+'SE-LRC-GL'!BF75</f>
        <v>0</v>
      </c>
      <c r="AU75" s="38">
        <f>'SE-EGM-GL'!BG75+'SE-LRC-GL'!BG75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'SE-EGM-GL'!AR76+'SE-LRC-GL'!AR76</f>
        <v>0</v>
      </c>
      <c r="AI76" s="38">
        <f>'SE-EGM-GL'!AS76+'SE-LRC-GL'!AS76</f>
        <v>0</v>
      </c>
      <c r="AJ76" s="60">
        <f>'SE-EGM-GL'!AV76+'SE-LRC-GL'!AV76</f>
        <v>0</v>
      </c>
      <c r="AK76" s="38">
        <f>'SE-EGM-GL'!AW76+'SE-LRC-GL'!AW76</f>
        <v>0</v>
      </c>
      <c r="AL76" s="60">
        <f>'SE-EGM-GL'!AX76+'SE-LRC-GL'!AX76</f>
        <v>0</v>
      </c>
      <c r="AM76" s="38">
        <f>'SE-EGM-GL'!AY76+'SE-LRC-GL'!AY76</f>
        <v>0</v>
      </c>
      <c r="AN76" s="60">
        <f>'SE-EGM-GL'!AZ76+'SE-LRC-GL'!AZ76</f>
        <v>0</v>
      </c>
      <c r="AO76" s="38">
        <f>'SE-EGM-GL'!BA76+'SE-LRC-GL'!BA76</f>
        <v>0</v>
      </c>
      <c r="AP76" s="60">
        <f>'SE-EGM-GL'!BB76+'SE-LRC-GL'!BB76</f>
        <v>0</v>
      </c>
      <c r="AQ76" s="38">
        <f>'SE-EGM-GL'!BC76+'SE-LRC-GL'!BC76</f>
        <v>0</v>
      </c>
      <c r="AR76" s="60">
        <f>'SE-EGM-GL'!BD76+'SE-LRC-GL'!BD76</f>
        <v>0</v>
      </c>
      <c r="AS76" s="38">
        <f>'SE-EGM-GL'!BE76+'SE-LRC-GL'!BE76</f>
        <v>0</v>
      </c>
      <c r="AT76" s="60">
        <f>'SE-EGM-GL'!BF76+'SE-LRC-GL'!BF76</f>
        <v>0</v>
      </c>
      <c r="AU76" s="38">
        <f>'SE-EGM-GL'!BG76+'SE-LRC-GL'!BG76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'SE-EGM-GL'!AR77+'SE-LRC-GL'!AR77</f>
        <v>0</v>
      </c>
      <c r="AI77" s="38">
        <f>'SE-EGM-GL'!AS77+'SE-LRC-GL'!AS77</f>
        <v>0</v>
      </c>
      <c r="AJ77" s="60">
        <f>'SE-EGM-GL'!AV77+'SE-LRC-GL'!AV77</f>
        <v>0</v>
      </c>
      <c r="AK77" s="38">
        <f>'SE-EGM-GL'!AW77+'SE-LRC-GL'!AW77</f>
        <v>0</v>
      </c>
      <c r="AL77" s="60">
        <f>'SE-EGM-GL'!AX77+'SE-LRC-GL'!AX77</f>
        <v>0</v>
      </c>
      <c r="AM77" s="38">
        <f>'SE-EGM-GL'!AY77+'SE-LRC-GL'!AY77</f>
        <v>0</v>
      </c>
      <c r="AN77" s="60">
        <f>'SE-EGM-GL'!AZ77+'SE-LRC-GL'!AZ77</f>
        <v>0</v>
      </c>
      <c r="AO77" s="38">
        <f>'SE-EGM-GL'!BA77+'SE-LRC-GL'!BA77</f>
        <v>0</v>
      </c>
      <c r="AP77" s="60">
        <f>'SE-EGM-GL'!BB77+'SE-LRC-GL'!BB77</f>
        <v>0</v>
      </c>
      <c r="AQ77" s="38">
        <f>'SE-EGM-GL'!BC77+'SE-LRC-GL'!BC77</f>
        <v>0</v>
      </c>
      <c r="AR77" s="60">
        <f>'SE-EGM-GL'!BD77+'SE-LRC-GL'!BD77</f>
        <v>0</v>
      </c>
      <c r="AS77" s="38">
        <f>'SE-EGM-GL'!BE77+'SE-LRC-GL'!BE77</f>
        <v>0</v>
      </c>
      <c r="AT77" s="60">
        <f>'SE-EGM-GL'!BF77+'SE-LRC-GL'!BF77</f>
        <v>0</v>
      </c>
      <c r="AU77" s="38">
        <f>'SE-EGM-GL'!BG77+'SE-LRC-GL'!BG77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'SE-EGM-GL'!AR78+'SE-LRC-GL'!AR78</f>
        <v>0</v>
      </c>
      <c r="AI78" s="38">
        <f>'SE-EGM-GL'!AS78+'SE-LRC-GL'!AS78</f>
        <v>0</v>
      </c>
      <c r="AJ78" s="60">
        <f>'SE-EGM-GL'!AV78+'SE-LRC-GL'!AV78</f>
        <v>0</v>
      </c>
      <c r="AK78" s="38">
        <f>'SE-EGM-GL'!AW78+'SE-LRC-GL'!AW78</f>
        <v>0</v>
      </c>
      <c r="AL78" s="60">
        <f>'SE-EGM-GL'!AX78+'SE-LRC-GL'!AX78</f>
        <v>0</v>
      </c>
      <c r="AM78" s="38">
        <f>'SE-EGM-GL'!AY78+'SE-LRC-GL'!AY78</f>
        <v>0</v>
      </c>
      <c r="AN78" s="60">
        <f>'SE-EGM-GL'!AZ78+'SE-LRC-GL'!AZ78</f>
        <v>0</v>
      </c>
      <c r="AO78" s="38">
        <f>'SE-EGM-GL'!BA78+'SE-LRC-GL'!BA78</f>
        <v>0</v>
      </c>
      <c r="AP78" s="60">
        <f>'SE-EGM-GL'!BB78+'SE-LRC-GL'!BB78</f>
        <v>0</v>
      </c>
      <c r="AQ78" s="38">
        <f>'SE-EGM-GL'!BC78+'SE-LRC-GL'!BC78</f>
        <v>0</v>
      </c>
      <c r="AR78" s="60">
        <f>'SE-EGM-GL'!BD78+'SE-LRC-GL'!BD78</f>
        <v>0</v>
      </c>
      <c r="AS78" s="38">
        <f>'SE-EGM-GL'!BE78+'SE-LRC-GL'!BE78</f>
        <v>0</v>
      </c>
      <c r="AT78" s="60">
        <f>'SE-EGM-GL'!BF78+'SE-LRC-GL'!BF78</f>
        <v>0</v>
      </c>
      <c r="AU78" s="38">
        <f>'SE-EGM-GL'!BG78+'SE-LRC-GL'!BG78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'SE-EGM-GL'!AR79+'SE-LRC-GL'!AR79</f>
        <v>0</v>
      </c>
      <c r="AI79" s="38">
        <f>'SE-EGM-GL'!AS79+'SE-LRC-GL'!AS79</f>
        <v>0</v>
      </c>
      <c r="AJ79" s="60">
        <f>'SE-EGM-GL'!AV79+'SE-LRC-GL'!AV79</f>
        <v>0</v>
      </c>
      <c r="AK79" s="38">
        <f>'SE-EGM-GL'!AW79+'SE-LRC-GL'!AW79</f>
        <v>0</v>
      </c>
      <c r="AL79" s="60">
        <f>'SE-EGM-GL'!AX79+'SE-LRC-GL'!AX79</f>
        <v>0</v>
      </c>
      <c r="AM79" s="38">
        <f>'SE-EGM-GL'!AY79+'SE-LRC-GL'!AY79</f>
        <v>0</v>
      </c>
      <c r="AN79" s="60">
        <f>'SE-EGM-GL'!AZ79+'SE-LRC-GL'!AZ79</f>
        <v>0</v>
      </c>
      <c r="AO79" s="38">
        <f>'SE-EGM-GL'!BA79+'SE-LRC-GL'!BA79</f>
        <v>0</v>
      </c>
      <c r="AP79" s="60">
        <f>'SE-EGM-GL'!BB79+'SE-LRC-GL'!BB79</f>
        <v>0</v>
      </c>
      <c r="AQ79" s="38">
        <f>'SE-EGM-GL'!BC79+'SE-LRC-GL'!BC79</f>
        <v>0</v>
      </c>
      <c r="AR79" s="60">
        <f>'SE-EGM-GL'!BD79+'SE-LRC-GL'!BD79</f>
        <v>0</v>
      </c>
      <c r="AS79" s="38">
        <f>'SE-EGM-GL'!BE79+'SE-LRC-GL'!BE79</f>
        <v>0</v>
      </c>
      <c r="AT79" s="60">
        <f>'SE-EGM-GL'!BF79+'SE-LRC-GL'!BF79</f>
        <v>0</v>
      </c>
      <c r="AU79" s="38">
        <f>'SE-EGM-GL'!BG79+'SE-LRC-GL'!BG79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'SE-EGM-GL'!AR80+'SE-LRC-GL'!AR80</f>
        <v>0</v>
      </c>
      <c r="AI80" s="38">
        <f>'SE-EGM-GL'!AS80+'SE-LRC-GL'!AS80</f>
        <v>0</v>
      </c>
      <c r="AJ80" s="60">
        <f>'SE-EGM-GL'!AV80+'SE-LRC-GL'!AV80</f>
        <v>0</v>
      </c>
      <c r="AK80" s="38">
        <f>'SE-EGM-GL'!AW80+'SE-LRC-GL'!AW80</f>
        <v>0</v>
      </c>
      <c r="AL80" s="60">
        <f>'SE-EGM-GL'!AX80+'SE-LRC-GL'!AX80</f>
        <v>0</v>
      </c>
      <c r="AM80" s="38">
        <f>'SE-EGM-GL'!AY80+'SE-LRC-GL'!AY80</f>
        <v>0</v>
      </c>
      <c r="AN80" s="60">
        <f>'SE-EGM-GL'!AZ80+'SE-LRC-GL'!AZ80</f>
        <v>0</v>
      </c>
      <c r="AO80" s="38">
        <f>'SE-EGM-GL'!BA80+'SE-LRC-GL'!BA80</f>
        <v>0</v>
      </c>
      <c r="AP80" s="60">
        <f>'SE-EGM-GL'!BB80+'SE-LRC-GL'!BB80</f>
        <v>0</v>
      </c>
      <c r="AQ80" s="38">
        <f>'SE-EGM-GL'!BC80+'SE-LRC-GL'!BC80</f>
        <v>0</v>
      </c>
      <c r="AR80" s="60">
        <f>'SE-EGM-GL'!BD80+'SE-LRC-GL'!BD80</f>
        <v>0</v>
      </c>
      <c r="AS80" s="38">
        <f>'SE-EGM-GL'!BE80+'SE-LRC-GL'!BE80</f>
        <v>0</v>
      </c>
      <c r="AT80" s="60">
        <f>'SE-EGM-GL'!BF80+'SE-LRC-GL'!BF80</f>
        <v>0</v>
      </c>
      <c r="AU80" s="38">
        <f>'SE-EGM-GL'!BG80+'SE-LRC-GL'!BG80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'SE-EGM-GL'!AR81+'SE-LRC-GL'!AR81</f>
        <v>0</v>
      </c>
      <c r="AI81" s="38">
        <f>'SE-EGM-GL'!AS81+'SE-LRC-GL'!AS81</f>
        <v>0</v>
      </c>
      <c r="AJ81" s="60">
        <f>'SE-EGM-GL'!AV81+'SE-LRC-GL'!AV81</f>
        <v>0</v>
      </c>
      <c r="AK81" s="38">
        <f>'SE-EGM-GL'!AW81+'SE-LRC-GL'!AW81</f>
        <v>0</v>
      </c>
      <c r="AL81" s="60">
        <f>'SE-EGM-GL'!AX81+'SE-LRC-GL'!AX81</f>
        <v>0</v>
      </c>
      <c r="AM81" s="38">
        <f>'SE-EGM-GL'!AY81+'SE-LRC-GL'!AY81</f>
        <v>0</v>
      </c>
      <c r="AN81" s="60">
        <f>'SE-EGM-GL'!AZ81+'SE-LRC-GL'!AZ81</f>
        <v>0</v>
      </c>
      <c r="AO81" s="38">
        <f>'SE-EGM-GL'!BA81+'SE-LRC-GL'!BA81</f>
        <v>0</v>
      </c>
      <c r="AP81" s="60">
        <f>'SE-EGM-GL'!BB81+'SE-LRC-GL'!BB81</f>
        <v>0</v>
      </c>
      <c r="AQ81" s="38">
        <f>'SE-EGM-GL'!BC81+'SE-LRC-GL'!BC81</f>
        <v>0</v>
      </c>
      <c r="AR81" s="60">
        <f>'SE-EGM-GL'!BD81+'SE-LRC-GL'!BD81</f>
        <v>0</v>
      </c>
      <c r="AS81" s="38">
        <f>'SE-EGM-GL'!BE81+'SE-LRC-GL'!BE81</f>
        <v>0</v>
      </c>
      <c r="AT81" s="60">
        <f>'SE-EGM-GL'!BF81+'SE-LRC-GL'!BF81</f>
        <v>0</v>
      </c>
      <c r="AU81" s="38">
        <f>'SE-EGM-GL'!BG81+'SE-LRC-GL'!BG81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677084.7519999994</v>
      </c>
      <c r="F82" s="92">
        <f>F16+F24+F29+F36+F43+F45+F47+F49</f>
        <v>0</v>
      </c>
      <c r="G82" s="93">
        <f>SUM(G72:G81)+G16+G24+G29+G36+G43+G45+G47+G49+G51+G56+G61+G66</f>
        <v>-1135706.29</v>
      </c>
      <c r="H82" s="92">
        <f>H16+H24+H29+H36+H43+H45+H47+H49</f>
        <v>0</v>
      </c>
      <c r="I82" s="93">
        <f>SUM(I72:I81)+I16+I24+I29+I36+I43+I45+I47+I49+I51+I56+I61+I66</f>
        <v>1970343.560000001</v>
      </c>
      <c r="J82" s="92">
        <f>J16+J24+J29+J36+J43+J45+J47+J49</f>
        <v>0</v>
      </c>
      <c r="K82" s="93">
        <f>SUM(K72:K81)+K16+K24+K29+K36+K43+K45+K47+K49+K51+K56+K61+K66</f>
        <v>-1084545.3479999995</v>
      </c>
      <c r="L82" s="92">
        <f>L16+L24+L29+L36+L43+L45+L47+L49</f>
        <v>0</v>
      </c>
      <c r="M82" s="93">
        <f>SUM(M72:M81)+M16+M24+M29+M36+M43+M45+M47+M49+M51+M56+M61+M66</f>
        <v>1265939.044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159.63599999999951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  <c r="G84" s="14">
        <f>+'SE-LRC-GL'!G82+'SE-EGM-GL'!G82</f>
        <v>-1135706.29</v>
      </c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7"/>
  <sheetViews>
    <sheetView topLeftCell="A66" zoomScale="75" workbookViewId="0">
      <selection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116536014</v>
      </c>
      <c r="E11" s="38">
        <f t="shared" si="0"/>
        <v>243771993.70000011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116510269</v>
      </c>
      <c r="I11" s="38">
        <f>+BGC_GL!I11+'SE-LRC-GL'!I11+NE_GL!I11+'SE-EGM-GL'!I11</f>
        <v>239140401.19000006</v>
      </c>
      <c r="J11" s="60">
        <f>+BGC_GL!J11+'SE-LRC-GL'!J11+NE_GL!J11+'SE-EGM-GL'!J11</f>
        <v>30331</v>
      </c>
      <c r="K11" s="38">
        <f>+BGC_GL!K11+'SE-LRC-GL'!K11+NE_GL!K11+'SE-EGM-GL'!K11</f>
        <v>8730064.4400000013</v>
      </c>
      <c r="L11" s="60">
        <f>+BGC_GL!L11+'SE-LRC-GL'!L11+NE_GL!L11+'SE-EGM-GL'!L11</f>
        <v>-25724</v>
      </c>
      <c r="M11" s="38">
        <f>+BGC_GL!M11+'SE-LRC-GL'!M11+NE_GL!M11+'SE-EGM-GL'!M11</f>
        <v>-4148214.2300000004</v>
      </c>
      <c r="N11" s="60">
        <f>'SE-EGM-GL'!N11+'SE-LRC-GL'!N11</f>
        <v>0</v>
      </c>
      <c r="O11" s="38">
        <f>'SE-EGM-GL'!O11+'SE-LRC-GL'!O11</f>
        <v>12352.83</v>
      </c>
      <c r="P11" s="60">
        <f>'SE-EGM-GL'!P11+'SE-LRC-GL'!P11</f>
        <v>-44182</v>
      </c>
      <c r="Q11" s="38">
        <f>'SE-EGM-GL'!Q11+'SE-LRC-GL'!Q11</f>
        <v>-79966.44</v>
      </c>
      <c r="R11" s="60">
        <f>'SE-EGM-GL'!R11+'SE-LRC-GL'!R11</f>
        <v>52875</v>
      </c>
      <c r="S11" s="38">
        <f>'SE-EGM-GL'!S11+'SE-LRC-GL'!S11</f>
        <v>95703.75</v>
      </c>
      <c r="T11" s="60">
        <f>'SE-EGM-GL'!T11+'SE-LRC-GL'!T11</f>
        <v>0</v>
      </c>
      <c r="U11" s="38">
        <f>'SE-EGM-GL'!U11+'SE-LRC-GL'!U11</f>
        <v>0.99</v>
      </c>
      <c r="V11" s="60">
        <f>'SE-EGM-GL'!V11+'SE-LRC-GL'!V11</f>
        <v>0</v>
      </c>
      <c r="W11" s="38">
        <f>'SE-EGM-GL'!W11+'SE-LRC-GL'!W11</f>
        <v>-3.13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0</v>
      </c>
      <c r="AC11" s="38">
        <f>'SE-EGM-GL'!AC11+'SE-LRC-GL'!AC11</f>
        <v>0</v>
      </c>
      <c r="AD11" s="60">
        <f>'SE-EGM-GL'!AD11+'SE-LRC-GL'!AD11</f>
        <v>12445</v>
      </c>
      <c r="AE11" s="38">
        <f>'SE-EGM-GL'!AE11+'SE-LRC-GL'!AE11</f>
        <v>21654.3</v>
      </c>
      <c r="AF11" s="60">
        <f>'SE-EGM-GL'!AN11+'SE-LRC-GL'!AN11</f>
        <v>0</v>
      </c>
      <c r="AG11" s="38">
        <f>'SE-EGM-GL'!AO11+'SE-LRC-GL'!AO11</f>
        <v>0</v>
      </c>
      <c r="AH11" s="60">
        <f>'SE-EGM-GL'!AR11+'SE-LRC-GL'!AR11</f>
        <v>0</v>
      </c>
      <c r="AI11" s="38">
        <f>'SE-EGM-GL'!AS11+'SE-LRC-GL'!AS11</f>
        <v>0</v>
      </c>
      <c r="AJ11" s="60">
        <f>'SE-EGM-GL'!AV11+'SE-LRC-GL'!AV11</f>
        <v>0</v>
      </c>
      <c r="AK11" s="38">
        <f>'SE-EGM-GL'!AW11+'SE-LRC-GL'!AW11</f>
        <v>0</v>
      </c>
      <c r="AL11" s="60">
        <f>'SE-EGM-GL'!AX11+'SE-LRC-GL'!AX11</f>
        <v>0</v>
      </c>
      <c r="AM11" s="38">
        <f>'SE-EGM-GL'!AY11+'SE-LRC-GL'!AY11</f>
        <v>0</v>
      </c>
      <c r="AN11" s="60">
        <f>'SE-EGM-GL'!AZ11+'SE-LRC-GL'!AZ11</f>
        <v>0</v>
      </c>
      <c r="AO11" s="38">
        <f>'SE-EGM-GL'!BA11+'SE-LRC-GL'!BA11</f>
        <v>0</v>
      </c>
      <c r="AP11" s="60">
        <f>'SE-EGM-GL'!BB11+'SE-LRC-GL'!BB11</f>
        <v>0</v>
      </c>
      <c r="AQ11" s="38">
        <f>'SE-EGM-GL'!BC11+'SE-LRC-GL'!BC11</f>
        <v>0</v>
      </c>
      <c r="AR11" s="60">
        <f>'SE-EGM-GL'!BD11+'SE-LRC-GL'!BD11</f>
        <v>0</v>
      </c>
      <c r="AS11" s="38">
        <f>'SE-EGM-GL'!BE11+'SE-LRC-GL'!BE11</f>
        <v>0</v>
      </c>
      <c r="AT11" s="60">
        <f>'SE-EGM-GL'!BF11+'SE-LRC-GL'!BF11</f>
        <v>0</v>
      </c>
      <c r="AU11" s="38">
        <f>'SE-EGM-GL'!BG11+'SE-LRC-GL'!BG11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-10594664.110000001</v>
      </c>
      <c r="F12" s="60">
        <f>+BGC_GL!F12+'SE-LRC-GL'!F12+NE_GL!F12+'SE-EGM-GL'!F12</f>
        <v>0</v>
      </c>
      <c r="G12" s="38">
        <f>+BGC_GL!G12+'SE-LRC-GL'!G12+NE_GL!G12+'SE-EGM-GL'!G12</f>
        <v>-10594664.110000001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0</v>
      </c>
      <c r="L12" s="60">
        <f>+BGC_GL!L12+'SE-LRC-GL'!L12+NE_GL!L12+'SE-EGM-GL'!L12</f>
        <v>0</v>
      </c>
      <c r="M12" s="38">
        <f>+BGC_GL!M12+'SE-LRC-GL'!M12+NE_GL!M12+'SE-EGM-GL'!M12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'SE-EGM-GL'!AN12+'SE-LRC-GL'!AN12</f>
        <v>0</v>
      </c>
      <c r="AG12" s="38">
        <f>'SE-EGM-GL'!AO12+'SE-LRC-GL'!AO12</f>
        <v>0</v>
      </c>
      <c r="AH12" s="60">
        <f>'SE-EGM-GL'!AR12+'SE-LRC-GL'!AR12</f>
        <v>0</v>
      </c>
      <c r="AI12" s="38">
        <f>'SE-EGM-GL'!AS12+'SE-LRC-GL'!AS12</f>
        <v>0</v>
      </c>
      <c r="AJ12" s="60">
        <f>'SE-EGM-GL'!AV12+'SE-LRC-GL'!AV12</f>
        <v>0</v>
      </c>
      <c r="AK12" s="38">
        <f>'SE-EGM-GL'!AW12+'SE-LRC-GL'!AW12</f>
        <v>0</v>
      </c>
      <c r="AL12" s="60">
        <f>'SE-EGM-GL'!AX12+'SE-LRC-GL'!AX12</f>
        <v>0</v>
      </c>
      <c r="AM12" s="38">
        <f>'SE-EGM-GL'!AY12+'SE-LRC-GL'!AY12</f>
        <v>0</v>
      </c>
      <c r="AN12" s="60">
        <f>'SE-EGM-GL'!AZ12+'SE-LRC-GL'!AZ12</f>
        <v>0</v>
      </c>
      <c r="AO12" s="38">
        <f>'SE-EGM-GL'!BA12+'SE-LRC-GL'!BA12</f>
        <v>0</v>
      </c>
      <c r="AP12" s="60">
        <f>'SE-EGM-GL'!BB12+'SE-LRC-GL'!BB12</f>
        <v>0</v>
      </c>
      <c r="AQ12" s="38">
        <f>'SE-EGM-GL'!BC12+'SE-LRC-GL'!BC12</f>
        <v>0</v>
      </c>
      <c r="AR12" s="60">
        <f>'SE-EGM-GL'!BD12+'SE-LRC-GL'!BD12</f>
        <v>0</v>
      </c>
      <c r="AS12" s="38">
        <f>'SE-EGM-GL'!BE12+'SE-LRC-GL'!BE12</f>
        <v>0</v>
      </c>
      <c r="AT12" s="60">
        <f>'SE-EGM-GL'!BF12+'SE-LRC-GL'!BF12</f>
        <v>0</v>
      </c>
      <c r="AU12" s="38">
        <f>'SE-EGM-GL'!BG12+'SE-LRC-GL'!BG12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62509996</v>
      </c>
      <c r="E13" s="38">
        <f t="shared" si="0"/>
        <v>120063718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62724071</v>
      </c>
      <c r="I13" s="38">
        <f>+BGC_GL!I13+'SE-LRC-GL'!I13+NE_GL!I13+'SE-EGM-GL'!I13</f>
        <v>120437983</v>
      </c>
      <c r="J13" s="60">
        <f>+BGC_GL!J13+'SE-LRC-GL'!J13+NE_GL!J13+'SE-EGM-GL'!J13</f>
        <v>0</v>
      </c>
      <c r="K13" s="38">
        <f>+BGC_GL!K13+'SE-LRC-GL'!K13+NE_GL!K13+'SE-EGM-GL'!K13</f>
        <v>0</v>
      </c>
      <c r="L13" s="60">
        <f>+BGC_GL!L13+'SE-LRC-GL'!L13+NE_GL!L13+'SE-EGM-GL'!L13</f>
        <v>-214075</v>
      </c>
      <c r="M13" s="38">
        <f>+BGC_GL!M13+'SE-LRC-GL'!M13+NE_GL!M13+'SE-EGM-GL'!M13</f>
        <v>-374265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'SE-EGM-GL'!AN13+'SE-LRC-GL'!AN13</f>
        <v>0</v>
      </c>
      <c r="AG13" s="38">
        <f>'SE-EGM-GL'!AO13+'SE-LRC-GL'!AO13</f>
        <v>0</v>
      </c>
      <c r="AH13" s="60">
        <f>'SE-EGM-GL'!AR13+'SE-LRC-GL'!AR13</f>
        <v>0</v>
      </c>
      <c r="AI13" s="38">
        <f>'SE-EGM-GL'!AS13+'SE-LRC-GL'!AS13</f>
        <v>0</v>
      </c>
      <c r="AJ13" s="60">
        <f>'SE-EGM-GL'!AV13+'SE-LRC-GL'!AV13</f>
        <v>0</v>
      </c>
      <c r="AK13" s="38">
        <f>'SE-EGM-GL'!AW13+'SE-LRC-GL'!AW13</f>
        <v>0</v>
      </c>
      <c r="AL13" s="60">
        <f>'SE-EGM-GL'!AX13+'SE-LRC-GL'!AX13</f>
        <v>0</v>
      </c>
      <c r="AM13" s="38">
        <f>'SE-EGM-GL'!AY13+'SE-LRC-GL'!AY13</f>
        <v>0</v>
      </c>
      <c r="AN13" s="60">
        <f>'SE-EGM-GL'!AZ13+'SE-LRC-GL'!AZ13</f>
        <v>0</v>
      </c>
      <c r="AO13" s="38">
        <f>'SE-EGM-GL'!BA13+'SE-LRC-GL'!BA13</f>
        <v>0</v>
      </c>
      <c r="AP13" s="60">
        <f>'SE-EGM-GL'!BB13+'SE-LRC-GL'!BB13</f>
        <v>0</v>
      </c>
      <c r="AQ13" s="38">
        <f>'SE-EGM-GL'!BC13+'SE-LRC-GL'!BC13</f>
        <v>0</v>
      </c>
      <c r="AR13" s="60">
        <f>'SE-EGM-GL'!BD13+'SE-LRC-GL'!BD13</f>
        <v>0</v>
      </c>
      <c r="AS13" s="38">
        <f>'SE-EGM-GL'!BE13+'SE-LRC-GL'!BE13</f>
        <v>0</v>
      </c>
      <c r="AT13" s="60">
        <f>'SE-EGM-GL'!BF13+'SE-LRC-GL'!BF13</f>
        <v>0</v>
      </c>
      <c r="AU13" s="38">
        <f>'SE-EGM-GL'!BG13+'SE-LRC-GL'!BG13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+BGC_GL!L14+'SE-LRC-GL'!L14+NE_GL!L14+'SE-EGM-GL'!L14</f>
        <v>0</v>
      </c>
      <c r="M14" s="38">
        <f>+BGC_GL!M14+'SE-LRC-GL'!M14+NE_GL!M14+'SE-EGM-GL'!M14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'SE-EGM-GL'!AN14+'SE-LRC-GL'!AN14</f>
        <v>0</v>
      </c>
      <c r="AG14" s="38">
        <f>'SE-EGM-GL'!AO14+'SE-LRC-GL'!AO14</f>
        <v>0</v>
      </c>
      <c r="AH14" s="60">
        <f>'SE-EGM-GL'!AR14+'SE-LRC-GL'!AR14</f>
        <v>0</v>
      </c>
      <c r="AI14" s="38">
        <f>'SE-EGM-GL'!AS14+'SE-LRC-GL'!AS14</f>
        <v>0</v>
      </c>
      <c r="AJ14" s="60">
        <f>'SE-EGM-GL'!AV14+'SE-LRC-GL'!AV14</f>
        <v>0</v>
      </c>
      <c r="AK14" s="38">
        <f>'SE-EGM-GL'!AW14+'SE-LRC-GL'!AW14</f>
        <v>0</v>
      </c>
      <c r="AL14" s="60">
        <f>'SE-EGM-GL'!AX14+'SE-LRC-GL'!AX14</f>
        <v>0</v>
      </c>
      <c r="AM14" s="38">
        <f>'SE-EGM-GL'!AY14+'SE-LRC-GL'!AY14</f>
        <v>0</v>
      </c>
      <c r="AN14" s="60">
        <f>'SE-EGM-GL'!AZ14+'SE-LRC-GL'!AZ14</f>
        <v>0</v>
      </c>
      <c r="AO14" s="38">
        <f>'SE-EGM-GL'!BA14+'SE-LRC-GL'!BA14</f>
        <v>0</v>
      </c>
      <c r="AP14" s="60">
        <f>'SE-EGM-GL'!BB14+'SE-LRC-GL'!BB14</f>
        <v>0</v>
      </c>
      <c r="AQ14" s="38">
        <f>'SE-EGM-GL'!BC14+'SE-LRC-GL'!BC14</f>
        <v>0</v>
      </c>
      <c r="AR14" s="60">
        <f>'SE-EGM-GL'!BD14+'SE-LRC-GL'!BD14</f>
        <v>0</v>
      </c>
      <c r="AS14" s="38">
        <f>'SE-EGM-GL'!BE14+'SE-LRC-GL'!BE14</f>
        <v>0</v>
      </c>
      <c r="AT14" s="60">
        <f>'SE-EGM-GL'!BF14+'SE-LRC-GL'!BF14</f>
        <v>0</v>
      </c>
      <c r="AU14" s="38">
        <f>'SE-EGM-GL'!BG14+'SE-LRC-GL'!BG14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+BGC_GL!F15+'SE-LRC-GL'!F15+NE_GL!F15+'SE-EGM-GL'!F15</f>
        <v>0</v>
      </c>
      <c r="G15" s="82">
        <f>+BGC_GL!G15+'SE-LRC-GL'!G15+NE_GL!G15+'SE-EGM-GL'!G15</f>
        <v>0</v>
      </c>
      <c r="H15" s="81">
        <f>+BGC_GL!H15+'SE-LRC-GL'!H15+NE_GL!H15+'SE-EGM-GL'!H15</f>
        <v>0</v>
      </c>
      <c r="I15" s="82">
        <f>+BGC_GL!I15+'SE-LRC-GL'!I15+NE_GL!I15+'SE-EGM-GL'!I15</f>
        <v>0</v>
      </c>
      <c r="J15" s="81">
        <f>+BGC_GL!J15+'SE-LRC-GL'!J15+NE_GL!J15+'SE-EGM-GL'!J15</f>
        <v>0</v>
      </c>
      <c r="K15" s="82">
        <f>+BGC_GL!K15+'SE-LRC-GL'!K15+NE_GL!K15+'SE-EGM-GL'!K15</f>
        <v>0</v>
      </c>
      <c r="L15" s="81">
        <f>+BGC_GL!L15+'SE-LRC-GL'!L15+NE_GL!L15+'SE-EGM-GL'!L15</f>
        <v>0</v>
      </c>
      <c r="M15" s="82">
        <f>+BGC_GL!M15+'SE-LRC-GL'!M15+NE_GL!M15+'SE-EGM-GL'!M15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'SE-EGM-GL'!AN15+'SE-LRC-GL'!AN15</f>
        <v>0</v>
      </c>
      <c r="AG15" s="38">
        <f>'SE-EGM-GL'!AO15+'SE-LRC-GL'!AO15</f>
        <v>0</v>
      </c>
      <c r="AH15" s="60">
        <f>'SE-EGM-GL'!AR15+'SE-LRC-GL'!AR15</f>
        <v>0</v>
      </c>
      <c r="AI15" s="38">
        <f>'SE-EGM-GL'!AS15+'SE-LRC-GL'!AS15</f>
        <v>0</v>
      </c>
      <c r="AJ15" s="60">
        <f>'SE-EGM-GL'!AV15+'SE-LRC-GL'!AV15</f>
        <v>0</v>
      </c>
      <c r="AK15" s="38">
        <f>'SE-EGM-GL'!AW15+'SE-LRC-GL'!AW15</f>
        <v>0</v>
      </c>
      <c r="AL15" s="60">
        <f>'SE-EGM-GL'!AX15+'SE-LRC-GL'!AX15</f>
        <v>0</v>
      </c>
      <c r="AM15" s="38">
        <f>'SE-EGM-GL'!AY15+'SE-LRC-GL'!AY15</f>
        <v>0</v>
      </c>
      <c r="AN15" s="60">
        <f>'SE-EGM-GL'!AZ15+'SE-LRC-GL'!AZ15</f>
        <v>0</v>
      </c>
      <c r="AO15" s="38">
        <f>'SE-EGM-GL'!BA15+'SE-LRC-GL'!BA15</f>
        <v>0</v>
      </c>
      <c r="AP15" s="60">
        <f>'SE-EGM-GL'!BB15+'SE-LRC-GL'!BB15</f>
        <v>0</v>
      </c>
      <c r="AQ15" s="38">
        <f>'SE-EGM-GL'!BC15+'SE-LRC-GL'!BC15</f>
        <v>0</v>
      </c>
      <c r="AR15" s="60">
        <f>'SE-EGM-GL'!BD15+'SE-LRC-GL'!BD15</f>
        <v>0</v>
      </c>
      <c r="AS15" s="38">
        <f>'SE-EGM-GL'!BE15+'SE-LRC-GL'!BE15</f>
        <v>0</v>
      </c>
      <c r="AT15" s="60">
        <f>'SE-EGM-GL'!BF15+'SE-LRC-GL'!BF15</f>
        <v>0</v>
      </c>
      <c r="AU15" s="38">
        <f>'SE-EGM-GL'!BG15+'SE-LRC-GL'!BG15</f>
        <v>0</v>
      </c>
    </row>
    <row r="16" spans="1:47" x14ac:dyDescent="0.25">
      <c r="A16" s="9"/>
      <c r="B16" s="7" t="s">
        <v>34</v>
      </c>
      <c r="C16" s="6"/>
      <c r="D16" s="61">
        <f>SUM(D11:D15)</f>
        <v>179046010</v>
      </c>
      <c r="E16" s="39">
        <f>SUM(E11:E15)</f>
        <v>353241047.59000009</v>
      </c>
      <c r="F16" s="61">
        <f t="shared" ref="F16:AD16" si="1">SUM(F11:F15)</f>
        <v>0</v>
      </c>
      <c r="G16" s="39">
        <f t="shared" si="1"/>
        <v>-10594664.110000001</v>
      </c>
      <c r="H16" s="61">
        <f t="shared" ref="H16:M16" si="2">SUM(H11:H15)</f>
        <v>179234340</v>
      </c>
      <c r="I16" s="39">
        <f t="shared" si="2"/>
        <v>359578384.19000006</v>
      </c>
      <c r="J16" s="61">
        <f t="shared" si="2"/>
        <v>30331</v>
      </c>
      <c r="K16" s="39">
        <f t="shared" si="2"/>
        <v>8730064.4400000013</v>
      </c>
      <c r="L16" s="61">
        <f t="shared" si="2"/>
        <v>-239799</v>
      </c>
      <c r="M16" s="39">
        <f t="shared" si="2"/>
        <v>-4522479.2300000004</v>
      </c>
      <c r="N16" s="61">
        <f t="shared" si="1"/>
        <v>0</v>
      </c>
      <c r="O16" s="39">
        <f t="shared" si="1"/>
        <v>12352.83</v>
      </c>
      <c r="P16" s="61">
        <f t="shared" si="1"/>
        <v>-44182</v>
      </c>
      <c r="Q16" s="39">
        <f t="shared" si="1"/>
        <v>-79966.44</v>
      </c>
      <c r="R16" s="61">
        <f t="shared" si="1"/>
        <v>52875</v>
      </c>
      <c r="S16" s="39">
        <f t="shared" si="1"/>
        <v>95703.75</v>
      </c>
      <c r="T16" s="61">
        <f t="shared" si="1"/>
        <v>0</v>
      </c>
      <c r="U16" s="39">
        <f t="shared" si="1"/>
        <v>0.99</v>
      </c>
      <c r="V16" s="61">
        <f t="shared" si="1"/>
        <v>0</v>
      </c>
      <c r="W16" s="39">
        <f t="shared" si="1"/>
        <v>-3.13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12445</v>
      </c>
      <c r="AE16" s="39">
        <f t="shared" ref="AE16:AK16" si="3">SUM(AE11:AE15)</f>
        <v>21654.3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-107567578</v>
      </c>
      <c r="E19" s="38">
        <f t="shared" si="5"/>
        <v>-199560528.14000002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-106700377</v>
      </c>
      <c r="I19" s="68">
        <f>+BGC_GL!I19+'SE-LRC-GL'!I19+NE_GL!I19+'SE-EGM-GL'!I19</f>
        <v>-194845433.59</v>
      </c>
      <c r="J19" s="64">
        <f>+BGC_GL!J19+'SE-LRC-GL'!J19+NE_GL!J19+'SE-EGM-GL'!J19</f>
        <v>-776167</v>
      </c>
      <c r="K19" s="68">
        <f>+BGC_GL!K19+'SE-LRC-GL'!K19+NE_GL!K19+'SE-EGM-GL'!K19</f>
        <v>-4382168.9700000007</v>
      </c>
      <c r="L19" s="64">
        <f>+BGC_GL!L19+'SE-LRC-GL'!L19+NE_GL!L19+'SE-EGM-GL'!L19</f>
        <v>-91034</v>
      </c>
      <c r="M19" s="68">
        <f>+BGC_GL!M19+'SE-LRC-GL'!M19+NE_GL!M19+'SE-EGM-GL'!M19</f>
        <v>-321011.27</v>
      </c>
      <c r="N19" s="60">
        <f>'SE-EGM-GL'!N19+'SE-LRC-GL'!N19</f>
        <v>0</v>
      </c>
      <c r="O19" s="38">
        <f>'SE-EGM-GL'!O19+'SE-LRC-GL'!O19</f>
        <v>-12115.53</v>
      </c>
      <c r="P19" s="60">
        <f>'SE-EGM-GL'!P19+'SE-LRC-GL'!P19</f>
        <v>0</v>
      </c>
      <c r="Q19" s="38">
        <f>'SE-EGM-GL'!Q19+'SE-LRC-GL'!Q19</f>
        <v>0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-2</v>
      </c>
      <c r="W19" s="38">
        <f>'SE-EGM-GL'!W19+'SE-LRC-GL'!W19</f>
        <v>101.53</v>
      </c>
      <c r="X19" s="60">
        <f>'SE-EGM-GL'!X19+'SE-LRC-GL'!X19</f>
        <v>2</v>
      </c>
      <c r="Y19" s="38">
        <f>'SE-EGM-GL'!Y19+'SE-LRC-GL'!Y19</f>
        <v>3.5</v>
      </c>
      <c r="Z19" s="60">
        <f>'SE-EGM-GL'!Z19+'SE-LRC-GL'!Z19</f>
        <v>0</v>
      </c>
      <c r="AA19" s="38">
        <f>'SE-EGM-GL'!AA19+'SE-LRC-GL'!AA19</f>
        <v>96.19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0</v>
      </c>
      <c r="AF19" s="60">
        <f>'SE-EGM-GL'!AN19+'SE-LRC-GL'!AN19</f>
        <v>0</v>
      </c>
      <c r="AG19" s="38">
        <f>'SE-EGM-GL'!AO19+'SE-LRC-GL'!AO19</f>
        <v>0</v>
      </c>
      <c r="AH19" s="60">
        <f>'SE-EGM-GL'!AR19+'SE-LRC-GL'!AR19</f>
        <v>0</v>
      </c>
      <c r="AI19" s="38">
        <f>'SE-EGM-GL'!AS19+'SE-LRC-GL'!AS19</f>
        <v>0</v>
      </c>
      <c r="AJ19" s="60">
        <f>'SE-EGM-GL'!AV19+'SE-LRC-GL'!AV19</f>
        <v>0</v>
      </c>
      <c r="AK19" s="38">
        <f>'SE-EGM-GL'!AW19+'SE-LRC-GL'!AW19</f>
        <v>0</v>
      </c>
      <c r="AL19" s="60">
        <f>'SE-EGM-GL'!AX19+'SE-LRC-GL'!AX19</f>
        <v>0</v>
      </c>
      <c r="AM19" s="38">
        <f>'SE-EGM-GL'!AY19+'SE-LRC-GL'!AY19</f>
        <v>0</v>
      </c>
      <c r="AN19" s="60">
        <f>'SE-EGM-GL'!AZ19+'SE-LRC-GL'!AZ19</f>
        <v>0</v>
      </c>
      <c r="AO19" s="38">
        <f>'SE-EGM-GL'!BA19+'SE-LRC-GL'!BA19</f>
        <v>0</v>
      </c>
      <c r="AP19" s="60">
        <f>'SE-EGM-GL'!BB19+'SE-LRC-GL'!BB19</f>
        <v>0</v>
      </c>
      <c r="AQ19" s="38">
        <f>'SE-EGM-GL'!BC19+'SE-LRC-GL'!BC19</f>
        <v>0</v>
      </c>
      <c r="AR19" s="60">
        <f>'SE-EGM-GL'!BD19+'SE-LRC-GL'!BD19</f>
        <v>0</v>
      </c>
      <c r="AS19" s="38">
        <f>'SE-EGM-GL'!BE19+'SE-LRC-GL'!BE19</f>
        <v>0</v>
      </c>
      <c r="AT19" s="60">
        <f>'SE-EGM-GL'!BF19+'SE-LRC-GL'!BF19</f>
        <v>0</v>
      </c>
      <c r="AU19" s="38">
        <f>'SE-EGM-GL'!BG19+'SE-LRC-GL'!BG19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2641263.9899999998</v>
      </c>
      <c r="F20" s="60">
        <f>+BGC_GL!F20+'SE-LRC-GL'!F20+NE_GL!F20+'SE-EGM-GL'!F20</f>
        <v>0</v>
      </c>
      <c r="G20" s="38">
        <f>+BGC_GL!G20+'SE-LRC-GL'!G20+NE_GL!G20+'SE-EGM-GL'!G20</f>
        <v>2641263.9899999998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+BGC_GL!L20+'SE-LRC-GL'!L20+NE_GL!L20+'SE-EGM-GL'!L20</f>
        <v>0</v>
      </c>
      <c r="M20" s="38">
        <f>+BGC_GL!M20+'SE-LRC-GL'!M20+NE_GL!M20+'SE-EGM-GL'!M20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'SE-EGM-GL'!AN20+'SE-LRC-GL'!AN20</f>
        <v>0</v>
      </c>
      <c r="AG20" s="38">
        <f>'SE-EGM-GL'!AO20+'SE-LRC-GL'!AO20</f>
        <v>0</v>
      </c>
      <c r="AH20" s="60">
        <f>'SE-EGM-GL'!AR20+'SE-LRC-GL'!AR20</f>
        <v>0</v>
      </c>
      <c r="AI20" s="38">
        <f>'SE-EGM-GL'!AS20+'SE-LRC-GL'!AS20</f>
        <v>0</v>
      </c>
      <c r="AJ20" s="60">
        <f>'SE-EGM-GL'!AV20+'SE-LRC-GL'!AV20</f>
        <v>0</v>
      </c>
      <c r="AK20" s="38">
        <f>'SE-EGM-GL'!AW20+'SE-LRC-GL'!AW20</f>
        <v>0</v>
      </c>
      <c r="AL20" s="60">
        <f>'SE-EGM-GL'!AX20+'SE-LRC-GL'!AX20</f>
        <v>0</v>
      </c>
      <c r="AM20" s="38">
        <f>'SE-EGM-GL'!AY20+'SE-LRC-GL'!AY20</f>
        <v>0</v>
      </c>
      <c r="AN20" s="60">
        <f>'SE-EGM-GL'!AZ20+'SE-LRC-GL'!AZ20</f>
        <v>0</v>
      </c>
      <c r="AO20" s="38">
        <f>'SE-EGM-GL'!BA20+'SE-LRC-GL'!BA20</f>
        <v>0</v>
      </c>
      <c r="AP20" s="60">
        <f>'SE-EGM-GL'!BB20+'SE-LRC-GL'!BB20</f>
        <v>0</v>
      </c>
      <c r="AQ20" s="38">
        <f>'SE-EGM-GL'!BC20+'SE-LRC-GL'!BC20</f>
        <v>0</v>
      </c>
      <c r="AR20" s="60">
        <f>'SE-EGM-GL'!BD20+'SE-LRC-GL'!BD20</f>
        <v>0</v>
      </c>
      <c r="AS20" s="38">
        <f>'SE-EGM-GL'!BE20+'SE-LRC-GL'!BE20</f>
        <v>0</v>
      </c>
      <c r="AT20" s="60">
        <f>'SE-EGM-GL'!BF20+'SE-LRC-GL'!BF20</f>
        <v>0</v>
      </c>
      <c r="AU20" s="38">
        <f>'SE-EGM-GL'!BG20+'SE-LRC-GL'!BG20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5"/>
        <v>-63062698</v>
      </c>
      <c r="E21" s="38">
        <f t="shared" si="5"/>
        <v>-121005117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-63262214</v>
      </c>
      <c r="I21" s="38">
        <f>+BGC_GL!I21+'SE-LRC-GL'!I21+NE_GL!I21+'SE-EGM-GL'!I21</f>
        <v>-121338002</v>
      </c>
      <c r="J21" s="60">
        <f>+BGC_GL!J21+'SE-LRC-GL'!J21+NE_GL!J21+'SE-EGM-GL'!J21</f>
        <v>0</v>
      </c>
      <c r="K21" s="38">
        <f>+BGC_GL!K21+'SE-LRC-GL'!K21+NE_GL!K21+'SE-EGM-GL'!K21</f>
        <v>0</v>
      </c>
      <c r="L21" s="60">
        <f>+BGC_GL!L21+'SE-LRC-GL'!L21+NE_GL!L21+'SE-EGM-GL'!L21</f>
        <v>199516</v>
      </c>
      <c r="M21" s="38">
        <f>+BGC_GL!M21+'SE-LRC-GL'!M21+NE_GL!M21+'SE-EGM-GL'!M21</f>
        <v>332885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'SE-EGM-GL'!AN21+'SE-LRC-GL'!AN21</f>
        <v>0</v>
      </c>
      <c r="AG21" s="38">
        <f>'SE-EGM-GL'!AO21+'SE-LRC-GL'!AO21</f>
        <v>0</v>
      </c>
      <c r="AH21" s="60">
        <f>'SE-EGM-GL'!AR21+'SE-LRC-GL'!AR21</f>
        <v>0</v>
      </c>
      <c r="AI21" s="38">
        <f>'SE-EGM-GL'!AS21+'SE-LRC-GL'!AS21</f>
        <v>0</v>
      </c>
      <c r="AJ21" s="60">
        <f>'SE-EGM-GL'!AV21+'SE-LRC-GL'!AV21</f>
        <v>0</v>
      </c>
      <c r="AK21" s="38">
        <f>'SE-EGM-GL'!AW21+'SE-LRC-GL'!AW21</f>
        <v>0</v>
      </c>
      <c r="AL21" s="60">
        <f>'SE-EGM-GL'!AX21+'SE-LRC-GL'!AX21</f>
        <v>0</v>
      </c>
      <c r="AM21" s="38">
        <f>'SE-EGM-GL'!AY21+'SE-LRC-GL'!AY21</f>
        <v>0</v>
      </c>
      <c r="AN21" s="60">
        <f>'SE-EGM-GL'!AZ21+'SE-LRC-GL'!AZ21</f>
        <v>0</v>
      </c>
      <c r="AO21" s="38">
        <f>'SE-EGM-GL'!BA21+'SE-LRC-GL'!BA21</f>
        <v>0</v>
      </c>
      <c r="AP21" s="60">
        <f>'SE-EGM-GL'!BB21+'SE-LRC-GL'!BB21</f>
        <v>0</v>
      </c>
      <c r="AQ21" s="38">
        <f>'SE-EGM-GL'!BC21+'SE-LRC-GL'!BC21</f>
        <v>0</v>
      </c>
      <c r="AR21" s="60">
        <f>'SE-EGM-GL'!BD21+'SE-LRC-GL'!BD21</f>
        <v>0</v>
      </c>
      <c r="AS21" s="38">
        <f>'SE-EGM-GL'!BE21+'SE-LRC-GL'!BE21</f>
        <v>0</v>
      </c>
      <c r="AT21" s="60">
        <f>'SE-EGM-GL'!BF21+'SE-LRC-GL'!BF21</f>
        <v>0</v>
      </c>
      <c r="AU21" s="38">
        <f>'SE-EGM-GL'!BG21+'SE-LRC-GL'!BG21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+BGC_GL!L22+'SE-LRC-GL'!L22+NE_GL!L22+'SE-EGM-GL'!L22</f>
        <v>0</v>
      </c>
      <c r="M22" s="38">
        <f>+BGC_GL!M22+'SE-LRC-GL'!M22+NE_GL!M22+'SE-EGM-GL'!M22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'SE-EGM-GL'!AN22+'SE-LRC-GL'!AN22</f>
        <v>0</v>
      </c>
      <c r="AG22" s="38">
        <f>'SE-EGM-GL'!AO22+'SE-LRC-GL'!AO22</f>
        <v>0</v>
      </c>
      <c r="AH22" s="60">
        <f>'SE-EGM-GL'!AR22+'SE-LRC-GL'!AR22</f>
        <v>0</v>
      </c>
      <c r="AI22" s="38">
        <f>'SE-EGM-GL'!AS22+'SE-LRC-GL'!AS22</f>
        <v>0</v>
      </c>
      <c r="AJ22" s="60">
        <f>'SE-EGM-GL'!AV22+'SE-LRC-GL'!AV22</f>
        <v>0</v>
      </c>
      <c r="AK22" s="38">
        <f>'SE-EGM-GL'!AW22+'SE-LRC-GL'!AW22</f>
        <v>0</v>
      </c>
      <c r="AL22" s="60">
        <f>'SE-EGM-GL'!AX22+'SE-LRC-GL'!AX22</f>
        <v>0</v>
      </c>
      <c r="AM22" s="38">
        <f>'SE-EGM-GL'!AY22+'SE-LRC-GL'!AY22</f>
        <v>0</v>
      </c>
      <c r="AN22" s="60">
        <f>'SE-EGM-GL'!AZ22+'SE-LRC-GL'!AZ22</f>
        <v>0</v>
      </c>
      <c r="AO22" s="38">
        <f>'SE-EGM-GL'!BA22+'SE-LRC-GL'!BA22</f>
        <v>0</v>
      </c>
      <c r="AP22" s="60">
        <f>'SE-EGM-GL'!BB22+'SE-LRC-GL'!BB22</f>
        <v>0</v>
      </c>
      <c r="AQ22" s="38">
        <f>'SE-EGM-GL'!BC22+'SE-LRC-GL'!BC22</f>
        <v>0</v>
      </c>
      <c r="AR22" s="60">
        <f>'SE-EGM-GL'!BD22+'SE-LRC-GL'!BD22</f>
        <v>0</v>
      </c>
      <c r="AS22" s="38">
        <f>'SE-EGM-GL'!BE22+'SE-LRC-GL'!BE22</f>
        <v>0</v>
      </c>
      <c r="AT22" s="60">
        <f>'SE-EGM-GL'!BF22+'SE-LRC-GL'!BF22</f>
        <v>0</v>
      </c>
      <c r="AU22" s="38">
        <f>'SE-EGM-GL'!BG22+'SE-LRC-GL'!BG22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5"/>
        <v>897924</v>
      </c>
      <c r="E23" s="38">
        <f t="shared" si="5"/>
        <v>1607811.3019999999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1038489</v>
      </c>
      <c r="I23" s="82">
        <f>+BGC_GL!I23+'SE-LRC-GL'!I23+NE_GL!I23+'SE-EGM-GL'!I23</f>
        <v>1856818.34</v>
      </c>
      <c r="J23" s="81">
        <f>+BGC_GL!J23+'SE-LRC-GL'!J23+NE_GL!J23+'SE-EGM-GL'!J23</f>
        <v>-176782</v>
      </c>
      <c r="K23" s="82">
        <f>+BGC_GL!K23+'SE-LRC-GL'!K23+NE_GL!K23+'SE-EGM-GL'!K23</f>
        <v>-316858.89400000003</v>
      </c>
      <c r="L23" s="81">
        <f>+BGC_GL!L23+'SE-LRC-GL'!L23+NE_GL!L23+'SE-EGM-GL'!L23</f>
        <v>34742</v>
      </c>
      <c r="M23" s="82">
        <f>+BGC_GL!M23+'SE-LRC-GL'!M23+NE_GL!M23+'SE-EGM-GL'!M23</f>
        <v>62118.696000000004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0</v>
      </c>
      <c r="X23" s="60">
        <f>'SE-EGM-GL'!X23+'SE-LRC-GL'!X23</f>
        <v>1500</v>
      </c>
      <c r="Y23" s="38">
        <f>'SE-EGM-GL'!Y23+'SE-LRC-GL'!Y23</f>
        <v>5776.41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-25</v>
      </c>
      <c r="AE23" s="38">
        <f>'SE-EGM-GL'!AE23+'SE-LRC-GL'!AE23</f>
        <v>-43.25</v>
      </c>
      <c r="AF23" s="60">
        <f>'SE-EGM-GL'!AN23+'SE-LRC-GL'!AN23</f>
        <v>0</v>
      </c>
      <c r="AG23" s="38">
        <f>'SE-EGM-GL'!AO23+'SE-LRC-GL'!AO23</f>
        <v>0</v>
      </c>
      <c r="AH23" s="60">
        <f>'SE-EGM-GL'!AR23+'SE-LRC-GL'!AR23</f>
        <v>0</v>
      </c>
      <c r="AI23" s="38">
        <f>'SE-EGM-GL'!AS23+'SE-LRC-GL'!AS23</f>
        <v>0</v>
      </c>
      <c r="AJ23" s="60">
        <f>'SE-EGM-GL'!AV23+'SE-LRC-GL'!AV23</f>
        <v>0</v>
      </c>
      <c r="AK23" s="38">
        <f>'SE-EGM-GL'!AW23+'SE-LRC-GL'!AW23</f>
        <v>0</v>
      </c>
      <c r="AL23" s="60">
        <f>'SE-EGM-GL'!AX23+'SE-LRC-GL'!AX23</f>
        <v>0</v>
      </c>
      <c r="AM23" s="38">
        <f>'SE-EGM-GL'!AY23+'SE-LRC-GL'!AY23</f>
        <v>0</v>
      </c>
      <c r="AN23" s="60">
        <f>'SE-EGM-GL'!AZ23+'SE-LRC-GL'!AZ23</f>
        <v>0</v>
      </c>
      <c r="AO23" s="38">
        <f>'SE-EGM-GL'!BA23+'SE-LRC-GL'!BA23</f>
        <v>0</v>
      </c>
      <c r="AP23" s="60">
        <f>'SE-EGM-GL'!BB23+'SE-LRC-GL'!BB23</f>
        <v>0</v>
      </c>
      <c r="AQ23" s="38">
        <f>'SE-EGM-GL'!BC23+'SE-LRC-GL'!BC23</f>
        <v>0</v>
      </c>
      <c r="AR23" s="60">
        <f>'SE-EGM-GL'!BD23+'SE-LRC-GL'!BD23</f>
        <v>0</v>
      </c>
      <c r="AS23" s="38">
        <f>'SE-EGM-GL'!BE23+'SE-LRC-GL'!BE23</f>
        <v>0</v>
      </c>
      <c r="AT23" s="60">
        <f>'SE-EGM-GL'!BF23+'SE-LRC-GL'!BF23</f>
        <v>0</v>
      </c>
      <c r="AU23" s="38">
        <f>'SE-EGM-GL'!BG23+'SE-LRC-GL'!BG23</f>
        <v>0</v>
      </c>
    </row>
    <row r="24" spans="1:47" x14ac:dyDescent="0.25">
      <c r="A24" s="9"/>
      <c r="B24" s="7" t="s">
        <v>37</v>
      </c>
      <c r="C24" s="6"/>
      <c r="D24" s="61">
        <f>SUM(D19:D23)</f>
        <v>-169732352</v>
      </c>
      <c r="E24" s="39">
        <f>SUM(E19:E23)</f>
        <v>-316316569.84799999</v>
      </c>
      <c r="F24" s="61">
        <f t="shared" ref="F24:AD24" si="6">SUM(F19:F23)</f>
        <v>0</v>
      </c>
      <c r="G24" s="39">
        <f t="shared" si="6"/>
        <v>2641263.9899999998</v>
      </c>
      <c r="H24" s="61">
        <f t="shared" ref="H24:M24" si="7">SUM(H19:H23)</f>
        <v>-168924102</v>
      </c>
      <c r="I24" s="39">
        <f t="shared" si="7"/>
        <v>-314326617.25000006</v>
      </c>
      <c r="J24" s="61">
        <f t="shared" si="7"/>
        <v>-952949</v>
      </c>
      <c r="K24" s="39">
        <f t="shared" si="7"/>
        <v>-4699027.864000001</v>
      </c>
      <c r="L24" s="61">
        <f t="shared" si="7"/>
        <v>143224</v>
      </c>
      <c r="M24" s="39">
        <f t="shared" si="7"/>
        <v>73992.425999999978</v>
      </c>
      <c r="N24" s="61">
        <f t="shared" si="6"/>
        <v>0</v>
      </c>
      <c r="O24" s="39">
        <f t="shared" si="6"/>
        <v>-12115.53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si="6"/>
        <v>0</v>
      </c>
      <c r="V24" s="61">
        <f t="shared" si="6"/>
        <v>-2</v>
      </c>
      <c r="W24" s="39">
        <f t="shared" si="6"/>
        <v>101.53</v>
      </c>
      <c r="X24" s="61">
        <f t="shared" si="6"/>
        <v>1502</v>
      </c>
      <c r="Y24" s="39">
        <f t="shared" si="6"/>
        <v>5779.91</v>
      </c>
      <c r="Z24" s="61">
        <f t="shared" si="6"/>
        <v>0</v>
      </c>
      <c r="AA24" s="39">
        <f t="shared" si="6"/>
        <v>96.19</v>
      </c>
      <c r="AB24" s="61">
        <f t="shared" si="6"/>
        <v>0</v>
      </c>
      <c r="AC24" s="39">
        <f t="shared" si="6"/>
        <v>0</v>
      </c>
      <c r="AD24" s="61">
        <f t="shared" si="6"/>
        <v>-25</v>
      </c>
      <c r="AE24" s="39">
        <f t="shared" ref="AE24:AK24" si="8">SUM(AE19:AE23)</f>
        <v>-43.25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10792767</v>
      </c>
      <c r="E27" s="38">
        <f>SUM(G27,I27,K27,M27,O27,Q27,S27,U27,W27,Y27,AA27,AC27,AE27,AG27,AI27,AK27,AM27,AO27,AQ27,AS27,AU27)</f>
        <v>19229407.690000001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10488434</v>
      </c>
      <c r="I27" s="68">
        <f>+BGC_GL!I27+'SE-LRC-GL'!I27+NE_GL!I27+'SE-EGM-GL'!I27</f>
        <v>20825603.84</v>
      </c>
      <c r="J27" s="64">
        <f>+BGC_GL!J27+'SE-LRC-GL'!J27+NE_GL!J27+'SE-EGM-GL'!J27</f>
        <v>298857</v>
      </c>
      <c r="K27" s="68">
        <f>+BGC_GL!K27+'SE-LRC-GL'!K27+NE_GL!K27+'SE-EGM-GL'!K27</f>
        <v>-1730215.16</v>
      </c>
      <c r="L27" s="64">
        <f>+BGC_GL!L27+'SE-LRC-GL'!L27+NE_GL!L27+'SE-EGM-GL'!L27</f>
        <v>-144281</v>
      </c>
      <c r="M27" s="68">
        <f>+BGC_GL!M27+'SE-LRC-GL'!M27+NE_GL!M27+'SE-EGM-GL'!M27</f>
        <v>-138071.76</v>
      </c>
      <c r="N27" s="60">
        <f>'SE-EGM-GL'!N27+'SE-LRC-GL'!N27</f>
        <v>7979</v>
      </c>
      <c r="O27" s="38">
        <f>'SE-EGM-GL'!O27+'SE-LRC-GL'!O27</f>
        <v>21488.66</v>
      </c>
      <c r="P27" s="60">
        <f>'SE-EGM-GL'!P27+'SE-LRC-GL'!P27</f>
        <v>0</v>
      </c>
      <c r="Q27" s="38">
        <f>'SE-EGM-GL'!Q27+'SE-LRC-GL'!Q27</f>
        <v>0.05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0</v>
      </c>
      <c r="U27" s="38">
        <f>'SE-EGM-GL'!U27+'SE-LRC-GL'!U27</f>
        <v>0</v>
      </c>
      <c r="V27" s="60">
        <f>'SE-EGM-GL'!V27+'SE-LRC-GL'!V27</f>
        <v>-101055</v>
      </c>
      <c r="W27" s="38">
        <f>'SE-EGM-GL'!W27+'SE-LRC-GL'!W27</f>
        <v>-202110</v>
      </c>
      <c r="X27" s="60">
        <f>'SE-EGM-GL'!X27+'SE-LRC-GL'!X27</f>
        <v>44577</v>
      </c>
      <c r="Y27" s="38">
        <f>'SE-EGM-GL'!Y27+'SE-LRC-GL'!Y27</f>
        <v>99172.55</v>
      </c>
      <c r="Z27" s="60">
        <f>'SE-EGM-GL'!Z27+'SE-LRC-GL'!Z27</f>
        <v>0</v>
      </c>
      <c r="AA27" s="38">
        <f>'SE-EGM-GL'!AA27+'SE-LRC-GL'!AA27</f>
        <v>0</v>
      </c>
      <c r="AB27" s="60">
        <f>'SE-EGM-GL'!AB27+'SE-LRC-GL'!AB27</f>
        <v>277117</v>
      </c>
      <c r="AC27" s="38">
        <f>'SE-EGM-GL'!AC27+'SE-LRC-GL'!AC27</f>
        <v>511261.51</v>
      </c>
      <c r="AD27" s="60">
        <f>'SE-EGM-GL'!AD27+'SE-LRC-GL'!AD27</f>
        <v>-82104</v>
      </c>
      <c r="AE27" s="38">
        <f>'SE-EGM-GL'!AE27+'SE-LRC-GL'!AE27</f>
        <v>-164208</v>
      </c>
      <c r="AF27" s="60">
        <f>'SE-EGM-GL'!AN27+'SE-LRC-GL'!AN27</f>
        <v>3243</v>
      </c>
      <c r="AG27" s="38">
        <f>'SE-EGM-GL'!AO27+'SE-LRC-GL'!AO27</f>
        <v>6486</v>
      </c>
      <c r="AH27" s="60">
        <f>'SE-EGM-GL'!AR27+'SE-LRC-GL'!AR27</f>
        <v>0</v>
      </c>
      <c r="AI27" s="38">
        <f>'SE-EGM-GL'!AS27+'SE-LRC-GL'!AS27</f>
        <v>0</v>
      </c>
      <c r="AJ27" s="60">
        <f>'SE-EGM-GL'!AV27+'SE-LRC-GL'!AV27</f>
        <v>0</v>
      </c>
      <c r="AK27" s="38">
        <f>'SE-EGM-GL'!AW27+'SE-LRC-GL'!AW27</f>
        <v>0</v>
      </c>
      <c r="AL27" s="60">
        <f>'SE-EGM-GL'!AX27+'SE-LRC-GL'!AX27</f>
        <v>0</v>
      </c>
      <c r="AM27" s="38">
        <f>'SE-EGM-GL'!AY27+'SE-LRC-GL'!AY27</f>
        <v>0</v>
      </c>
      <c r="AN27" s="60">
        <f>'SE-EGM-GL'!AZ27+'SE-LRC-GL'!AZ27</f>
        <v>0</v>
      </c>
      <c r="AO27" s="38">
        <f>'SE-EGM-GL'!BA27+'SE-LRC-GL'!BA27</f>
        <v>0</v>
      </c>
      <c r="AP27" s="60">
        <f>'SE-EGM-GL'!BB27+'SE-LRC-GL'!BB27</f>
        <v>0</v>
      </c>
      <c r="AQ27" s="38">
        <f>'SE-EGM-GL'!BC27+'SE-LRC-GL'!BC27</f>
        <v>0</v>
      </c>
      <c r="AR27" s="60">
        <f>'SE-EGM-GL'!BD27+'SE-LRC-GL'!BD27</f>
        <v>0</v>
      </c>
      <c r="AS27" s="38">
        <f>'SE-EGM-GL'!BE27+'SE-LRC-GL'!BE27</f>
        <v>0</v>
      </c>
      <c r="AT27" s="60">
        <f>'SE-EGM-GL'!BF27+'SE-LRC-GL'!BF27</f>
        <v>0</v>
      </c>
      <c r="AU27" s="38">
        <f>'SE-EGM-GL'!BG27+'SE-LRC-GL'!BG27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-10409686</v>
      </c>
      <c r="E28" s="38">
        <f>SUM(G28,I28,K28,M28,O28,Q28,S28,U28,W28,Y28,AA28,AC28,AE28,AG28,AI28,AK28,AM28,AO28,AQ28,AS28,AU28)</f>
        <v>-18561116.23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-10260843</v>
      </c>
      <c r="I28" s="82">
        <f>+BGC_GL!I28+'SE-LRC-GL'!I28+NE_GL!I28+'SE-EGM-GL'!I28</f>
        <v>-20396346.91</v>
      </c>
      <c r="J28" s="81">
        <f>+BGC_GL!J28+'SE-LRC-GL'!J28+NE_GL!J28+'SE-EGM-GL'!J28</f>
        <v>-3785</v>
      </c>
      <c r="K28" s="82">
        <f>+BGC_GL!K28+'SE-LRC-GL'!K28+NE_GL!K28+'SE-EGM-GL'!K28</f>
        <v>1731660.9100000001</v>
      </c>
      <c r="L28" s="81">
        <f>+BGC_GL!L28+'SE-LRC-GL'!L28+NE_GL!L28+'SE-EGM-GL'!L28</f>
        <v>19970</v>
      </c>
      <c r="M28" s="82">
        <f>+BGC_GL!M28+'SE-LRC-GL'!M28+NE_GL!M28+'SE-EGM-GL'!M28</f>
        <v>425755.88</v>
      </c>
      <c r="N28" s="60">
        <f>'SE-EGM-GL'!N28+'SE-LRC-GL'!N28</f>
        <v>0</v>
      </c>
      <c r="O28" s="38">
        <f>'SE-EGM-GL'!O28+'SE-LRC-GL'!O28</f>
        <v>-33097.86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-8693</v>
      </c>
      <c r="U28" s="38">
        <f>'SE-EGM-GL'!U28+'SE-LRC-GL'!U28</f>
        <v>-17386</v>
      </c>
      <c r="V28" s="60">
        <f>'SE-EGM-GL'!V28+'SE-LRC-GL'!V28</f>
        <v>38955</v>
      </c>
      <c r="W28" s="38">
        <f>'SE-EGM-GL'!W28+'SE-LRC-GL'!W28</f>
        <v>77910</v>
      </c>
      <c r="X28" s="60">
        <f>'SE-EGM-GL'!X28+'SE-LRC-GL'!X28</f>
        <v>2213</v>
      </c>
      <c r="Y28" s="38">
        <f>'SE-EGM-GL'!Y28+'SE-LRC-GL'!Y28</f>
        <v>2421.2299999999996</v>
      </c>
      <c r="Z28" s="60">
        <f>'SE-EGM-GL'!Z28+'SE-LRC-GL'!Z28</f>
        <v>0</v>
      </c>
      <c r="AA28" s="38">
        <f>'SE-EGM-GL'!AA28+'SE-LRC-GL'!AA28</f>
        <v>0</v>
      </c>
      <c r="AB28" s="60">
        <f>'SE-EGM-GL'!AB28+'SE-LRC-GL'!AB28</f>
        <v>-195013</v>
      </c>
      <c r="AC28" s="38">
        <f>'SE-EGM-GL'!AC28+'SE-LRC-GL'!AC28</f>
        <v>-347053.48</v>
      </c>
      <c r="AD28" s="60">
        <f>'SE-EGM-GL'!AD28+'SE-LRC-GL'!AD28</f>
        <v>0</v>
      </c>
      <c r="AE28" s="38">
        <f>'SE-EGM-GL'!AE28+'SE-LRC-GL'!AE28</f>
        <v>0</v>
      </c>
      <c r="AF28" s="60">
        <f>'SE-EGM-GL'!AN28+'SE-LRC-GL'!AN28</f>
        <v>-2490</v>
      </c>
      <c r="AG28" s="38">
        <f>'SE-EGM-GL'!AO28+'SE-LRC-GL'!AO28</f>
        <v>-4980</v>
      </c>
      <c r="AH28" s="60">
        <f>'SE-EGM-GL'!AR28+'SE-LRC-GL'!AR28</f>
        <v>0</v>
      </c>
      <c r="AI28" s="38">
        <f>'SE-EGM-GL'!AS28+'SE-LRC-GL'!AS28</f>
        <v>0</v>
      </c>
      <c r="AJ28" s="60">
        <f>'SE-EGM-GL'!AV28+'SE-LRC-GL'!AV28</f>
        <v>0</v>
      </c>
      <c r="AK28" s="38">
        <f>'SE-EGM-GL'!AW28+'SE-LRC-GL'!AW28</f>
        <v>0</v>
      </c>
      <c r="AL28" s="60">
        <f>'SE-EGM-GL'!AX28+'SE-LRC-GL'!AX28</f>
        <v>0</v>
      </c>
      <c r="AM28" s="38">
        <f>'SE-EGM-GL'!AY28+'SE-LRC-GL'!AY28</f>
        <v>0</v>
      </c>
      <c r="AN28" s="60">
        <f>'SE-EGM-GL'!AZ28+'SE-LRC-GL'!AZ28</f>
        <v>0</v>
      </c>
      <c r="AO28" s="38">
        <f>'SE-EGM-GL'!BA28+'SE-LRC-GL'!BA28</f>
        <v>0</v>
      </c>
      <c r="AP28" s="60">
        <f>'SE-EGM-GL'!BB28+'SE-LRC-GL'!BB28</f>
        <v>0</v>
      </c>
      <c r="AQ28" s="38">
        <f>'SE-EGM-GL'!BC28+'SE-LRC-GL'!BC28</f>
        <v>0</v>
      </c>
      <c r="AR28" s="60">
        <f>'SE-EGM-GL'!BD28+'SE-LRC-GL'!BD28</f>
        <v>0</v>
      </c>
      <c r="AS28" s="38">
        <f>'SE-EGM-GL'!BE28+'SE-LRC-GL'!BE28</f>
        <v>0</v>
      </c>
      <c r="AT28" s="60">
        <f>'SE-EGM-GL'!BF28+'SE-LRC-GL'!BF28</f>
        <v>0</v>
      </c>
      <c r="AU28" s="38">
        <f>'SE-EGM-GL'!BG28+'SE-LRC-GL'!BG28</f>
        <v>0</v>
      </c>
    </row>
    <row r="29" spans="1:47" x14ac:dyDescent="0.25">
      <c r="A29" s="9"/>
      <c r="B29" s="7" t="s">
        <v>41</v>
      </c>
      <c r="C29" s="18"/>
      <c r="D29" s="61">
        <f>SUM(D27:D28)</f>
        <v>383081</v>
      </c>
      <c r="E29" s="39">
        <f>SUM(E27:E28)</f>
        <v>668291.46000000089</v>
      </c>
      <c r="F29" s="61">
        <f t="shared" ref="F29:AD29" si="10">SUM(F27:F28)</f>
        <v>0</v>
      </c>
      <c r="G29" s="39">
        <f t="shared" si="10"/>
        <v>0</v>
      </c>
      <c r="H29" s="61">
        <f t="shared" ref="H29:M29" si="11">SUM(H27:H28)</f>
        <v>227591</v>
      </c>
      <c r="I29" s="39">
        <f t="shared" si="11"/>
        <v>429256.9299999997</v>
      </c>
      <c r="J29" s="61">
        <f t="shared" si="11"/>
        <v>295072</v>
      </c>
      <c r="K29" s="39">
        <f t="shared" si="11"/>
        <v>1445.7500000002328</v>
      </c>
      <c r="L29" s="61">
        <f t="shared" si="11"/>
        <v>-124311</v>
      </c>
      <c r="M29" s="39">
        <f t="shared" si="11"/>
        <v>287684.12</v>
      </c>
      <c r="N29" s="61">
        <f t="shared" si="10"/>
        <v>7979</v>
      </c>
      <c r="O29" s="39">
        <f t="shared" si="10"/>
        <v>-11609.2</v>
      </c>
      <c r="P29" s="61">
        <f t="shared" si="10"/>
        <v>0</v>
      </c>
      <c r="Q29" s="39">
        <f t="shared" si="10"/>
        <v>0.05</v>
      </c>
      <c r="R29" s="61">
        <f t="shared" si="10"/>
        <v>0</v>
      </c>
      <c r="S29" s="39">
        <f t="shared" si="10"/>
        <v>0</v>
      </c>
      <c r="T29" s="61">
        <f t="shared" si="10"/>
        <v>-8693</v>
      </c>
      <c r="U29" s="39">
        <f t="shared" si="10"/>
        <v>-17386</v>
      </c>
      <c r="V29" s="61">
        <f t="shared" si="10"/>
        <v>-62100</v>
      </c>
      <c r="W29" s="39">
        <f t="shared" si="10"/>
        <v>-124200</v>
      </c>
      <c r="X29" s="61">
        <f t="shared" si="10"/>
        <v>46790</v>
      </c>
      <c r="Y29" s="39">
        <f t="shared" si="10"/>
        <v>101593.78</v>
      </c>
      <c r="Z29" s="61">
        <f t="shared" si="10"/>
        <v>0</v>
      </c>
      <c r="AA29" s="39">
        <f t="shared" si="10"/>
        <v>0</v>
      </c>
      <c r="AB29" s="61">
        <f t="shared" si="10"/>
        <v>82104</v>
      </c>
      <c r="AC29" s="39">
        <f t="shared" si="10"/>
        <v>164208.03000000003</v>
      </c>
      <c r="AD29" s="61">
        <f t="shared" si="10"/>
        <v>-82104</v>
      </c>
      <c r="AE29" s="39">
        <f t="shared" ref="AE29:AK29" si="12">SUM(AE27:AE28)</f>
        <v>-164208</v>
      </c>
      <c r="AF29" s="61">
        <f t="shared" si="12"/>
        <v>753</v>
      </c>
      <c r="AG29" s="39">
        <f t="shared" si="12"/>
        <v>1506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-849168</v>
      </c>
      <c r="E32" s="38">
        <f t="shared" si="14"/>
        <v>-1613543.5659999996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-25565</v>
      </c>
      <c r="I32" s="68">
        <f>+BGC_GL!I32+'SE-LRC-GL'!I32+NE_GL!I32+'SE-EGM-GL'!I32</f>
        <v>-45710.22</v>
      </c>
      <c r="J32" s="64">
        <f>+BGC_GL!J32+'SE-LRC-GL'!J32+NE_GL!J32+'SE-EGM-GL'!J32</f>
        <v>-705084</v>
      </c>
      <c r="K32" s="68">
        <f>+BGC_GL!K32+'SE-LRC-GL'!K32+NE_GL!K32+'SE-EGM-GL'!K32</f>
        <v>-1099881.372</v>
      </c>
      <c r="L32" s="64">
        <f>+BGC_GL!L32+'SE-LRC-GL'!L32+NE_GL!L32+'SE-EGM-GL'!L32</f>
        <v>-123359</v>
      </c>
      <c r="M32" s="68">
        <f>+BGC_GL!M32+'SE-LRC-GL'!M32+NE_GL!M32+'SE-EGM-GL'!M32</f>
        <v>-478623.45200000005</v>
      </c>
      <c r="N32" s="60">
        <f>'SE-EGM-GL'!N32+'SE-LRC-GL'!N32</f>
        <v>0</v>
      </c>
      <c r="O32" s="38">
        <f>'SE-EGM-GL'!O32+'SE-LRC-GL'!O32</f>
        <v>3307.86</v>
      </c>
      <c r="P32" s="60">
        <f>'SE-EGM-GL'!P32+'SE-LRC-GL'!P32</f>
        <v>0</v>
      </c>
      <c r="Q32" s="38">
        <f>'SE-EGM-GL'!Q32+'SE-LRC-GL'!Q32</f>
        <v>5360.61</v>
      </c>
      <c r="R32" s="60">
        <f>'SE-EGM-GL'!R32+'SE-LRC-GL'!R32</f>
        <v>0</v>
      </c>
      <c r="S32" s="38">
        <f>'SE-EGM-GL'!S32+'SE-LRC-GL'!S32</f>
        <v>-1477.98</v>
      </c>
      <c r="T32" s="60">
        <f>'SE-EGM-GL'!T32+'SE-LRC-GL'!T32</f>
        <v>0</v>
      </c>
      <c r="U32" s="38">
        <f>'SE-EGM-GL'!U32+'SE-LRC-GL'!U32</f>
        <v>422.28</v>
      </c>
      <c r="V32" s="60">
        <f>'SE-EGM-GL'!V32+'SE-LRC-GL'!V32</f>
        <v>0</v>
      </c>
      <c r="W32" s="38">
        <f>'SE-EGM-GL'!W32+'SE-LRC-GL'!W32</f>
        <v>4093.77</v>
      </c>
      <c r="X32" s="60">
        <f>'SE-EGM-GL'!X32+'SE-LRC-GL'!X32</f>
        <v>0</v>
      </c>
      <c r="Y32" s="38">
        <f>'SE-EGM-GL'!Y32+'SE-LRC-GL'!Y32</f>
        <v>3331.32</v>
      </c>
      <c r="Z32" s="60">
        <f>'SE-EGM-GL'!Z32+'SE-LRC-GL'!Z32</f>
        <v>0</v>
      </c>
      <c r="AA32" s="38">
        <f>'SE-EGM-GL'!AA32+'SE-LRC-GL'!AA32</f>
        <v>-13020.3</v>
      </c>
      <c r="AB32" s="60">
        <f>'SE-EGM-GL'!AB32+'SE-LRC-GL'!AB32</f>
        <v>0</v>
      </c>
      <c r="AC32" s="38">
        <f>'SE-EGM-GL'!AC32+'SE-LRC-GL'!AC32</f>
        <v>0</v>
      </c>
      <c r="AD32" s="60">
        <f>'SE-EGM-GL'!AD32+'SE-LRC-GL'!AD32</f>
        <v>-12445</v>
      </c>
      <c r="AE32" s="38">
        <f>'SE-EGM-GL'!AE32+'SE-LRC-GL'!AE32</f>
        <v>-22251.66</v>
      </c>
      <c r="AF32" s="60">
        <f>'SE-EGM-GL'!AN32+'SE-LRC-GL'!AN32</f>
        <v>1706</v>
      </c>
      <c r="AG32" s="38">
        <f>'SE-EGM-GL'!AO32+'SE-LRC-GL'!AO32</f>
        <v>3050.328</v>
      </c>
      <c r="AH32" s="60">
        <f>'SE-EGM-GL'!AR32+'SE-LRC-GL'!AR32</f>
        <v>15579</v>
      </c>
      <c r="AI32" s="38">
        <f>'SE-EGM-GL'!AS32+'SE-LRC-GL'!AS32</f>
        <v>27855.25</v>
      </c>
      <c r="AJ32" s="60">
        <f>'SE-EGM-GL'!AV32+'SE-LRC-GL'!AV32</f>
        <v>0</v>
      </c>
      <c r="AK32" s="38">
        <f>'SE-EGM-GL'!AW32+'SE-LRC-GL'!AW32</f>
        <v>0</v>
      </c>
      <c r="AL32" s="60">
        <f>'SE-EGM-GL'!AX32+'SE-LRC-GL'!AX32</f>
        <v>0</v>
      </c>
      <c r="AM32" s="38">
        <f>'SE-EGM-GL'!AY32+'SE-LRC-GL'!AY32</f>
        <v>0</v>
      </c>
      <c r="AN32" s="60">
        <f>'SE-EGM-GL'!AZ32+'SE-LRC-GL'!AZ32</f>
        <v>0</v>
      </c>
      <c r="AO32" s="38">
        <f>'SE-EGM-GL'!BA32+'SE-LRC-GL'!BA32</f>
        <v>0</v>
      </c>
      <c r="AP32" s="60">
        <f>'SE-EGM-GL'!BB32+'SE-LRC-GL'!BB32</f>
        <v>0</v>
      </c>
      <c r="AQ32" s="38">
        <f>'SE-EGM-GL'!BC32+'SE-LRC-GL'!BC32</f>
        <v>0</v>
      </c>
      <c r="AR32" s="60">
        <f>'SE-EGM-GL'!BD32+'SE-LRC-GL'!BD32</f>
        <v>0</v>
      </c>
      <c r="AS32" s="38">
        <f>'SE-EGM-GL'!BE32+'SE-LRC-GL'!BE32</f>
        <v>0</v>
      </c>
      <c r="AT32" s="60">
        <f>'SE-EGM-GL'!BF32+'SE-LRC-GL'!BF32</f>
        <v>0</v>
      </c>
      <c r="AU32" s="38">
        <f>'SE-EGM-GL'!BG32+'SE-LRC-GL'!BG32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4"/>
        <v>-24222</v>
      </c>
      <c r="E33" s="38">
        <f t="shared" si="14"/>
        <v>-42280.5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-567</v>
      </c>
      <c r="K33" s="38">
        <f>+BGC_GL!K33+'SE-LRC-GL'!K33+NE_GL!K33+'SE-EGM-GL'!K33</f>
        <v>-1022.22</v>
      </c>
      <c r="L33" s="60">
        <f>+BGC_GL!L33+'SE-LRC-GL'!L33+NE_GL!L33+'SE-EGM-GL'!L33</f>
        <v>-23655</v>
      </c>
      <c r="M33" s="38">
        <f>+BGC_GL!M33+'SE-LRC-GL'!M33+NE_GL!M33+'SE-EGM-GL'!M33</f>
        <v>-41258.28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'SE-EGM-GL'!AN33+'SE-LRC-GL'!AN33</f>
        <v>0</v>
      </c>
      <c r="AG33" s="38">
        <f>'SE-EGM-GL'!AO33+'SE-LRC-GL'!AO33</f>
        <v>0</v>
      </c>
      <c r="AH33" s="60">
        <f>'SE-EGM-GL'!AR33+'SE-LRC-GL'!AR33</f>
        <v>0</v>
      </c>
      <c r="AI33" s="38">
        <f>'SE-EGM-GL'!AS33+'SE-LRC-GL'!AS33</f>
        <v>0</v>
      </c>
      <c r="AJ33" s="60">
        <f>'SE-EGM-GL'!AV33+'SE-LRC-GL'!AV33</f>
        <v>0</v>
      </c>
      <c r="AK33" s="38">
        <f>'SE-EGM-GL'!AW33+'SE-LRC-GL'!AW33</f>
        <v>0</v>
      </c>
      <c r="AL33" s="60">
        <f>'SE-EGM-GL'!AX33+'SE-LRC-GL'!AX33</f>
        <v>0</v>
      </c>
      <c r="AM33" s="38">
        <f>'SE-EGM-GL'!AY33+'SE-LRC-GL'!AY33</f>
        <v>0</v>
      </c>
      <c r="AN33" s="60">
        <f>'SE-EGM-GL'!AZ33+'SE-LRC-GL'!AZ33</f>
        <v>0</v>
      </c>
      <c r="AO33" s="38">
        <f>'SE-EGM-GL'!BA33+'SE-LRC-GL'!BA33</f>
        <v>0</v>
      </c>
      <c r="AP33" s="60">
        <f>'SE-EGM-GL'!BB33+'SE-LRC-GL'!BB33</f>
        <v>0</v>
      </c>
      <c r="AQ33" s="38">
        <f>'SE-EGM-GL'!BC33+'SE-LRC-GL'!BC33</f>
        <v>0</v>
      </c>
      <c r="AR33" s="60">
        <f>'SE-EGM-GL'!BD33+'SE-LRC-GL'!BD33</f>
        <v>0</v>
      </c>
      <c r="AS33" s="38">
        <f>'SE-EGM-GL'!BE33+'SE-LRC-GL'!BE33</f>
        <v>0</v>
      </c>
      <c r="AT33" s="60">
        <f>'SE-EGM-GL'!BF33+'SE-LRC-GL'!BF33</f>
        <v>0</v>
      </c>
      <c r="AU33" s="38">
        <f>'SE-EGM-GL'!BG33+'SE-LRC-GL'!BG33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4"/>
        <v>163056</v>
      </c>
      <c r="E34" s="38">
        <f t="shared" si="14"/>
        <v>283100.53999999998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162100</v>
      </c>
      <c r="K34" s="38">
        <f>+BGC_GL!K34+'SE-LRC-GL'!K34+NE_GL!K34+'SE-EGM-GL'!K34</f>
        <v>281403.63</v>
      </c>
      <c r="L34" s="60">
        <f>+BGC_GL!L34+'SE-LRC-GL'!L34+NE_GL!L34+'SE-EGM-GL'!L34</f>
        <v>956</v>
      </c>
      <c r="M34" s="38">
        <f>+BGC_GL!M34+'SE-LRC-GL'!M34+NE_GL!M34+'SE-EGM-GL'!M34</f>
        <v>1696.91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'SE-EGM-GL'!AN34+'SE-LRC-GL'!AN34</f>
        <v>0</v>
      </c>
      <c r="AG34" s="38">
        <f>'SE-EGM-GL'!AO34+'SE-LRC-GL'!AO34</f>
        <v>0</v>
      </c>
      <c r="AH34" s="60">
        <f>'SE-EGM-GL'!AR34+'SE-LRC-GL'!AR34</f>
        <v>0</v>
      </c>
      <c r="AI34" s="38">
        <f>'SE-EGM-GL'!AS34+'SE-LRC-GL'!AS34</f>
        <v>0</v>
      </c>
      <c r="AJ34" s="60">
        <f>'SE-EGM-GL'!AV34+'SE-LRC-GL'!AV34</f>
        <v>0</v>
      </c>
      <c r="AK34" s="38">
        <f>'SE-EGM-GL'!AW34+'SE-LRC-GL'!AW34</f>
        <v>0</v>
      </c>
      <c r="AL34" s="60">
        <f>'SE-EGM-GL'!AX34+'SE-LRC-GL'!AX34</f>
        <v>0</v>
      </c>
      <c r="AM34" s="38">
        <f>'SE-EGM-GL'!AY34+'SE-LRC-GL'!AY34</f>
        <v>0</v>
      </c>
      <c r="AN34" s="60">
        <f>'SE-EGM-GL'!AZ34+'SE-LRC-GL'!AZ34</f>
        <v>0</v>
      </c>
      <c r="AO34" s="38">
        <f>'SE-EGM-GL'!BA34+'SE-LRC-GL'!BA34</f>
        <v>0</v>
      </c>
      <c r="AP34" s="60">
        <f>'SE-EGM-GL'!BB34+'SE-LRC-GL'!BB34</f>
        <v>0</v>
      </c>
      <c r="AQ34" s="38">
        <f>'SE-EGM-GL'!BC34+'SE-LRC-GL'!BC34</f>
        <v>0</v>
      </c>
      <c r="AR34" s="60">
        <f>'SE-EGM-GL'!BD34+'SE-LRC-GL'!BD34</f>
        <v>0</v>
      </c>
      <c r="AS34" s="38">
        <f>'SE-EGM-GL'!BE34+'SE-LRC-GL'!BE34</f>
        <v>0</v>
      </c>
      <c r="AT34" s="60">
        <f>'SE-EGM-GL'!BF34+'SE-LRC-GL'!BF34</f>
        <v>0</v>
      </c>
      <c r="AU34" s="38">
        <f>'SE-EGM-GL'!BG34+'SE-LRC-GL'!BG34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4"/>
        <v>364400</v>
      </c>
      <c r="E35" s="38">
        <f t="shared" si="14"/>
        <v>0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0</v>
      </c>
      <c r="I35" s="82">
        <f>+BGC_GL!I35+'SE-LRC-GL'!I35+NE_GL!I35+'SE-EGM-GL'!I35</f>
        <v>0</v>
      </c>
      <c r="J35" s="81">
        <f>+BGC_GL!J35+'SE-LRC-GL'!J35+NE_GL!J35+'SE-EGM-GL'!J35</f>
        <v>364400</v>
      </c>
      <c r="K35" s="82">
        <f>+BGC_GL!K35+'SE-LRC-GL'!K35+NE_GL!K35+'SE-EGM-GL'!K35</f>
        <v>0</v>
      </c>
      <c r="L35" s="81">
        <f>+BGC_GL!L35+'SE-LRC-GL'!L35+NE_GL!L35+'SE-EGM-GL'!L35</f>
        <v>0</v>
      </c>
      <c r="M35" s="82">
        <f>+BGC_GL!M35+'SE-LRC-GL'!M35+NE_GL!M35+'SE-EGM-GL'!M35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'SE-EGM-GL'!AN35+'SE-LRC-GL'!AN35</f>
        <v>0</v>
      </c>
      <c r="AG35" s="38">
        <f>'SE-EGM-GL'!AO35+'SE-LRC-GL'!AO35</f>
        <v>0</v>
      </c>
      <c r="AH35" s="60">
        <f>'SE-EGM-GL'!AR35+'SE-LRC-GL'!AR35</f>
        <v>0</v>
      </c>
      <c r="AI35" s="38">
        <f>'SE-EGM-GL'!AS35+'SE-LRC-GL'!AS35</f>
        <v>0</v>
      </c>
      <c r="AJ35" s="60">
        <f>'SE-EGM-GL'!AV35+'SE-LRC-GL'!AV35</f>
        <v>0</v>
      </c>
      <c r="AK35" s="38">
        <f>'SE-EGM-GL'!AW35+'SE-LRC-GL'!AW35</f>
        <v>0</v>
      </c>
      <c r="AL35" s="60">
        <f>'SE-EGM-GL'!AX35+'SE-LRC-GL'!AX35</f>
        <v>0</v>
      </c>
      <c r="AM35" s="38">
        <f>'SE-EGM-GL'!AY35+'SE-LRC-GL'!AY35</f>
        <v>0</v>
      </c>
      <c r="AN35" s="60">
        <f>'SE-EGM-GL'!AZ35+'SE-LRC-GL'!AZ35</f>
        <v>0</v>
      </c>
      <c r="AO35" s="38">
        <f>'SE-EGM-GL'!BA35+'SE-LRC-GL'!BA35</f>
        <v>0</v>
      </c>
      <c r="AP35" s="60">
        <f>'SE-EGM-GL'!BB35+'SE-LRC-GL'!BB35</f>
        <v>0</v>
      </c>
      <c r="AQ35" s="38">
        <f>'SE-EGM-GL'!BC35+'SE-LRC-GL'!BC35</f>
        <v>0</v>
      </c>
      <c r="AR35" s="60">
        <f>'SE-EGM-GL'!BD35+'SE-LRC-GL'!BD35</f>
        <v>0</v>
      </c>
      <c r="AS35" s="38">
        <f>'SE-EGM-GL'!BE35+'SE-LRC-GL'!BE35</f>
        <v>0</v>
      </c>
      <c r="AT35" s="60">
        <f>'SE-EGM-GL'!BF35+'SE-LRC-GL'!BF35</f>
        <v>0</v>
      </c>
      <c r="AU35" s="38">
        <f>'SE-EGM-GL'!BG35+'SE-LRC-GL'!BG35</f>
        <v>0</v>
      </c>
    </row>
    <row r="36" spans="1:47" x14ac:dyDescent="0.25">
      <c r="A36" s="9"/>
      <c r="B36" s="7" t="s">
        <v>47</v>
      </c>
      <c r="C36" s="6"/>
      <c r="D36" s="61">
        <f>SUM(D32:D35)</f>
        <v>-345934</v>
      </c>
      <c r="E36" s="39">
        <f>SUM(E32:E35)</f>
        <v>-1372723.5259999996</v>
      </c>
      <c r="F36" s="61">
        <f t="shared" ref="F36:AD36" si="15">SUM(F32:F35)</f>
        <v>0</v>
      </c>
      <c r="G36" s="39">
        <f t="shared" si="15"/>
        <v>0</v>
      </c>
      <c r="H36" s="61">
        <f t="shared" ref="H36:M36" si="16">SUM(H32:H35)</f>
        <v>-25565</v>
      </c>
      <c r="I36" s="39">
        <f t="shared" si="16"/>
        <v>-45710.22</v>
      </c>
      <c r="J36" s="61">
        <f t="shared" si="16"/>
        <v>-179151</v>
      </c>
      <c r="K36" s="39">
        <f t="shared" si="16"/>
        <v>-819499.96199999994</v>
      </c>
      <c r="L36" s="61">
        <f t="shared" si="16"/>
        <v>-146058</v>
      </c>
      <c r="M36" s="39">
        <f t="shared" si="16"/>
        <v>-518184.8220000001</v>
      </c>
      <c r="N36" s="61">
        <f t="shared" si="15"/>
        <v>0</v>
      </c>
      <c r="O36" s="39">
        <f t="shared" si="15"/>
        <v>3307.86</v>
      </c>
      <c r="P36" s="61">
        <f t="shared" si="15"/>
        <v>0</v>
      </c>
      <c r="Q36" s="39">
        <f t="shared" si="15"/>
        <v>5360.61</v>
      </c>
      <c r="R36" s="61">
        <f t="shared" si="15"/>
        <v>0</v>
      </c>
      <c r="S36" s="39">
        <f t="shared" si="15"/>
        <v>-1477.98</v>
      </c>
      <c r="T36" s="61">
        <f t="shared" si="15"/>
        <v>0</v>
      </c>
      <c r="U36" s="39">
        <f t="shared" si="15"/>
        <v>422.28</v>
      </c>
      <c r="V36" s="61">
        <f t="shared" si="15"/>
        <v>0</v>
      </c>
      <c r="W36" s="39">
        <f t="shared" si="15"/>
        <v>4093.77</v>
      </c>
      <c r="X36" s="61">
        <f t="shared" si="15"/>
        <v>0</v>
      </c>
      <c r="Y36" s="39">
        <f t="shared" si="15"/>
        <v>3331.32</v>
      </c>
      <c r="Z36" s="61">
        <f t="shared" si="15"/>
        <v>0</v>
      </c>
      <c r="AA36" s="39">
        <f t="shared" si="15"/>
        <v>-13020.3</v>
      </c>
      <c r="AB36" s="61">
        <f t="shared" si="15"/>
        <v>0</v>
      </c>
      <c r="AC36" s="39">
        <f t="shared" si="15"/>
        <v>0</v>
      </c>
      <c r="AD36" s="61">
        <f t="shared" si="15"/>
        <v>-12445</v>
      </c>
      <c r="AE36" s="39">
        <f t="shared" ref="AE36:AK36" si="17">SUM(AE32:AE35)</f>
        <v>-22251.66</v>
      </c>
      <c r="AF36" s="61">
        <f t="shared" si="17"/>
        <v>1706</v>
      </c>
      <c r="AG36" s="39">
        <f t="shared" si="17"/>
        <v>3050.328</v>
      </c>
      <c r="AH36" s="61">
        <f t="shared" si="17"/>
        <v>15579</v>
      </c>
      <c r="AI36" s="39">
        <f t="shared" si="17"/>
        <v>27855.25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1518213</v>
      </c>
      <c r="E39" s="38">
        <f t="shared" si="19"/>
        <v>2755556.61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0</v>
      </c>
      <c r="I39" s="68">
        <f>+BGC_GL!I39+'SE-LRC-GL'!I39+NE_GL!I39+'SE-EGM-GL'!I39</f>
        <v>0</v>
      </c>
      <c r="J39" s="64">
        <f>+BGC_GL!J39+'SE-LRC-GL'!J39+NE_GL!J39+'SE-EGM-GL'!J39</f>
        <v>347235</v>
      </c>
      <c r="K39" s="68">
        <f>+BGC_GL!K39+'SE-LRC-GL'!K39+NE_GL!K39+'SE-EGM-GL'!K39</f>
        <v>630231.53</v>
      </c>
      <c r="L39" s="64">
        <f>+BGC_GL!L39+'SE-LRC-GL'!L39+NE_GL!L39+'SE-EGM-GL'!L39</f>
        <v>1017685</v>
      </c>
      <c r="M39" s="68">
        <f>+BGC_GL!M39+'SE-LRC-GL'!M39+NE_GL!M39+'SE-EGM-GL'!M39</f>
        <v>1847098.28</v>
      </c>
      <c r="N39" s="60">
        <f>'SE-EGM-GL'!N39+'SE-LRC-GL'!N39</f>
        <v>153293</v>
      </c>
      <c r="O39" s="38">
        <f>'SE-EGM-GL'!O39+'SE-LRC-GL'!O39</f>
        <v>278226.8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'SE-EGM-GL'!AN39+'SE-LRC-GL'!AN39</f>
        <v>0</v>
      </c>
      <c r="AG39" s="38">
        <f>'SE-EGM-GL'!AO39+'SE-LRC-GL'!AO39</f>
        <v>0</v>
      </c>
      <c r="AH39" s="60">
        <f>'SE-EGM-GL'!AR39+'SE-LRC-GL'!AR39</f>
        <v>0</v>
      </c>
      <c r="AI39" s="38">
        <f>'SE-EGM-GL'!AS39+'SE-LRC-GL'!AS39</f>
        <v>0</v>
      </c>
      <c r="AJ39" s="60">
        <f>'SE-EGM-GL'!AV39+'SE-LRC-GL'!AV39</f>
        <v>0</v>
      </c>
      <c r="AK39" s="38">
        <f>'SE-EGM-GL'!AW39+'SE-LRC-GL'!AW39</f>
        <v>0</v>
      </c>
      <c r="AL39" s="60">
        <f>'SE-EGM-GL'!AX39+'SE-LRC-GL'!AX39</f>
        <v>0</v>
      </c>
      <c r="AM39" s="38">
        <f>'SE-EGM-GL'!AY39+'SE-LRC-GL'!AY39</f>
        <v>0</v>
      </c>
      <c r="AN39" s="60">
        <f>'SE-EGM-GL'!AZ39+'SE-LRC-GL'!AZ39</f>
        <v>0</v>
      </c>
      <c r="AO39" s="38">
        <f>'SE-EGM-GL'!BA39+'SE-LRC-GL'!BA39</f>
        <v>0</v>
      </c>
      <c r="AP39" s="60">
        <f>'SE-EGM-GL'!BB39+'SE-LRC-GL'!BB39</f>
        <v>0</v>
      </c>
      <c r="AQ39" s="38">
        <f>'SE-EGM-GL'!BC39+'SE-LRC-GL'!BC39</f>
        <v>0</v>
      </c>
      <c r="AR39" s="60">
        <f>'SE-EGM-GL'!BD39+'SE-LRC-GL'!BD39</f>
        <v>0</v>
      </c>
      <c r="AS39" s="38">
        <f>'SE-EGM-GL'!BE39+'SE-LRC-GL'!BE39</f>
        <v>0</v>
      </c>
      <c r="AT39" s="60">
        <f>'SE-EGM-GL'!BF39+'SE-LRC-GL'!BF39</f>
        <v>0</v>
      </c>
      <c r="AU39" s="38">
        <f>'SE-EGM-GL'!BG39+'SE-LRC-GL'!BG39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9"/>
        <v>-10665051</v>
      </c>
      <c r="E40" s="38">
        <f t="shared" si="19"/>
        <v>-23633084.649999999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-10171797</v>
      </c>
      <c r="I40" s="38">
        <f>+BGC_GL!I40+'SE-LRC-GL'!I40+NE_GL!I40+'SE-EGM-GL'!I40</f>
        <v>-7115809.9800000004</v>
      </c>
      <c r="J40" s="60">
        <f>+BGC_GL!J40+'SE-LRC-GL'!J40+NE_GL!J40+'SE-EGM-GL'!J40</f>
        <v>356476</v>
      </c>
      <c r="K40" s="38">
        <f>+BGC_GL!K40+'SE-LRC-GL'!K40+NE_GL!K40+'SE-EGM-GL'!K40</f>
        <v>772402.84</v>
      </c>
      <c r="L40" s="60">
        <f>+BGC_GL!L40+'SE-LRC-GL'!L40+NE_GL!L40+'SE-EGM-GL'!L40</f>
        <v>-688458</v>
      </c>
      <c r="M40" s="38">
        <f>+BGC_GL!M40+'SE-LRC-GL'!M40+NE_GL!M40+'SE-EGM-GL'!M40</f>
        <v>-16996968.829999998</v>
      </c>
      <c r="N40" s="60">
        <f>'SE-EGM-GL'!N40+'SE-LRC-GL'!N40</f>
        <v>-161272</v>
      </c>
      <c r="O40" s="38">
        <f>'SE-EGM-GL'!O40+'SE-LRC-GL'!O40</f>
        <v>292708.68</v>
      </c>
      <c r="P40" s="60">
        <f>'SE-EGM-GL'!P40+'SE-LRC-GL'!P40</f>
        <v>0</v>
      </c>
      <c r="Q40" s="38">
        <f>'SE-EGM-GL'!Q40+'SE-LRC-GL'!Q40</f>
        <v>-585417.36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'SE-EGM-GL'!AN40+'SE-LRC-GL'!AN40</f>
        <v>0</v>
      </c>
      <c r="AG40" s="38">
        <f>'SE-EGM-GL'!AO40+'SE-LRC-GL'!AO40</f>
        <v>0</v>
      </c>
      <c r="AH40" s="60">
        <f>'SE-EGM-GL'!AR40+'SE-LRC-GL'!AR40</f>
        <v>0</v>
      </c>
      <c r="AI40" s="38">
        <f>'SE-EGM-GL'!AS40+'SE-LRC-GL'!AS40</f>
        <v>0</v>
      </c>
      <c r="AJ40" s="60">
        <f>'SE-EGM-GL'!AV40+'SE-LRC-GL'!AV40</f>
        <v>0</v>
      </c>
      <c r="AK40" s="38">
        <f>'SE-EGM-GL'!AW40+'SE-LRC-GL'!AW40</f>
        <v>0</v>
      </c>
      <c r="AL40" s="60">
        <f>'SE-EGM-GL'!AX40+'SE-LRC-GL'!AX40</f>
        <v>0</v>
      </c>
      <c r="AM40" s="38">
        <f>'SE-EGM-GL'!AY40+'SE-LRC-GL'!AY40</f>
        <v>0</v>
      </c>
      <c r="AN40" s="60">
        <f>'SE-EGM-GL'!AZ40+'SE-LRC-GL'!AZ40</f>
        <v>0</v>
      </c>
      <c r="AO40" s="38">
        <f>'SE-EGM-GL'!BA40+'SE-LRC-GL'!BA40</f>
        <v>0</v>
      </c>
      <c r="AP40" s="60">
        <f>'SE-EGM-GL'!BB40+'SE-LRC-GL'!BB40</f>
        <v>0</v>
      </c>
      <c r="AQ40" s="38">
        <f>'SE-EGM-GL'!BC40+'SE-LRC-GL'!BC40</f>
        <v>0</v>
      </c>
      <c r="AR40" s="60">
        <f>'SE-EGM-GL'!BD40+'SE-LRC-GL'!BD40</f>
        <v>0</v>
      </c>
      <c r="AS40" s="38">
        <f>'SE-EGM-GL'!BE40+'SE-LRC-GL'!BE40</f>
        <v>0</v>
      </c>
      <c r="AT40" s="60">
        <f>'SE-EGM-GL'!BF40+'SE-LRC-GL'!BF40</f>
        <v>0</v>
      </c>
      <c r="AU40" s="38">
        <f>'SE-EGM-GL'!BG40+'SE-LRC-GL'!BG40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117344</v>
      </c>
      <c r="F41" s="81">
        <f>+BGC_GL!F41+'SE-LRC-GL'!F41+NE_GL!F41+'SE-EGM-GL'!F41</f>
        <v>0</v>
      </c>
      <c r="G41" s="82">
        <f>+BGC_GL!G41+'SE-LRC-GL'!G41+NE_GL!G41+'SE-EGM-GL'!G41</f>
        <v>117344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81">
        <f>+BGC_GL!L41+'SE-LRC-GL'!L41+NE_GL!L41+'SE-EGM-GL'!L41</f>
        <v>0</v>
      </c>
      <c r="M41" s="82">
        <f>+BGC_GL!M41+'SE-LRC-GL'!M41+NE_GL!M41+'SE-EGM-GL'!M41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'SE-EGM-GL'!AN41+'SE-LRC-GL'!AN41</f>
        <v>0</v>
      </c>
      <c r="AG41" s="38">
        <f>'SE-EGM-GL'!AO41+'SE-LRC-GL'!AO41</f>
        <v>0</v>
      </c>
      <c r="AH41" s="60">
        <f>'SE-EGM-GL'!AR41+'SE-LRC-GL'!AR41</f>
        <v>0</v>
      </c>
      <c r="AI41" s="38">
        <f>'SE-EGM-GL'!AS41+'SE-LRC-GL'!AS41</f>
        <v>0</v>
      </c>
      <c r="AJ41" s="60">
        <f>'SE-EGM-GL'!AV41+'SE-LRC-GL'!AV41</f>
        <v>0</v>
      </c>
      <c r="AK41" s="38">
        <f>'SE-EGM-GL'!AW41+'SE-LRC-GL'!AW41</f>
        <v>0</v>
      </c>
      <c r="AL41" s="60">
        <f>'SE-EGM-GL'!AX41+'SE-LRC-GL'!AX41</f>
        <v>0</v>
      </c>
      <c r="AM41" s="38">
        <f>'SE-EGM-GL'!AY41+'SE-LRC-GL'!AY41</f>
        <v>0</v>
      </c>
      <c r="AN41" s="60">
        <f>'SE-EGM-GL'!AZ41+'SE-LRC-GL'!AZ41</f>
        <v>0</v>
      </c>
      <c r="AO41" s="38">
        <f>'SE-EGM-GL'!BA41+'SE-LRC-GL'!BA41</f>
        <v>0</v>
      </c>
      <c r="AP41" s="60">
        <f>'SE-EGM-GL'!BB41+'SE-LRC-GL'!BB41</f>
        <v>0</v>
      </c>
      <c r="AQ41" s="38">
        <f>'SE-EGM-GL'!BC41+'SE-LRC-GL'!BC41</f>
        <v>0</v>
      </c>
      <c r="AR41" s="60">
        <f>'SE-EGM-GL'!BD41+'SE-LRC-GL'!BD41</f>
        <v>0</v>
      </c>
      <c r="AS41" s="38">
        <f>'SE-EGM-GL'!BE41+'SE-LRC-GL'!BE41</f>
        <v>0</v>
      </c>
      <c r="AT41" s="60">
        <f>'SE-EGM-GL'!BF41+'SE-LRC-GL'!BF41</f>
        <v>0</v>
      </c>
      <c r="AU41" s="38">
        <f>'SE-EGM-GL'!BG41+'SE-LRC-GL'!BG41</f>
        <v>0</v>
      </c>
    </row>
    <row r="42" spans="1:47" x14ac:dyDescent="0.25">
      <c r="A42" s="9"/>
      <c r="B42" s="7"/>
      <c r="C42" s="53" t="s">
        <v>52</v>
      </c>
      <c r="D42" s="61">
        <f>SUM(D40:D41)</f>
        <v>-10665051</v>
      </c>
      <c r="E42" s="39">
        <f>SUM(E40:E41)</f>
        <v>-23515740.649999999</v>
      </c>
      <c r="F42" s="61">
        <f t="shared" ref="F42:AD42" si="20">SUM(F40:F41)</f>
        <v>0</v>
      </c>
      <c r="G42" s="39">
        <f t="shared" si="20"/>
        <v>117344</v>
      </c>
      <c r="H42" s="61">
        <f t="shared" ref="H42:M42" si="21">SUM(H40:H41)</f>
        <v>-10171797</v>
      </c>
      <c r="I42" s="39">
        <f t="shared" si="21"/>
        <v>-7115809.9800000004</v>
      </c>
      <c r="J42" s="61">
        <f t="shared" si="21"/>
        <v>356476</v>
      </c>
      <c r="K42" s="39">
        <f t="shared" si="21"/>
        <v>772402.84</v>
      </c>
      <c r="L42" s="61">
        <f t="shared" si="21"/>
        <v>-688458</v>
      </c>
      <c r="M42" s="39">
        <f t="shared" si="21"/>
        <v>-16996968.829999998</v>
      </c>
      <c r="N42" s="61">
        <f t="shared" si="20"/>
        <v>-161272</v>
      </c>
      <c r="O42" s="39">
        <f t="shared" si="20"/>
        <v>292708.68</v>
      </c>
      <c r="P42" s="61">
        <f t="shared" si="20"/>
        <v>0</v>
      </c>
      <c r="Q42" s="39">
        <f t="shared" si="20"/>
        <v>-585417.36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si="20"/>
        <v>0</v>
      </c>
      <c r="V42" s="61">
        <f t="shared" si="20"/>
        <v>0</v>
      </c>
      <c r="W42" s="39">
        <f t="shared" si="20"/>
        <v>0</v>
      </c>
      <c r="X42" s="61">
        <f t="shared" si="20"/>
        <v>0</v>
      </c>
      <c r="Y42" s="39">
        <f t="shared" si="20"/>
        <v>0</v>
      </c>
      <c r="Z42" s="61">
        <f t="shared" si="20"/>
        <v>0</v>
      </c>
      <c r="AA42" s="39">
        <f t="shared" si="20"/>
        <v>0</v>
      </c>
      <c r="AB42" s="61">
        <f t="shared" si="20"/>
        <v>0</v>
      </c>
      <c r="AC42" s="39">
        <f t="shared" si="20"/>
        <v>0</v>
      </c>
      <c r="AD42" s="61">
        <f t="shared" si="20"/>
        <v>0</v>
      </c>
      <c r="AE42" s="39">
        <f t="shared" ref="AE42:AK42" si="22">SUM(AE40:AE41)</f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-9146838</v>
      </c>
      <c r="E43" s="39">
        <f>E42+E39</f>
        <v>-20760184.039999999</v>
      </c>
      <c r="F43" s="61">
        <f t="shared" ref="F43:AD43" si="24">F42+F39</f>
        <v>0</v>
      </c>
      <c r="G43" s="39">
        <f t="shared" si="24"/>
        <v>117344</v>
      </c>
      <c r="H43" s="61">
        <f t="shared" ref="H43:M43" si="25">H42+H39</f>
        <v>-10171797</v>
      </c>
      <c r="I43" s="39">
        <f t="shared" si="25"/>
        <v>-7115809.9800000004</v>
      </c>
      <c r="J43" s="61">
        <f t="shared" si="25"/>
        <v>703711</v>
      </c>
      <c r="K43" s="39">
        <f t="shared" si="25"/>
        <v>1402634.37</v>
      </c>
      <c r="L43" s="61">
        <f t="shared" si="25"/>
        <v>329227</v>
      </c>
      <c r="M43" s="39">
        <f t="shared" si="25"/>
        <v>-15149870.549999999</v>
      </c>
      <c r="N43" s="61">
        <f t="shared" si="24"/>
        <v>-7979</v>
      </c>
      <c r="O43" s="39">
        <f t="shared" si="24"/>
        <v>570935.48</v>
      </c>
      <c r="P43" s="61">
        <f t="shared" si="24"/>
        <v>0</v>
      </c>
      <c r="Q43" s="39">
        <f t="shared" si="24"/>
        <v>-585417.36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si="24"/>
        <v>0</v>
      </c>
      <c r="V43" s="61">
        <f t="shared" si="24"/>
        <v>0</v>
      </c>
      <c r="W43" s="39">
        <f t="shared" si="24"/>
        <v>0</v>
      </c>
      <c r="X43" s="61">
        <f t="shared" si="24"/>
        <v>0</v>
      </c>
      <c r="Y43" s="39">
        <f t="shared" si="24"/>
        <v>0</v>
      </c>
      <c r="Z43" s="61">
        <f t="shared" si="24"/>
        <v>0</v>
      </c>
      <c r="AA43" s="39">
        <f t="shared" si="24"/>
        <v>0</v>
      </c>
      <c r="AB43" s="61">
        <f t="shared" si="24"/>
        <v>0</v>
      </c>
      <c r="AC43" s="39">
        <f t="shared" si="24"/>
        <v>0</v>
      </c>
      <c r="AD43" s="61">
        <f t="shared" si="24"/>
        <v>0</v>
      </c>
      <c r="AE43" s="39">
        <f t="shared" ref="AE43:AK43" si="26">AE42+AE39</f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5865</v>
      </c>
      <c r="E45" s="38">
        <f>SUM(G45,I45,K45,M45,O45,Q45,S45,U45,W45,Y45,AA45,AC45,AE45,AG45,AI45,AK45,AM45,AO45,AQ45,AS45,AU45)</f>
        <v>10025.630000000001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12255</v>
      </c>
      <c r="K45" s="68">
        <f>+BGC_GL!K45+'SE-LRC-GL'!K45+NE_GL!K45+'SE-EGM-GL'!K45</f>
        <v>23652.15</v>
      </c>
      <c r="L45" s="64">
        <f>+BGC_GL!L45+'SE-LRC-GL'!L45+NE_GL!L45+'SE-EGM-GL'!L45</f>
        <v>0</v>
      </c>
      <c r="M45" s="68">
        <f>+BGC_GL!M45+'SE-LRC-GL'!M45+NE_GL!M45+'SE-EGM-GL'!M45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0</v>
      </c>
      <c r="X45" s="60">
        <f>'SE-EGM-GL'!X45+'SE-LRC-GL'!X45</f>
        <v>-6390</v>
      </c>
      <c r="Y45" s="38">
        <f>'SE-EGM-GL'!Y45+'SE-LRC-GL'!Y45</f>
        <v>-13626.52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0</v>
      </c>
      <c r="AF45" s="60">
        <f>'SE-EGM-GL'!AN45+'SE-LRC-GL'!AN45</f>
        <v>0</v>
      </c>
      <c r="AG45" s="38">
        <f>'SE-EGM-GL'!AO45+'SE-LRC-GL'!AO45</f>
        <v>0</v>
      </c>
      <c r="AH45" s="60">
        <f>'SE-EGM-GL'!AR45+'SE-LRC-GL'!AR45</f>
        <v>0</v>
      </c>
      <c r="AI45" s="38">
        <f>'SE-EGM-GL'!AS45+'SE-LRC-GL'!AS45</f>
        <v>0</v>
      </c>
      <c r="AJ45" s="60">
        <f>'SE-EGM-GL'!AV45+'SE-LRC-GL'!AV45</f>
        <v>0</v>
      </c>
      <c r="AK45" s="38">
        <f>'SE-EGM-GL'!AW45+'SE-LRC-GL'!AW45</f>
        <v>0</v>
      </c>
      <c r="AL45" s="60">
        <f>'SE-EGM-GL'!AX45+'SE-LRC-GL'!AX45</f>
        <v>0</v>
      </c>
      <c r="AM45" s="38">
        <f>'SE-EGM-GL'!AY45+'SE-LRC-GL'!AY45</f>
        <v>0</v>
      </c>
      <c r="AN45" s="60">
        <f>'SE-EGM-GL'!AZ45+'SE-LRC-GL'!AZ45</f>
        <v>0</v>
      </c>
      <c r="AO45" s="38">
        <f>'SE-EGM-GL'!BA45+'SE-LRC-GL'!BA45</f>
        <v>0</v>
      </c>
      <c r="AP45" s="60">
        <f>'SE-EGM-GL'!BB45+'SE-LRC-GL'!BB45</f>
        <v>0</v>
      </c>
      <c r="AQ45" s="38">
        <f>'SE-EGM-GL'!BC45+'SE-LRC-GL'!BC45</f>
        <v>0</v>
      </c>
      <c r="AR45" s="60">
        <f>'SE-EGM-GL'!BD45+'SE-LRC-GL'!BD45</f>
        <v>0</v>
      </c>
      <c r="AS45" s="38">
        <f>'SE-EGM-GL'!BE45+'SE-LRC-GL'!BE45</f>
        <v>0</v>
      </c>
      <c r="AT45" s="60">
        <f>'SE-EGM-GL'!BF45+'SE-LRC-GL'!BF45</f>
        <v>0</v>
      </c>
      <c r="AU45" s="38">
        <f>'SE-EGM-GL'!BG45+'SE-LRC-GL'!BG45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1.4551915228366852E-11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45722</v>
      </c>
      <c r="I47" s="38">
        <f>+BGC_GL!I47+'SE-LRC-GL'!I47+NE_GL!I47+'SE-EGM-GL'!I47</f>
        <v>82757.02</v>
      </c>
      <c r="J47" s="60">
        <f>+BGC_GL!J47+'SE-LRC-GL'!J47+NE_GL!J47+'SE-EGM-GL'!J47</f>
        <v>16161</v>
      </c>
      <c r="K47" s="38">
        <f>+BGC_GL!K47+'SE-LRC-GL'!K47+NE_GL!K47+'SE-EGM-GL'!K47</f>
        <v>29251.41</v>
      </c>
      <c r="L47" s="60">
        <f>+BGC_GL!L47+'SE-LRC-GL'!L47+NE_GL!L47+'SE-EGM-GL'!L47</f>
        <v>-9008</v>
      </c>
      <c r="M47" s="38">
        <f>+BGC_GL!M47+'SE-LRC-GL'!M47+NE_GL!M47+'SE-EGM-GL'!M47</f>
        <v>-16304.48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0</v>
      </c>
      <c r="Q47" s="38">
        <f>'SE-EGM-GL'!Q47+'SE-LRC-GL'!Q47</f>
        <v>0</v>
      </c>
      <c r="R47" s="60">
        <f>'SE-EGM-GL'!R47+'SE-LRC-GL'!R47</f>
        <v>-52875</v>
      </c>
      <c r="S47" s="38">
        <f>'SE-EGM-GL'!S47+'SE-LRC-GL'!S47</f>
        <v>-95703.95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'SE-EGM-GL'!AN47+'SE-LRC-GL'!AN47</f>
        <v>0</v>
      </c>
      <c r="AG47" s="38">
        <f>'SE-EGM-GL'!AO47+'SE-LRC-GL'!AO47</f>
        <v>0</v>
      </c>
      <c r="AH47" s="60">
        <f>'SE-EGM-GL'!AR47+'SE-LRC-GL'!AR47</f>
        <v>0</v>
      </c>
      <c r="AI47" s="38">
        <f>'SE-EGM-GL'!AS47+'SE-LRC-GL'!AS47</f>
        <v>0</v>
      </c>
      <c r="AJ47" s="60">
        <f>'SE-EGM-GL'!AV47+'SE-LRC-GL'!AV47</f>
        <v>0</v>
      </c>
      <c r="AK47" s="38">
        <f>'SE-EGM-GL'!AW47+'SE-LRC-GL'!AW47</f>
        <v>0</v>
      </c>
      <c r="AL47" s="60">
        <f>'SE-EGM-GL'!AX47+'SE-LRC-GL'!AX47</f>
        <v>0</v>
      </c>
      <c r="AM47" s="38">
        <f>'SE-EGM-GL'!AY47+'SE-LRC-GL'!AY47</f>
        <v>0</v>
      </c>
      <c r="AN47" s="60">
        <f>'SE-EGM-GL'!AZ47+'SE-LRC-GL'!AZ47</f>
        <v>0</v>
      </c>
      <c r="AO47" s="38">
        <f>'SE-EGM-GL'!BA47+'SE-LRC-GL'!BA47</f>
        <v>0</v>
      </c>
      <c r="AP47" s="60">
        <f>'SE-EGM-GL'!BB47+'SE-LRC-GL'!BB47</f>
        <v>0</v>
      </c>
      <c r="AQ47" s="38">
        <f>'SE-EGM-GL'!BC47+'SE-LRC-GL'!BC47</f>
        <v>0</v>
      </c>
      <c r="AR47" s="60">
        <f>'SE-EGM-GL'!BD47+'SE-LRC-GL'!BD47</f>
        <v>0</v>
      </c>
      <c r="AS47" s="38">
        <f>'SE-EGM-GL'!BE47+'SE-LRC-GL'!BE47</f>
        <v>0</v>
      </c>
      <c r="AT47" s="60">
        <f>'SE-EGM-GL'!BF47+'SE-LRC-GL'!BF47</f>
        <v>0</v>
      </c>
      <c r="AU47" s="38">
        <f>'SE-EGM-GL'!BG47+'SE-LRC-GL'!BG47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-209832</v>
      </c>
      <c r="E49" s="38">
        <f t="shared" si="28"/>
        <v>-1337379.2940000009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-386189</v>
      </c>
      <c r="I49" s="38">
        <f>+BGC_GL!I49+'SE-LRC-GL'!I49+NE_GL!I49+'SE-EGM-GL'!I49</f>
        <v>-690505.93199999991</v>
      </c>
      <c r="J49" s="60">
        <f>+BGC_GL!J49+'SE-LRC-GL'!J49+NE_GL!J49+'SE-EGM-GL'!J49</f>
        <v>74570</v>
      </c>
      <c r="K49" s="38">
        <f>+BGC_GL!K49+'SE-LRC-GL'!K49+NE_GL!K49+'SE-EGM-GL'!K49</f>
        <v>133331.15999999942</v>
      </c>
      <c r="L49" s="60">
        <f>+BGC_GL!L49+'SE-LRC-GL'!L49+NE_GL!L49+'SE-EGM-GL'!L49</f>
        <v>46725</v>
      </c>
      <c r="M49" s="38">
        <f>+BGC_GL!M49+'SE-LRC-GL'!M49+NE_GL!M49+'SE-EGM-GL'!M49</f>
        <v>-878655.38000000035</v>
      </c>
      <c r="N49" s="60">
        <f>'SE-EGM-GL'!N49+'SE-LRC-GL'!N49</f>
        <v>0</v>
      </c>
      <c r="O49" s="38">
        <f>'SE-EGM-GL'!O49+'SE-LRC-GL'!O49</f>
        <v>0</v>
      </c>
      <c r="P49" s="60">
        <f>'SE-EGM-GL'!P49+'SE-LRC-GL'!P49</f>
        <v>44182</v>
      </c>
      <c r="Q49" s="38">
        <f>'SE-EGM-GL'!Q49+'SE-LRC-GL'!Q49</f>
        <v>78997.415999999997</v>
      </c>
      <c r="R49" s="60">
        <f>'SE-EGM-GL'!R49+'SE-LRC-GL'!R49</f>
        <v>0</v>
      </c>
      <c r="S49" s="38">
        <f>'SE-EGM-GL'!S49+'SE-LRC-GL'!S49</f>
        <v>0</v>
      </c>
      <c r="T49" s="60">
        <f>'SE-EGM-GL'!T49+'SE-LRC-GL'!T49</f>
        <v>8693</v>
      </c>
      <c r="U49" s="38">
        <f>'SE-EGM-GL'!U49+'SE-LRC-GL'!U49</f>
        <v>15543.084000000001</v>
      </c>
      <c r="V49" s="60">
        <f>'SE-EGM-GL'!V49+'SE-LRC-GL'!V49</f>
        <v>62102</v>
      </c>
      <c r="W49" s="38">
        <f>'SE-EGM-GL'!W49+'SE-LRC-GL'!W49</f>
        <v>111038.376</v>
      </c>
      <c r="X49" s="60">
        <f>'SE-EGM-GL'!X49+'SE-LRC-GL'!X49</f>
        <v>-41902</v>
      </c>
      <c r="Y49" s="38">
        <f>'SE-EGM-GL'!Y49+'SE-LRC-GL'!Y49</f>
        <v>-74920.775999999998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-82104</v>
      </c>
      <c r="AC49" s="38">
        <f>'SE-EGM-GL'!AC49+'SE-LRC-GL'!AC49</f>
        <v>-146801.95199999999</v>
      </c>
      <c r="AD49" s="60">
        <f>'SE-EGM-GL'!AD49+'SE-LRC-GL'!AD49</f>
        <v>82129</v>
      </c>
      <c r="AE49" s="38">
        <f>'SE-EGM-GL'!AE49+'SE-LRC-GL'!AE49</f>
        <v>146846.652</v>
      </c>
      <c r="AF49" s="60">
        <f>'SE-EGM-GL'!AN49+'SE-LRC-GL'!AN49</f>
        <v>-2459</v>
      </c>
      <c r="AG49" s="38">
        <f>'SE-EGM-GL'!AO49+'SE-LRC-GL'!AO49</f>
        <v>-4396.692</v>
      </c>
      <c r="AH49" s="60">
        <f>'SE-EGM-GL'!AR49+'SE-LRC-GL'!AR49</f>
        <v>-15579</v>
      </c>
      <c r="AI49" s="38">
        <f>'SE-EGM-GL'!AS49+'SE-LRC-GL'!AS49</f>
        <v>-27855.25</v>
      </c>
      <c r="AJ49" s="60">
        <f>'SE-EGM-GL'!AV49+'SE-LRC-GL'!AV49</f>
        <v>0</v>
      </c>
      <c r="AK49" s="38">
        <f>'SE-EGM-GL'!AW49+'SE-LRC-GL'!AW49</f>
        <v>0</v>
      </c>
      <c r="AL49" s="60">
        <f>'SE-EGM-GL'!AX49+'SE-LRC-GL'!AX49</f>
        <v>0</v>
      </c>
      <c r="AM49" s="38">
        <f>'SE-EGM-GL'!AY49+'SE-LRC-GL'!AY49</f>
        <v>0</v>
      </c>
      <c r="AN49" s="60">
        <f>'SE-EGM-GL'!AZ49+'SE-LRC-GL'!AZ49</f>
        <v>0</v>
      </c>
      <c r="AO49" s="38">
        <f>'SE-EGM-GL'!BA49+'SE-LRC-GL'!BA49</f>
        <v>0</v>
      </c>
      <c r="AP49" s="60">
        <f>'SE-EGM-GL'!BB49+'SE-LRC-GL'!BB49</f>
        <v>0</v>
      </c>
      <c r="AQ49" s="38">
        <f>'SE-EGM-GL'!BC49+'SE-LRC-GL'!BC49</f>
        <v>0</v>
      </c>
      <c r="AR49" s="60">
        <f>'SE-EGM-GL'!BD49+'SE-LRC-GL'!BD49</f>
        <v>0</v>
      </c>
      <c r="AS49" s="38">
        <f>'SE-EGM-GL'!BE49+'SE-LRC-GL'!BE49</f>
        <v>0</v>
      </c>
      <c r="AT49" s="60">
        <f>'SE-EGM-GL'!BF49+'SE-LRC-GL'!BF49</f>
        <v>0</v>
      </c>
      <c r="AU49" s="38">
        <f>'SE-EGM-GL'!BG49+'SE-LRC-GL'!BG49</f>
        <v>0</v>
      </c>
    </row>
    <row r="50" spans="1:47" x14ac:dyDescent="0.25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8"/>
        <v>-925629</v>
      </c>
      <c r="E51" s="38">
        <f t="shared" si="28"/>
        <v>-1656484.0120000001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-1038489</v>
      </c>
      <c r="I51" s="38">
        <f>+BGC_GL!I51+'SE-LRC-GL'!I51+NE_GL!I51+'SE-EGM-GL'!I51</f>
        <v>-1856818.34</v>
      </c>
      <c r="J51" s="60">
        <f>+BGC_GL!J51+'SE-LRC-GL'!J51+NE_GL!J51+'SE-EGM-GL'!J51</f>
        <v>147602</v>
      </c>
      <c r="K51" s="38">
        <f>+BGC_GL!K51+'SE-LRC-GL'!K51+NE_GL!K51+'SE-EGM-GL'!K51</f>
        <v>265175.03399999999</v>
      </c>
      <c r="L51" s="60">
        <f>+BGC_GL!L51+'SE-LRC-GL'!L51+NE_GL!L51+'SE-EGM-GL'!L51</f>
        <v>-34742</v>
      </c>
      <c r="M51" s="38">
        <f>+BGC_GL!M51+'SE-LRC-GL'!M51+NE_GL!M51+'SE-EGM-GL'!M51</f>
        <v>-62118.696000000004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0</v>
      </c>
      <c r="W51" s="38">
        <f>'SE-EGM-GL'!W51+'SE-LRC-GL'!W51</f>
        <v>0</v>
      </c>
      <c r="X51" s="60">
        <f>'SE-EGM-GL'!X51+'SE-LRC-GL'!X51</f>
        <v>0</v>
      </c>
      <c r="Y51" s="38">
        <f>'SE-EGM-GL'!Y51+'SE-LRC-GL'!Y51</f>
        <v>-2722.01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'SE-EGM-GL'!AN51+'SE-LRC-GL'!AN51</f>
        <v>0</v>
      </c>
      <c r="AG51" s="38">
        <f>'SE-EGM-GL'!AO51+'SE-LRC-GL'!AO51</f>
        <v>0</v>
      </c>
      <c r="AH51" s="60">
        <f>'SE-EGM-GL'!AR51+'SE-LRC-GL'!AR51</f>
        <v>0</v>
      </c>
      <c r="AI51" s="38">
        <f>'SE-EGM-GL'!AS51+'SE-LRC-GL'!AS51</f>
        <v>0</v>
      </c>
      <c r="AJ51" s="60">
        <f>'SE-EGM-GL'!AV51+'SE-LRC-GL'!AV51</f>
        <v>0</v>
      </c>
      <c r="AK51" s="38">
        <f>'SE-EGM-GL'!AW51+'SE-LRC-GL'!AW51</f>
        <v>0</v>
      </c>
      <c r="AL51" s="60">
        <f>'SE-EGM-GL'!AX51+'SE-LRC-GL'!AX51</f>
        <v>0</v>
      </c>
      <c r="AM51" s="38">
        <f>'SE-EGM-GL'!AY51+'SE-LRC-GL'!AY51</f>
        <v>0</v>
      </c>
      <c r="AN51" s="60">
        <f>'SE-EGM-GL'!AZ51+'SE-LRC-GL'!AZ51</f>
        <v>0</v>
      </c>
      <c r="AO51" s="38">
        <f>'SE-EGM-GL'!BA51+'SE-LRC-GL'!BA51</f>
        <v>0</v>
      </c>
      <c r="AP51" s="60">
        <f>'SE-EGM-GL'!BB51+'SE-LRC-GL'!BB51</f>
        <v>0</v>
      </c>
      <c r="AQ51" s="38">
        <f>'SE-EGM-GL'!BC51+'SE-LRC-GL'!BC51</f>
        <v>0</v>
      </c>
      <c r="AR51" s="60">
        <f>'SE-EGM-GL'!BD51+'SE-LRC-GL'!BD51</f>
        <v>0</v>
      </c>
      <c r="AS51" s="38">
        <f>'SE-EGM-GL'!BE51+'SE-LRC-GL'!BE51</f>
        <v>0</v>
      </c>
      <c r="AT51" s="60">
        <f>'SE-EGM-GL'!BF51+'SE-LRC-GL'!BF51</f>
        <v>0</v>
      </c>
      <c r="AU51" s="38">
        <f>'SE-EGM-GL'!BG51+'SE-LRC-GL'!BG51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81"/>
      <c r="I52" s="82"/>
      <c r="J52" s="81"/>
      <c r="K52" s="82"/>
      <c r="L52" s="81"/>
      <c r="M52" s="82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-46636203</v>
      </c>
      <c r="E54" s="38">
        <f>SUM(G54,I54,K54,M54,O54,Q54,S54,U54,W54,Y54,AA54,AC54,AE54,AG54,AI54,AK54,AM54,AO54,AQ54,AS54,AU54)</f>
        <v>-477491.57999999996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-50292428</v>
      </c>
      <c r="I54" s="68">
        <f>+BGC_GL!I54+'SE-LRC-GL'!I54+NE_GL!I54+'SE-EGM-GL'!I54</f>
        <v>-2306829.77</v>
      </c>
      <c r="J54" s="64">
        <f>+BGC_GL!J54+'SE-LRC-GL'!J54+NE_GL!J54+'SE-EGM-GL'!J54</f>
        <v>3649708</v>
      </c>
      <c r="K54" s="68">
        <f>+BGC_GL!K54+'SE-LRC-GL'!K54+NE_GL!K54+'SE-EGM-GL'!K54</f>
        <v>1867706.78</v>
      </c>
      <c r="L54" s="64">
        <f>+BGC_GL!L54+'SE-LRC-GL'!L54+NE_GL!L54+'SE-EGM-GL'!L54</f>
        <v>6517</v>
      </c>
      <c r="M54" s="68">
        <f>+BGC_GL!M54+'SE-LRC-GL'!M54+NE_GL!M54+'SE-EGM-GL'!M54</f>
        <v>-38368.589999999997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'SE-EGM-GL'!AN54+'SE-LRC-GL'!AN54</f>
        <v>0</v>
      </c>
      <c r="AG54" s="38">
        <f>'SE-EGM-GL'!AO54+'SE-LRC-GL'!AO54</f>
        <v>0</v>
      </c>
      <c r="AH54" s="60">
        <f>'SE-EGM-GL'!AR54+'SE-LRC-GL'!AR54</f>
        <v>0</v>
      </c>
      <c r="AI54" s="38">
        <f>'SE-EGM-GL'!AS54+'SE-LRC-GL'!AS54</f>
        <v>0</v>
      </c>
      <c r="AJ54" s="60">
        <f>'SE-EGM-GL'!AV54+'SE-LRC-GL'!AV54</f>
        <v>0</v>
      </c>
      <c r="AK54" s="38">
        <f>'SE-EGM-GL'!AW54+'SE-LRC-GL'!AW54</f>
        <v>0</v>
      </c>
      <c r="AL54" s="60">
        <f>'SE-EGM-GL'!AX54+'SE-LRC-GL'!AX54</f>
        <v>0</v>
      </c>
      <c r="AM54" s="38">
        <f>'SE-EGM-GL'!AY54+'SE-LRC-GL'!AY54</f>
        <v>0</v>
      </c>
      <c r="AN54" s="60">
        <f>'SE-EGM-GL'!AZ54+'SE-LRC-GL'!AZ54</f>
        <v>0</v>
      </c>
      <c r="AO54" s="38">
        <f>'SE-EGM-GL'!BA54+'SE-LRC-GL'!BA54</f>
        <v>0</v>
      </c>
      <c r="AP54" s="60">
        <f>'SE-EGM-GL'!BB54+'SE-LRC-GL'!BB54</f>
        <v>0</v>
      </c>
      <c r="AQ54" s="38">
        <f>'SE-EGM-GL'!BC54+'SE-LRC-GL'!BC54</f>
        <v>0</v>
      </c>
      <c r="AR54" s="60">
        <f>'SE-EGM-GL'!BD54+'SE-LRC-GL'!BD54</f>
        <v>0</v>
      </c>
      <c r="AS54" s="38">
        <f>'SE-EGM-GL'!BE54+'SE-LRC-GL'!BE54</f>
        <v>0</v>
      </c>
      <c r="AT54" s="60">
        <f>'SE-EGM-GL'!BF54+'SE-LRC-GL'!BF54</f>
        <v>0</v>
      </c>
      <c r="AU54" s="38">
        <f>'SE-EGM-GL'!BG54+'SE-LRC-GL'!BG54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-15295827.550000001</v>
      </c>
      <c r="F55" s="81">
        <f>+BGC_GL!F55+'SE-LRC-GL'!F55+NE_GL!F55+'SE-EGM-GL'!F55</f>
        <v>0</v>
      </c>
      <c r="G55" s="82">
        <f>+BGC_GL!G55+'SE-LRC-GL'!G55+NE_GL!G55+'SE-EGM-GL'!G55</f>
        <v>637573.26</v>
      </c>
      <c r="H55" s="81">
        <f>+BGC_GL!H55+'SE-LRC-GL'!H55+NE_GL!H55+'SE-EGM-GL'!H55</f>
        <v>0</v>
      </c>
      <c r="I55" s="82">
        <f>+BGC_GL!I55+'SE-LRC-GL'!I55+NE_GL!I55+'SE-EGM-GL'!I55</f>
        <v>-15984193.880000001</v>
      </c>
      <c r="J55" s="81">
        <f>+BGC_GL!J55+'SE-LRC-GL'!J55+NE_GL!J55+'SE-EGM-GL'!J55</f>
        <v>0</v>
      </c>
      <c r="K55" s="82">
        <f>+BGC_GL!K55+'SE-LRC-GL'!K55+NE_GL!K55+'SE-EGM-GL'!K55</f>
        <v>-27036.559999999998</v>
      </c>
      <c r="L55" s="81">
        <f>+BGC_GL!L55+'SE-LRC-GL'!L55+NE_GL!L55+'SE-EGM-GL'!L55</f>
        <v>0</v>
      </c>
      <c r="M55" s="82">
        <f>+BGC_GL!M55+'SE-LRC-GL'!M55+NE_GL!M55+'SE-EGM-GL'!M55</f>
        <v>77829.63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'SE-EGM-GL'!AN55+'SE-LRC-GL'!AN55</f>
        <v>0</v>
      </c>
      <c r="AG55" s="38">
        <f>'SE-EGM-GL'!AO55+'SE-LRC-GL'!AO55</f>
        <v>0</v>
      </c>
      <c r="AH55" s="60">
        <f>'SE-EGM-GL'!AR55+'SE-LRC-GL'!AR55</f>
        <v>0</v>
      </c>
      <c r="AI55" s="38">
        <f>'SE-EGM-GL'!AS55+'SE-LRC-GL'!AS55</f>
        <v>0</v>
      </c>
      <c r="AJ55" s="60">
        <f>'SE-EGM-GL'!AV55+'SE-LRC-GL'!AV55</f>
        <v>0</v>
      </c>
      <c r="AK55" s="38">
        <f>'SE-EGM-GL'!AW55+'SE-LRC-GL'!AW55</f>
        <v>0</v>
      </c>
      <c r="AL55" s="60">
        <f>'SE-EGM-GL'!AX55+'SE-LRC-GL'!AX55</f>
        <v>0</v>
      </c>
      <c r="AM55" s="38">
        <f>'SE-EGM-GL'!AY55+'SE-LRC-GL'!AY55</f>
        <v>0</v>
      </c>
      <c r="AN55" s="60">
        <f>'SE-EGM-GL'!AZ55+'SE-LRC-GL'!AZ55</f>
        <v>0</v>
      </c>
      <c r="AO55" s="38">
        <f>'SE-EGM-GL'!BA55+'SE-LRC-GL'!BA55</f>
        <v>0</v>
      </c>
      <c r="AP55" s="60">
        <f>'SE-EGM-GL'!BB55+'SE-LRC-GL'!BB55</f>
        <v>0</v>
      </c>
      <c r="AQ55" s="38">
        <f>'SE-EGM-GL'!BC55+'SE-LRC-GL'!BC55</f>
        <v>0</v>
      </c>
      <c r="AR55" s="60">
        <f>'SE-EGM-GL'!BD55+'SE-LRC-GL'!BD55</f>
        <v>0</v>
      </c>
      <c r="AS55" s="38">
        <f>'SE-EGM-GL'!BE55+'SE-LRC-GL'!BE55</f>
        <v>0</v>
      </c>
      <c r="AT55" s="60">
        <f>'SE-EGM-GL'!BF55+'SE-LRC-GL'!BF55</f>
        <v>0</v>
      </c>
      <c r="AU55" s="38">
        <f>'SE-EGM-GL'!BG55+'SE-LRC-GL'!BG55</f>
        <v>0</v>
      </c>
    </row>
    <row r="56" spans="1:47" x14ac:dyDescent="0.25">
      <c r="A56" s="9"/>
      <c r="B56" s="7" t="s">
        <v>61</v>
      </c>
      <c r="C56" s="6"/>
      <c r="D56" s="61">
        <f>SUM(D54:D55)</f>
        <v>-46636203</v>
      </c>
      <c r="E56" s="39">
        <f>SUM(E54:E55)</f>
        <v>-15773319.130000001</v>
      </c>
      <c r="F56" s="61">
        <f t="shared" ref="F56:AD56" si="29">SUM(F54:F55)</f>
        <v>0</v>
      </c>
      <c r="G56" s="39">
        <f t="shared" si="29"/>
        <v>637573.26</v>
      </c>
      <c r="H56" s="61">
        <f t="shared" ref="H56:M56" si="30">SUM(H54:H55)</f>
        <v>-50292428</v>
      </c>
      <c r="I56" s="39">
        <f t="shared" si="30"/>
        <v>-18291023.650000002</v>
      </c>
      <c r="J56" s="61">
        <f t="shared" si="30"/>
        <v>3649708</v>
      </c>
      <c r="K56" s="39">
        <f t="shared" si="30"/>
        <v>1840670.22</v>
      </c>
      <c r="L56" s="61">
        <f t="shared" si="30"/>
        <v>6517</v>
      </c>
      <c r="M56" s="39">
        <f t="shared" si="30"/>
        <v>39461.040000000008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si="29"/>
        <v>0</v>
      </c>
      <c r="V56" s="61">
        <f t="shared" si="29"/>
        <v>0</v>
      </c>
      <c r="W56" s="39">
        <f t="shared" si="29"/>
        <v>0</v>
      </c>
      <c r="X56" s="61">
        <f t="shared" si="29"/>
        <v>0</v>
      </c>
      <c r="Y56" s="39">
        <f t="shared" si="29"/>
        <v>0</v>
      </c>
      <c r="Z56" s="61">
        <f t="shared" si="29"/>
        <v>0</v>
      </c>
      <c r="AA56" s="39">
        <f t="shared" si="29"/>
        <v>0</v>
      </c>
      <c r="AB56" s="61">
        <f t="shared" si="29"/>
        <v>0</v>
      </c>
      <c r="AC56" s="39">
        <f t="shared" si="29"/>
        <v>0</v>
      </c>
      <c r="AD56" s="61">
        <f t="shared" si="29"/>
        <v>0</v>
      </c>
      <c r="AE56" s="39">
        <f t="shared" ref="AE56:AK56" si="31">SUM(AE54:AE55)</f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3300586</v>
      </c>
      <c r="E59" s="38">
        <f>SUM(G59,I59,K59,M59,O59,Q59,S59,U59,W59,Y59,AA59,AC59,AE59,AG59,AI59,AK59,AM59,AO59,AQ59,AS59,AU59)</f>
        <v>122122.00999999989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3284215</v>
      </c>
      <c r="I59" s="68">
        <f>+BGC_GL!I59+'SE-LRC-GL'!I59+NE_GL!I59+'SE-EGM-GL'!I59</f>
        <v>788653.44</v>
      </c>
      <c r="J59" s="64">
        <f>+BGC_GL!J59+'SE-LRC-GL'!J59+NE_GL!J59+'SE-EGM-GL'!J59</f>
        <v>3926</v>
      </c>
      <c r="K59" s="68">
        <f>+BGC_GL!K59+'SE-LRC-GL'!K59+NE_GL!K59+'SE-EGM-GL'!K59</f>
        <v>-676256.43</v>
      </c>
      <c r="L59" s="64">
        <f>+BGC_GL!L59+'SE-LRC-GL'!L59+NE_GL!L59+'SE-EGM-GL'!L59</f>
        <v>0</v>
      </c>
      <c r="M59" s="68">
        <f>+BGC_GL!M59+'SE-LRC-GL'!M59+NE_GL!M59+'SE-EGM-GL'!M59</f>
        <v>9725</v>
      </c>
      <c r="N59" s="60">
        <f>'SE-EGM-GL'!N59+'SE-LRC-GL'!N59</f>
        <v>0</v>
      </c>
      <c r="O59" s="38">
        <f>'SE-EGM-GL'!O59+'SE-LRC-GL'!O59</f>
        <v>0</v>
      </c>
      <c r="P59" s="60">
        <f>'SE-EGM-GL'!P59+'SE-LRC-GL'!P59</f>
        <v>0</v>
      </c>
      <c r="Q59" s="38">
        <f>'SE-EGM-GL'!Q59+'SE-LRC-GL'!Q59</f>
        <v>0</v>
      </c>
      <c r="R59" s="60">
        <f>'SE-EGM-GL'!R59+'SE-LRC-GL'!R59</f>
        <v>8693</v>
      </c>
      <c r="S59" s="38">
        <f>'SE-EGM-GL'!S59+'SE-LRC-GL'!S59</f>
        <v>0</v>
      </c>
      <c r="T59" s="60">
        <f>'SE-EGM-GL'!T59+'SE-LRC-GL'!T59</f>
        <v>-8693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0</v>
      </c>
      <c r="AC59" s="38">
        <f>'SE-EGM-GL'!AC59+'SE-LRC-GL'!AC59</f>
        <v>0</v>
      </c>
      <c r="AD59" s="60">
        <f>'SE-EGM-GL'!AD59+'SE-LRC-GL'!AD59</f>
        <v>12445</v>
      </c>
      <c r="AE59" s="38">
        <f>'SE-EGM-GL'!AE59+'SE-LRC-GL'!AE59</f>
        <v>0</v>
      </c>
      <c r="AF59" s="60">
        <f>'SE-EGM-GL'!AN59+'SE-LRC-GL'!AN59</f>
        <v>0</v>
      </c>
      <c r="AG59" s="38">
        <f>'SE-EGM-GL'!AO59+'SE-LRC-GL'!AO59</f>
        <v>0</v>
      </c>
      <c r="AH59" s="60">
        <f>'SE-EGM-GL'!AR59+'SE-LRC-GL'!AR59</f>
        <v>0</v>
      </c>
      <c r="AI59" s="38">
        <f>'SE-EGM-GL'!AS59+'SE-LRC-GL'!AS59</f>
        <v>0</v>
      </c>
      <c r="AJ59" s="60">
        <f>'SE-EGM-GL'!AV59+'SE-LRC-GL'!AV59</f>
        <v>0</v>
      </c>
      <c r="AK59" s="38">
        <f>'SE-EGM-GL'!AW59+'SE-LRC-GL'!AW59</f>
        <v>0</v>
      </c>
      <c r="AL59" s="60">
        <f>'SE-EGM-GL'!AX59+'SE-LRC-GL'!AX59</f>
        <v>0</v>
      </c>
      <c r="AM59" s="38">
        <f>'SE-EGM-GL'!AY59+'SE-LRC-GL'!AY59</f>
        <v>0</v>
      </c>
      <c r="AN59" s="60">
        <f>'SE-EGM-GL'!AZ59+'SE-LRC-GL'!AZ59</f>
        <v>0</v>
      </c>
      <c r="AO59" s="38">
        <f>'SE-EGM-GL'!BA59+'SE-LRC-GL'!BA59</f>
        <v>0</v>
      </c>
      <c r="AP59" s="60">
        <f>'SE-EGM-GL'!BB59+'SE-LRC-GL'!BB59</f>
        <v>0</v>
      </c>
      <c r="AQ59" s="38">
        <f>'SE-EGM-GL'!BC59+'SE-LRC-GL'!BC59</f>
        <v>0</v>
      </c>
      <c r="AR59" s="60">
        <f>'SE-EGM-GL'!BD59+'SE-LRC-GL'!BD59</f>
        <v>0</v>
      </c>
      <c r="AS59" s="38">
        <f>'SE-EGM-GL'!BE59+'SE-LRC-GL'!BE59</f>
        <v>0</v>
      </c>
      <c r="AT59" s="60">
        <f>'SE-EGM-GL'!BF59+'SE-LRC-GL'!BF59</f>
        <v>0</v>
      </c>
      <c r="AU59" s="38">
        <f>'SE-EGM-GL'!BG59+'SE-LRC-GL'!BG59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606099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170000</v>
      </c>
      <c r="J60" s="81">
        <f>+BGC_GL!J60+'SE-LRC-GL'!J60+NE_GL!J60+'SE-EGM-GL'!J60</f>
        <v>0</v>
      </c>
      <c r="K60" s="82">
        <f>+BGC_GL!K60+'SE-LRC-GL'!K60+NE_GL!K60+'SE-EGM-GL'!K60</f>
        <v>301099</v>
      </c>
      <c r="L60" s="81">
        <f>+BGC_GL!L60+'SE-LRC-GL'!L60+NE_GL!L60+'SE-EGM-GL'!L60</f>
        <v>0</v>
      </c>
      <c r="M60" s="82">
        <f>+BGC_GL!M60+'SE-LRC-GL'!M60+NE_GL!M60+'SE-EGM-GL'!M60</f>
        <v>450000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-315000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'SE-EGM-GL'!AN60+'SE-LRC-GL'!AN60</f>
        <v>0</v>
      </c>
      <c r="AG60" s="38">
        <f>'SE-EGM-GL'!AO60+'SE-LRC-GL'!AO60</f>
        <v>0</v>
      </c>
      <c r="AH60" s="60">
        <f>'SE-EGM-GL'!AR60+'SE-LRC-GL'!AR60</f>
        <v>0</v>
      </c>
      <c r="AI60" s="38">
        <f>'SE-EGM-GL'!AS60+'SE-LRC-GL'!AS60</f>
        <v>0</v>
      </c>
      <c r="AJ60" s="60">
        <f>'SE-EGM-GL'!AV60+'SE-LRC-GL'!AV60</f>
        <v>0</v>
      </c>
      <c r="AK60" s="38">
        <f>'SE-EGM-GL'!AW60+'SE-LRC-GL'!AW60</f>
        <v>0</v>
      </c>
      <c r="AL60" s="60">
        <f>'SE-EGM-GL'!AX60+'SE-LRC-GL'!AX60</f>
        <v>0</v>
      </c>
      <c r="AM60" s="38">
        <f>'SE-EGM-GL'!AY60+'SE-LRC-GL'!AY60</f>
        <v>0</v>
      </c>
      <c r="AN60" s="60">
        <f>'SE-EGM-GL'!AZ60+'SE-LRC-GL'!AZ60</f>
        <v>0</v>
      </c>
      <c r="AO60" s="38">
        <f>'SE-EGM-GL'!BA60+'SE-LRC-GL'!BA60</f>
        <v>0</v>
      </c>
      <c r="AP60" s="60">
        <f>'SE-EGM-GL'!BB60+'SE-LRC-GL'!BB60</f>
        <v>0</v>
      </c>
      <c r="AQ60" s="38">
        <f>'SE-EGM-GL'!BC60+'SE-LRC-GL'!BC60</f>
        <v>0</v>
      </c>
      <c r="AR60" s="60">
        <f>'SE-EGM-GL'!BD60+'SE-LRC-GL'!BD60</f>
        <v>0</v>
      </c>
      <c r="AS60" s="38">
        <f>'SE-EGM-GL'!BE60+'SE-LRC-GL'!BE60</f>
        <v>0</v>
      </c>
      <c r="AT60" s="60">
        <f>'SE-EGM-GL'!BF60+'SE-LRC-GL'!BF60</f>
        <v>0</v>
      </c>
      <c r="AU60" s="38">
        <f>'SE-EGM-GL'!BG60+'SE-LRC-GL'!BG60</f>
        <v>0</v>
      </c>
    </row>
    <row r="61" spans="1:47" x14ac:dyDescent="0.25">
      <c r="A61" s="9"/>
      <c r="B61" s="62" t="s">
        <v>65</v>
      </c>
      <c r="C61" s="6"/>
      <c r="D61" s="61">
        <f>SUM(D59:D60)</f>
        <v>3300586</v>
      </c>
      <c r="E61" s="39">
        <f>SUM(E59:E60)</f>
        <v>728221.00999999989</v>
      </c>
      <c r="F61" s="61">
        <f t="shared" ref="F61:AD61" si="33">SUM(F59:F60)</f>
        <v>0</v>
      </c>
      <c r="G61" s="39">
        <f t="shared" si="33"/>
        <v>0</v>
      </c>
      <c r="H61" s="61">
        <f t="shared" ref="H61:M61" si="34">SUM(H59:H60)</f>
        <v>3284215</v>
      </c>
      <c r="I61" s="39">
        <f t="shared" si="34"/>
        <v>958653.43999999994</v>
      </c>
      <c r="J61" s="61">
        <f t="shared" si="34"/>
        <v>3926</v>
      </c>
      <c r="K61" s="39">
        <f t="shared" si="34"/>
        <v>-375157.43000000005</v>
      </c>
      <c r="L61" s="61">
        <f t="shared" si="34"/>
        <v>0</v>
      </c>
      <c r="M61" s="39">
        <f t="shared" si="34"/>
        <v>459725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-315000</v>
      </c>
      <c r="R61" s="61">
        <f t="shared" si="33"/>
        <v>8693</v>
      </c>
      <c r="S61" s="39">
        <f t="shared" si="33"/>
        <v>0</v>
      </c>
      <c r="T61" s="61">
        <f t="shared" si="33"/>
        <v>-8693</v>
      </c>
      <c r="U61" s="39">
        <f t="shared" si="33"/>
        <v>0</v>
      </c>
      <c r="V61" s="61">
        <f t="shared" si="33"/>
        <v>0</v>
      </c>
      <c r="W61" s="39">
        <f t="shared" si="33"/>
        <v>0</v>
      </c>
      <c r="X61" s="61">
        <f t="shared" si="33"/>
        <v>0</v>
      </c>
      <c r="Y61" s="39">
        <f t="shared" si="33"/>
        <v>0</v>
      </c>
      <c r="Z61" s="61">
        <f t="shared" si="33"/>
        <v>0</v>
      </c>
      <c r="AA61" s="39">
        <f t="shared" si="33"/>
        <v>0</v>
      </c>
      <c r="AB61" s="61">
        <f t="shared" si="33"/>
        <v>0</v>
      </c>
      <c r="AC61" s="39">
        <f t="shared" si="33"/>
        <v>0</v>
      </c>
      <c r="AD61" s="61">
        <f t="shared" si="33"/>
        <v>12445</v>
      </c>
      <c r="AE61" s="39">
        <f t="shared" ref="AE61:AK61" si="35">SUM(AE59:AE60)</f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-13359471</v>
      </c>
      <c r="E64" s="38">
        <f>SUM(G64,I64,K64,M64,O64,Q64,S64,U64,W64,Y64,AA64,AC64,AE64,AG64,AI64,AK64,AM64,AO64,AQ64,AS64,AU64)</f>
        <v>-3420632.78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-886869</v>
      </c>
      <c r="I64" s="68">
        <f>+BGC_GL!I64+'SE-LRC-GL'!I64+NE_GL!I64+'SE-EGM-GL'!I64</f>
        <v>-1246212</v>
      </c>
      <c r="J64" s="64">
        <f>+BGC_GL!J64+'SE-LRC-GL'!J64+NE_GL!J64+'SE-EGM-GL'!J64</f>
        <v>-12665248</v>
      </c>
      <c r="K64" s="68">
        <f>+BGC_GL!K64+'SE-LRC-GL'!K64+NE_GL!K64+'SE-EGM-GL'!K64</f>
        <v>-2193760.2999999998</v>
      </c>
      <c r="L64" s="64">
        <f>+BGC_GL!L64+'SE-LRC-GL'!L64+NE_GL!L64+'SE-EGM-GL'!L64</f>
        <v>192646</v>
      </c>
      <c r="M64" s="68">
        <f>+BGC_GL!M64+'SE-LRC-GL'!M64+NE_GL!M64+'SE-EGM-GL'!M64</f>
        <v>-7743.48</v>
      </c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19855124</v>
      </c>
      <c r="E65" s="38">
        <f>SUM(G65,I65,K65,M65,O65,Q65,S65,U65,W65,Y65,AA65,AC65,AE65,AG65,AI65,AK65,AM65,AO65,AQ65,AS65,AU65)</f>
        <v>1538598.9500000002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886869</v>
      </c>
      <c r="I65" s="82">
        <f>+BGC_GL!I65+'SE-LRC-GL'!I65+NE_GL!I65+'SE-EGM-GL'!I65</f>
        <v>1246212</v>
      </c>
      <c r="J65" s="81">
        <f>+BGC_GL!J65+'SE-LRC-GL'!J65+NE_GL!J65+'SE-EGM-GL'!J65</f>
        <v>18974549</v>
      </c>
      <c r="K65" s="82">
        <f>+BGC_GL!K65+'SE-LRC-GL'!K65+NE_GL!K65+'SE-EGM-GL'!K65</f>
        <v>703016.35</v>
      </c>
      <c r="L65" s="81">
        <f>+BGC_GL!L65+'SE-LRC-GL'!L65+NE_GL!L65+'SE-EGM-GL'!L65</f>
        <v>-6294</v>
      </c>
      <c r="M65" s="82">
        <f>+BGC_GL!M65+'SE-LRC-GL'!M65+NE_GL!M65+'SE-EGM-GL'!M65</f>
        <v>-629.4</v>
      </c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5">
      <c r="A66" s="9"/>
      <c r="B66" s="7" t="s">
        <v>68</v>
      </c>
      <c r="C66" s="6"/>
      <c r="D66" s="61">
        <f>SUM(D64:D65)</f>
        <v>6495653</v>
      </c>
      <c r="E66" s="39">
        <f>SUM(E64:E65)</f>
        <v>-1882033.8299999996</v>
      </c>
      <c r="F66" s="61">
        <f t="shared" ref="F66:AD66" si="37">SUM(F64:F65)</f>
        <v>0</v>
      </c>
      <c r="G66" s="39">
        <f t="shared" si="37"/>
        <v>-382917</v>
      </c>
      <c r="H66" s="61">
        <f t="shared" ref="H66:M66" si="38">SUM(H64:H65)</f>
        <v>0</v>
      </c>
      <c r="I66" s="39">
        <f t="shared" si="38"/>
        <v>0</v>
      </c>
      <c r="J66" s="61">
        <f t="shared" si="38"/>
        <v>6309301</v>
      </c>
      <c r="K66" s="39">
        <f t="shared" si="38"/>
        <v>-1490743.9499999997</v>
      </c>
      <c r="L66" s="61">
        <f t="shared" si="38"/>
        <v>186352</v>
      </c>
      <c r="M66" s="39">
        <f t="shared" si="38"/>
        <v>-8372.8799999999992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si="37"/>
        <v>0</v>
      </c>
      <c r="Y66" s="39">
        <f t="shared" si="37"/>
        <v>0</v>
      </c>
      <c r="Z66" s="61">
        <f t="shared" si="37"/>
        <v>0</v>
      </c>
      <c r="AA66" s="39">
        <f t="shared" si="37"/>
        <v>0</v>
      </c>
      <c r="AB66" s="61">
        <f t="shared" si="37"/>
        <v>0</v>
      </c>
      <c r="AC66" s="39">
        <f t="shared" si="37"/>
        <v>0</v>
      </c>
      <c r="AD66" s="61">
        <f t="shared" si="37"/>
        <v>0</v>
      </c>
      <c r="AE66" s="39">
        <f t="shared" ref="AE66:AK66" si="39">SUM(AE64:AE65)</f>
        <v>0</v>
      </c>
      <c r="AF66" s="61">
        <f t="shared" si="39"/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1497196.0399999991</v>
      </c>
      <c r="F70" s="64">
        <f>+BGC_GL!F70+'SE-LRC-GL'!F70+NE_GL!F70+'SE-EGM-GL'!F70</f>
        <v>0</v>
      </c>
      <c r="G70" s="68">
        <f>+BGC_GL!G70+'SE-LRC-GL'!G70+NE_GL!G70+'SE-EGM-GL'!G70</f>
        <v>-9262457.9600000009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10759654</v>
      </c>
      <c r="L70" s="64">
        <f>+BGC_GL!L70+'SE-LRC-GL'!L70+NE_GL!L70+'SE-EGM-GL'!L70</f>
        <v>0</v>
      </c>
      <c r="M70" s="68">
        <f>+BGC_GL!M70+'SE-LRC-GL'!M70+NE_GL!M70+'SE-EGM-GL'!M70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'SE-EGM-GL'!AN70+'SE-LRC-GL'!AN70</f>
        <v>0</v>
      </c>
      <c r="AG70" s="38">
        <f>'SE-EGM-GL'!AO70+'SE-LRC-GL'!AO70</f>
        <v>0</v>
      </c>
      <c r="AH70" s="60">
        <f>'SE-EGM-GL'!AR70+'SE-LRC-GL'!AR70</f>
        <v>0</v>
      </c>
      <c r="AI70" s="38">
        <f>'SE-EGM-GL'!AS70+'SE-LRC-GL'!AS70</f>
        <v>0</v>
      </c>
      <c r="AJ70" s="60">
        <f>'SE-EGM-GL'!AV70+'SE-LRC-GL'!AV70</f>
        <v>0</v>
      </c>
      <c r="AK70" s="38">
        <f>'SE-EGM-GL'!AW70+'SE-LRC-GL'!AW70</f>
        <v>0</v>
      </c>
      <c r="AL70" s="60">
        <f>'SE-EGM-GL'!AX70+'SE-LRC-GL'!AX70</f>
        <v>0</v>
      </c>
      <c r="AM70" s="38">
        <f>'SE-EGM-GL'!AY70+'SE-LRC-GL'!AY70</f>
        <v>0</v>
      </c>
      <c r="AN70" s="60">
        <f>'SE-EGM-GL'!AZ70+'SE-LRC-GL'!AZ70</f>
        <v>0</v>
      </c>
      <c r="AO70" s="38">
        <f>'SE-EGM-GL'!BA70+'SE-LRC-GL'!BA70</f>
        <v>0</v>
      </c>
      <c r="AP70" s="60">
        <f>'SE-EGM-GL'!BB70+'SE-LRC-GL'!BB70</f>
        <v>0</v>
      </c>
      <c r="AQ70" s="38">
        <f>'SE-EGM-GL'!BC70+'SE-LRC-GL'!BC70</f>
        <v>0</v>
      </c>
      <c r="AR70" s="60">
        <f>'SE-EGM-GL'!BD70+'SE-LRC-GL'!BD70</f>
        <v>0</v>
      </c>
      <c r="AS70" s="38">
        <f>'SE-EGM-GL'!BE70+'SE-LRC-GL'!BE70</f>
        <v>0</v>
      </c>
      <c r="AT70" s="60">
        <f>'SE-EGM-GL'!BF70+'SE-LRC-GL'!BF70</f>
        <v>0</v>
      </c>
      <c r="AU70" s="38">
        <f>'SE-EGM-GL'!BG70+'SE-LRC-GL'!BG70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81">
        <f>+BGC_GL!L71+'SE-LRC-GL'!L71+NE_GL!L71+'SE-EGM-GL'!L71</f>
        <v>0</v>
      </c>
      <c r="M71" s="82">
        <f>+BGC_GL!M71+'SE-LRC-GL'!M71+NE_GL!M71+'SE-EGM-GL'!M71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'SE-EGM-GL'!AN71+'SE-LRC-GL'!AN71</f>
        <v>0</v>
      </c>
      <c r="AG71" s="38">
        <f>'SE-EGM-GL'!AO71+'SE-LRC-GL'!AO71</f>
        <v>0</v>
      </c>
      <c r="AH71" s="60">
        <f>'SE-EGM-GL'!AR71+'SE-LRC-GL'!AR71</f>
        <v>0</v>
      </c>
      <c r="AI71" s="38">
        <f>'SE-EGM-GL'!AS71+'SE-LRC-GL'!AS71</f>
        <v>0</v>
      </c>
      <c r="AJ71" s="60">
        <f>'SE-EGM-GL'!AV71+'SE-LRC-GL'!AV71</f>
        <v>0</v>
      </c>
      <c r="AK71" s="38">
        <f>'SE-EGM-GL'!AW71+'SE-LRC-GL'!AW71</f>
        <v>0</v>
      </c>
      <c r="AL71" s="60">
        <f>'SE-EGM-GL'!AX71+'SE-LRC-GL'!AX71</f>
        <v>0</v>
      </c>
      <c r="AM71" s="38">
        <f>'SE-EGM-GL'!AY71+'SE-LRC-GL'!AY71</f>
        <v>0</v>
      </c>
      <c r="AN71" s="60">
        <f>'SE-EGM-GL'!AZ71+'SE-LRC-GL'!AZ71</f>
        <v>0</v>
      </c>
      <c r="AO71" s="38">
        <f>'SE-EGM-GL'!BA71+'SE-LRC-GL'!BA71</f>
        <v>0</v>
      </c>
      <c r="AP71" s="60">
        <f>'SE-EGM-GL'!BB71+'SE-LRC-GL'!BB71</f>
        <v>0</v>
      </c>
      <c r="AQ71" s="38">
        <f>'SE-EGM-GL'!BC71+'SE-LRC-GL'!BC71</f>
        <v>0</v>
      </c>
      <c r="AR71" s="60">
        <f>'SE-EGM-GL'!BD71+'SE-LRC-GL'!BD71</f>
        <v>0</v>
      </c>
      <c r="AS71" s="38">
        <f>'SE-EGM-GL'!BE71+'SE-LRC-GL'!BE71</f>
        <v>0</v>
      </c>
      <c r="AT71" s="60">
        <f>'SE-EGM-GL'!BF71+'SE-LRC-GL'!BF71</f>
        <v>0</v>
      </c>
      <c r="AU71" s="38">
        <f>'SE-EGM-GL'!BG71+'SE-LRC-GL'!BG71</f>
        <v>0</v>
      </c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1497196.0399999991</v>
      </c>
      <c r="F72" s="61">
        <f t="shared" ref="F72:AD72" si="41">SUM(F70:F71)</f>
        <v>0</v>
      </c>
      <c r="G72" s="39">
        <f t="shared" si="41"/>
        <v>-9262457.9600000009</v>
      </c>
      <c r="H72" s="61">
        <f t="shared" ref="H72:M72" si="42">SUM(H70:H71)</f>
        <v>0</v>
      </c>
      <c r="I72" s="39">
        <f t="shared" si="42"/>
        <v>0</v>
      </c>
      <c r="J72" s="61">
        <f t="shared" si="42"/>
        <v>0</v>
      </c>
      <c r="K72" s="39">
        <f t="shared" si="42"/>
        <v>10759654</v>
      </c>
      <c r="L72" s="61">
        <f t="shared" si="42"/>
        <v>0</v>
      </c>
      <c r="M72" s="39">
        <f t="shared" si="42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si="41"/>
        <v>0</v>
      </c>
      <c r="Y72" s="39">
        <f t="shared" si="41"/>
        <v>0</v>
      </c>
      <c r="Z72" s="61">
        <f t="shared" si="41"/>
        <v>0</v>
      </c>
      <c r="AA72" s="39">
        <f t="shared" si="41"/>
        <v>0</v>
      </c>
      <c r="AB72" s="61">
        <f t="shared" si="41"/>
        <v>0</v>
      </c>
      <c r="AC72" s="39">
        <f t="shared" si="41"/>
        <v>0</v>
      </c>
      <c r="AD72" s="61">
        <f t="shared" si="41"/>
        <v>0</v>
      </c>
      <c r="AE72" s="39">
        <f t="shared" ref="AE72:AK72" si="43">SUM(AE70:AE71)</f>
        <v>0</v>
      </c>
      <c r="AF72" s="61">
        <f t="shared" si="43"/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+BGC_GL!L73+'SE-LRC-GL'!L73+NE_GL!L73+'SE-EGM-GL'!L73</f>
        <v>0</v>
      </c>
      <c r="M73" s="168">
        <f>+BGC_GL!M73+'SE-LRC-GL'!M73+NE_GL!M73+'SE-EGM-GL'!M73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'SE-EGM-GL'!AN73+'SE-LRC-GL'!AN73</f>
        <v>0</v>
      </c>
      <c r="AG73" s="38">
        <f>'SE-EGM-GL'!AO73+'SE-LRC-GL'!AO73</f>
        <v>0</v>
      </c>
      <c r="AH73" s="60">
        <f>'SE-EGM-GL'!AR73+'SE-LRC-GL'!AR73</f>
        <v>0</v>
      </c>
      <c r="AI73" s="38">
        <f>'SE-EGM-GL'!AS73+'SE-LRC-GL'!AS73</f>
        <v>0</v>
      </c>
      <c r="AJ73" s="60">
        <f>'SE-EGM-GL'!AV73+'SE-LRC-GL'!AV73</f>
        <v>0</v>
      </c>
      <c r="AK73" s="38">
        <f>'SE-EGM-GL'!AW73+'SE-LRC-GL'!AW73</f>
        <v>0</v>
      </c>
      <c r="AL73" s="60">
        <f>'SE-EGM-GL'!AX73+'SE-LRC-GL'!AX73</f>
        <v>0</v>
      </c>
      <c r="AM73" s="38">
        <f>'SE-EGM-GL'!AY73+'SE-LRC-GL'!AY73</f>
        <v>0</v>
      </c>
      <c r="AN73" s="60">
        <f>'SE-EGM-GL'!AZ73+'SE-LRC-GL'!AZ73</f>
        <v>0</v>
      </c>
      <c r="AO73" s="38">
        <f>'SE-EGM-GL'!BA73+'SE-LRC-GL'!BA73</f>
        <v>0</v>
      </c>
      <c r="AP73" s="60">
        <f>'SE-EGM-GL'!BB73+'SE-LRC-GL'!BB73</f>
        <v>0</v>
      </c>
      <c r="AQ73" s="38">
        <f>'SE-EGM-GL'!BC73+'SE-LRC-GL'!BC73</f>
        <v>0</v>
      </c>
      <c r="AR73" s="60">
        <f>'SE-EGM-GL'!BD73+'SE-LRC-GL'!BD73</f>
        <v>0</v>
      </c>
      <c r="AS73" s="38">
        <f>'SE-EGM-GL'!BE73+'SE-LRC-GL'!BE73</f>
        <v>0</v>
      </c>
      <c r="AT73" s="60">
        <f>'SE-EGM-GL'!BF73+'SE-LRC-GL'!BF73</f>
        <v>0</v>
      </c>
      <c r="AU73" s="38">
        <f>'SE-EGM-GL'!BG73+'SE-LRC-GL'!BG73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6218588.0399999991</v>
      </c>
      <c r="F74" s="60">
        <f>+BGC_GL!F74+'SE-LRC-GL'!F74+NE_GL!F74+'SE-EGM-GL'!F74</f>
        <v>0</v>
      </c>
      <c r="G74" s="60">
        <f>+BGC_GL!G74+'SE-LRC-GL'!G74+NE_GL!G74+'SE-EGM-GL'!G74</f>
        <v>6218588.0399999991</v>
      </c>
      <c r="H74" s="60">
        <f>+BGC_GL!H74+'SE-LRC-GL'!H74+NE_GL!H74+'SE-EGM-GL'!H74</f>
        <v>0</v>
      </c>
      <c r="I74" s="60">
        <f>+BGC_GL!I74+'SE-LRC-GL'!I74+NE_GL!I74+'SE-EGM-GL'!I74</f>
        <v>0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+BGC_GL!L74+'SE-LRC-GL'!L74+NE_GL!L74+'SE-EGM-GL'!L74</f>
        <v>0</v>
      </c>
      <c r="M74" s="169">
        <f>+BGC_GL!M74+'SE-LRC-GL'!M74+NE_GL!M74+'SE-EGM-GL'!M74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'SE-EGM-GL'!AN74+'SE-LRC-GL'!AN74</f>
        <v>0</v>
      </c>
      <c r="AG74" s="38">
        <f>'SE-EGM-GL'!AO74+'SE-LRC-GL'!AO74</f>
        <v>0</v>
      </c>
      <c r="AH74" s="60">
        <f>'SE-EGM-GL'!AR74+'SE-LRC-GL'!AR74</f>
        <v>0</v>
      </c>
      <c r="AI74" s="38">
        <f>'SE-EGM-GL'!AS74+'SE-LRC-GL'!AS74</f>
        <v>0</v>
      </c>
      <c r="AJ74" s="60">
        <f>'SE-EGM-GL'!AV74+'SE-LRC-GL'!AV74</f>
        <v>0</v>
      </c>
      <c r="AK74" s="38">
        <f>'SE-EGM-GL'!AW74+'SE-LRC-GL'!AW74</f>
        <v>0</v>
      </c>
      <c r="AL74" s="60">
        <f>'SE-EGM-GL'!AX74+'SE-LRC-GL'!AX74</f>
        <v>0</v>
      </c>
      <c r="AM74" s="38">
        <f>'SE-EGM-GL'!AY74+'SE-LRC-GL'!AY74</f>
        <v>0</v>
      </c>
      <c r="AN74" s="60">
        <f>'SE-EGM-GL'!AZ74+'SE-LRC-GL'!AZ74</f>
        <v>0</v>
      </c>
      <c r="AO74" s="38">
        <f>'SE-EGM-GL'!BA74+'SE-LRC-GL'!BA74</f>
        <v>0</v>
      </c>
      <c r="AP74" s="60">
        <f>'SE-EGM-GL'!BB74+'SE-LRC-GL'!BB74</f>
        <v>0</v>
      </c>
      <c r="AQ74" s="38">
        <f>'SE-EGM-GL'!BC74+'SE-LRC-GL'!BC74</f>
        <v>0</v>
      </c>
      <c r="AR74" s="60">
        <f>'SE-EGM-GL'!BD74+'SE-LRC-GL'!BD74</f>
        <v>0</v>
      </c>
      <c r="AS74" s="38">
        <f>'SE-EGM-GL'!BE74+'SE-LRC-GL'!BE74</f>
        <v>0</v>
      </c>
      <c r="AT74" s="60">
        <f>'SE-EGM-GL'!BF74+'SE-LRC-GL'!BF74</f>
        <v>0</v>
      </c>
      <c r="AU74" s="38">
        <f>'SE-EGM-GL'!BG74+'SE-LRC-GL'!BG74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16300</v>
      </c>
      <c r="F75" s="60">
        <f>+BGC_GL!F75+'SE-LRC-GL'!F75+NE_GL!F75+'SE-EGM-GL'!F75</f>
        <v>0</v>
      </c>
      <c r="G75" s="60">
        <f>+BGC_GL!G75+'SE-LRC-GL'!G75+NE_GL!G75+'SE-EGM-GL'!G75</f>
        <v>16300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+BGC_GL!L75+'SE-LRC-GL'!L75+NE_GL!L75+'SE-EGM-GL'!L75</f>
        <v>0</v>
      </c>
      <c r="M75" s="169">
        <f>+BGC_GL!M75+'SE-LRC-GL'!M75+NE_GL!M75+'SE-EGM-GL'!M75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'SE-EGM-GL'!AN75+'SE-LRC-GL'!AN75</f>
        <v>0</v>
      </c>
      <c r="AG75" s="38">
        <f>'SE-EGM-GL'!AO75+'SE-LRC-GL'!AO75</f>
        <v>0</v>
      </c>
      <c r="AH75" s="60">
        <f>'SE-EGM-GL'!AR75+'SE-LRC-GL'!AR75</f>
        <v>0</v>
      </c>
      <c r="AI75" s="38">
        <f>'SE-EGM-GL'!AS75+'SE-LRC-GL'!AS75</f>
        <v>0</v>
      </c>
      <c r="AJ75" s="60">
        <f>'SE-EGM-GL'!AV75+'SE-LRC-GL'!AV75</f>
        <v>0</v>
      </c>
      <c r="AK75" s="38">
        <f>'SE-EGM-GL'!AW75+'SE-LRC-GL'!AW75</f>
        <v>0</v>
      </c>
      <c r="AL75" s="60">
        <f>'SE-EGM-GL'!AX75+'SE-LRC-GL'!AX75</f>
        <v>0</v>
      </c>
      <c r="AM75" s="38">
        <f>'SE-EGM-GL'!AY75+'SE-LRC-GL'!AY75</f>
        <v>0</v>
      </c>
      <c r="AN75" s="60">
        <f>'SE-EGM-GL'!AZ75+'SE-LRC-GL'!AZ75</f>
        <v>0</v>
      </c>
      <c r="AO75" s="38">
        <f>'SE-EGM-GL'!BA75+'SE-LRC-GL'!BA75</f>
        <v>0</v>
      </c>
      <c r="AP75" s="60">
        <f>'SE-EGM-GL'!BB75+'SE-LRC-GL'!BB75</f>
        <v>0</v>
      </c>
      <c r="AQ75" s="38">
        <f>'SE-EGM-GL'!BC75+'SE-LRC-GL'!BC75</f>
        <v>0</v>
      </c>
      <c r="AR75" s="60">
        <f>'SE-EGM-GL'!BD75+'SE-LRC-GL'!BD75</f>
        <v>0</v>
      </c>
      <c r="AS75" s="38">
        <f>'SE-EGM-GL'!BE75+'SE-LRC-GL'!BE75</f>
        <v>0</v>
      </c>
      <c r="AT75" s="60">
        <f>'SE-EGM-GL'!BF75+'SE-LRC-GL'!BF75</f>
        <v>0</v>
      </c>
      <c r="AU75" s="38">
        <f>'SE-EGM-GL'!BG75+'SE-LRC-GL'!BG75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-184499.99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0</v>
      </c>
      <c r="J76" s="60">
        <f>+BGC_GL!J76+'SE-LRC-GL'!J76+NE_GL!J76+'SE-EGM-GL'!J76</f>
        <v>0</v>
      </c>
      <c r="K76" s="169">
        <f>+BGC_GL!K76+'SE-LRC-GL'!K76+NE_GL!K76+'SE-EGM-GL'!K76</f>
        <v>-184499.99</v>
      </c>
      <c r="L76" s="60">
        <f>+BGC_GL!L76+'SE-LRC-GL'!L76+NE_GL!L76+'SE-EGM-GL'!L76</f>
        <v>0</v>
      </c>
      <c r="M76" s="169">
        <f>+BGC_GL!M76+'SE-LRC-GL'!M76+NE_GL!M76+'SE-EGM-GL'!M76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'SE-EGM-GL'!AN76+'SE-LRC-GL'!AN76</f>
        <v>0</v>
      </c>
      <c r="AG76" s="38">
        <f>'SE-EGM-GL'!AO76+'SE-LRC-GL'!AO76</f>
        <v>0</v>
      </c>
      <c r="AH76" s="60">
        <f>'SE-EGM-GL'!AR76+'SE-LRC-GL'!AR76</f>
        <v>0</v>
      </c>
      <c r="AI76" s="38">
        <f>'SE-EGM-GL'!AS76+'SE-LRC-GL'!AS76</f>
        <v>0</v>
      </c>
      <c r="AJ76" s="60">
        <f>'SE-EGM-GL'!AV76+'SE-LRC-GL'!AV76</f>
        <v>0</v>
      </c>
      <c r="AK76" s="38">
        <f>'SE-EGM-GL'!AW76+'SE-LRC-GL'!AW76</f>
        <v>0</v>
      </c>
      <c r="AL76" s="60">
        <f>'SE-EGM-GL'!AX76+'SE-LRC-GL'!AX76</f>
        <v>0</v>
      </c>
      <c r="AM76" s="38">
        <f>'SE-EGM-GL'!AY76+'SE-LRC-GL'!AY76</f>
        <v>0</v>
      </c>
      <c r="AN76" s="60">
        <f>'SE-EGM-GL'!AZ76+'SE-LRC-GL'!AZ76</f>
        <v>0</v>
      </c>
      <c r="AO76" s="38">
        <f>'SE-EGM-GL'!BA76+'SE-LRC-GL'!BA76</f>
        <v>0</v>
      </c>
      <c r="AP76" s="60">
        <f>'SE-EGM-GL'!BB76+'SE-LRC-GL'!BB76</f>
        <v>0</v>
      </c>
      <c r="AQ76" s="38">
        <f>'SE-EGM-GL'!BC76+'SE-LRC-GL'!BC76</f>
        <v>0</v>
      </c>
      <c r="AR76" s="60">
        <f>'SE-EGM-GL'!BD76+'SE-LRC-GL'!BD76</f>
        <v>0</v>
      </c>
      <c r="AS76" s="38">
        <f>'SE-EGM-GL'!BE76+'SE-LRC-GL'!BE76</f>
        <v>0</v>
      </c>
      <c r="AT76" s="60">
        <f>'SE-EGM-GL'!BF76+'SE-LRC-GL'!BF76</f>
        <v>0</v>
      </c>
      <c r="AU76" s="38">
        <f>'SE-EGM-GL'!BG76+'SE-LRC-GL'!BG76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-3276809</v>
      </c>
      <c r="F77" s="60">
        <f>+BGC_GL!F77+'SE-LRC-GL'!F77+NE_GL!F77+'SE-EGM-GL'!F77</f>
        <v>0</v>
      </c>
      <c r="G77" s="60">
        <f>+BGC_GL!G77+'SE-LRC-GL'!G77+NE_GL!G77+'SE-EGM-GL'!G77</f>
        <v>-3276809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+BGC_GL!L77+'SE-LRC-GL'!L77+NE_GL!L77+'SE-EGM-GL'!L77</f>
        <v>0</v>
      </c>
      <c r="M77" s="169">
        <f>+BGC_GL!M77+'SE-LRC-GL'!M77+NE_GL!M77+'SE-EGM-GL'!M77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'SE-EGM-GL'!AN77+'SE-LRC-GL'!AN77</f>
        <v>0</v>
      </c>
      <c r="AG77" s="38">
        <f>'SE-EGM-GL'!AO77+'SE-LRC-GL'!AO77</f>
        <v>0</v>
      </c>
      <c r="AH77" s="60">
        <f>'SE-EGM-GL'!AR77+'SE-LRC-GL'!AR77</f>
        <v>0</v>
      </c>
      <c r="AI77" s="38">
        <f>'SE-EGM-GL'!AS77+'SE-LRC-GL'!AS77</f>
        <v>0</v>
      </c>
      <c r="AJ77" s="60">
        <f>'SE-EGM-GL'!AV77+'SE-LRC-GL'!AV77</f>
        <v>0</v>
      </c>
      <c r="AK77" s="38">
        <f>'SE-EGM-GL'!AW77+'SE-LRC-GL'!AW77</f>
        <v>0</v>
      </c>
      <c r="AL77" s="60">
        <f>'SE-EGM-GL'!AX77+'SE-LRC-GL'!AX77</f>
        <v>0</v>
      </c>
      <c r="AM77" s="38">
        <f>'SE-EGM-GL'!AY77+'SE-LRC-GL'!AY77</f>
        <v>0</v>
      </c>
      <c r="AN77" s="60">
        <f>'SE-EGM-GL'!AZ77+'SE-LRC-GL'!AZ77</f>
        <v>0</v>
      </c>
      <c r="AO77" s="38">
        <f>'SE-EGM-GL'!BA77+'SE-LRC-GL'!BA77</f>
        <v>0</v>
      </c>
      <c r="AP77" s="60">
        <f>'SE-EGM-GL'!BB77+'SE-LRC-GL'!BB77</f>
        <v>0</v>
      </c>
      <c r="AQ77" s="38">
        <f>'SE-EGM-GL'!BC77+'SE-LRC-GL'!BC77</f>
        <v>0</v>
      </c>
      <c r="AR77" s="60">
        <f>'SE-EGM-GL'!BD77+'SE-LRC-GL'!BD77</f>
        <v>0</v>
      </c>
      <c r="AS77" s="38">
        <f>'SE-EGM-GL'!BE77+'SE-LRC-GL'!BE77</f>
        <v>0</v>
      </c>
      <c r="AT77" s="60">
        <f>'SE-EGM-GL'!BF77+'SE-LRC-GL'!BF77</f>
        <v>0</v>
      </c>
      <c r="AU77" s="38">
        <f>'SE-EGM-GL'!BG77+'SE-LRC-GL'!BG77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+BGC_GL!L78+'SE-LRC-GL'!L78+NE_GL!L78+'SE-EGM-GL'!L78</f>
        <v>0</v>
      </c>
      <c r="M78" s="169">
        <f>+BGC_GL!M78+'SE-LRC-GL'!M78+NE_GL!M78+'SE-EGM-GL'!M78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'SE-EGM-GL'!AN78+'SE-LRC-GL'!AN78</f>
        <v>0</v>
      </c>
      <c r="AG78" s="38">
        <f>'SE-EGM-GL'!AO78+'SE-LRC-GL'!AO78</f>
        <v>0</v>
      </c>
      <c r="AH78" s="60">
        <f>'SE-EGM-GL'!AR78+'SE-LRC-GL'!AR78</f>
        <v>0</v>
      </c>
      <c r="AI78" s="38">
        <f>'SE-EGM-GL'!AS78+'SE-LRC-GL'!AS78</f>
        <v>0</v>
      </c>
      <c r="AJ78" s="60">
        <f>'SE-EGM-GL'!AV78+'SE-LRC-GL'!AV78</f>
        <v>0</v>
      </c>
      <c r="AK78" s="38">
        <f>'SE-EGM-GL'!AW78+'SE-LRC-GL'!AW78</f>
        <v>0</v>
      </c>
      <c r="AL78" s="60">
        <f>'SE-EGM-GL'!AX78+'SE-LRC-GL'!AX78</f>
        <v>0</v>
      </c>
      <c r="AM78" s="38">
        <f>'SE-EGM-GL'!AY78+'SE-LRC-GL'!AY78</f>
        <v>0</v>
      </c>
      <c r="AN78" s="60">
        <f>'SE-EGM-GL'!AZ78+'SE-LRC-GL'!AZ78</f>
        <v>0</v>
      </c>
      <c r="AO78" s="38">
        <f>'SE-EGM-GL'!BA78+'SE-LRC-GL'!BA78</f>
        <v>0</v>
      </c>
      <c r="AP78" s="60">
        <f>'SE-EGM-GL'!BB78+'SE-LRC-GL'!BB78</f>
        <v>0</v>
      </c>
      <c r="AQ78" s="38">
        <f>'SE-EGM-GL'!BC78+'SE-LRC-GL'!BC78</f>
        <v>0</v>
      </c>
      <c r="AR78" s="60">
        <f>'SE-EGM-GL'!BD78+'SE-LRC-GL'!BD78</f>
        <v>0</v>
      </c>
      <c r="AS78" s="38">
        <f>'SE-EGM-GL'!BE78+'SE-LRC-GL'!BE78</f>
        <v>0</v>
      </c>
      <c r="AT78" s="60">
        <f>'SE-EGM-GL'!BF78+'SE-LRC-GL'!BF78</f>
        <v>0</v>
      </c>
      <c r="AU78" s="38">
        <f>'SE-EGM-GL'!BG78+'SE-LRC-GL'!BG78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+BGC_GL!L79+'SE-LRC-GL'!L79+NE_GL!L79+'SE-EGM-GL'!L79</f>
        <v>0</v>
      </c>
      <c r="M79" s="169">
        <f>+BGC_GL!M79+'SE-LRC-GL'!M79+NE_GL!M79+'SE-EGM-GL'!M79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'SE-EGM-GL'!AN79+'SE-LRC-GL'!AN79</f>
        <v>0</v>
      </c>
      <c r="AG79" s="38">
        <f>'SE-EGM-GL'!AO79+'SE-LRC-GL'!AO79</f>
        <v>0</v>
      </c>
      <c r="AH79" s="60">
        <f>'SE-EGM-GL'!AR79+'SE-LRC-GL'!AR79</f>
        <v>0</v>
      </c>
      <c r="AI79" s="38">
        <f>'SE-EGM-GL'!AS79+'SE-LRC-GL'!AS79</f>
        <v>0</v>
      </c>
      <c r="AJ79" s="60">
        <f>'SE-EGM-GL'!AV79+'SE-LRC-GL'!AV79</f>
        <v>0</v>
      </c>
      <c r="AK79" s="38">
        <f>'SE-EGM-GL'!AW79+'SE-LRC-GL'!AW79</f>
        <v>0</v>
      </c>
      <c r="AL79" s="60">
        <f>'SE-EGM-GL'!AX79+'SE-LRC-GL'!AX79</f>
        <v>0</v>
      </c>
      <c r="AM79" s="38">
        <f>'SE-EGM-GL'!AY79+'SE-LRC-GL'!AY79</f>
        <v>0</v>
      </c>
      <c r="AN79" s="60">
        <f>'SE-EGM-GL'!AZ79+'SE-LRC-GL'!AZ79</f>
        <v>0</v>
      </c>
      <c r="AO79" s="38">
        <f>'SE-EGM-GL'!BA79+'SE-LRC-GL'!BA79</f>
        <v>0</v>
      </c>
      <c r="AP79" s="60">
        <f>'SE-EGM-GL'!BB79+'SE-LRC-GL'!BB79</f>
        <v>0</v>
      </c>
      <c r="AQ79" s="38">
        <f>'SE-EGM-GL'!BC79+'SE-LRC-GL'!BC79</f>
        <v>0</v>
      </c>
      <c r="AR79" s="60">
        <f>'SE-EGM-GL'!BD79+'SE-LRC-GL'!BD79</f>
        <v>0</v>
      </c>
      <c r="AS79" s="38">
        <f>'SE-EGM-GL'!BE79+'SE-LRC-GL'!BE79</f>
        <v>0</v>
      </c>
      <c r="AT79" s="60">
        <f>'SE-EGM-GL'!BF79+'SE-LRC-GL'!BF79</f>
        <v>0</v>
      </c>
      <c r="AU79" s="38">
        <f>'SE-EGM-GL'!BG79+'SE-LRC-GL'!BG79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+BGC_GL!L80+'SE-LRC-GL'!L80+NE_GL!L80+'SE-EGM-GL'!L80</f>
        <v>0</v>
      </c>
      <c r="M80" s="169">
        <f>+BGC_GL!M80+'SE-LRC-GL'!M80+NE_GL!M80+'SE-EGM-GL'!M80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'SE-EGM-GL'!AN80+'SE-LRC-GL'!AN80</f>
        <v>0</v>
      </c>
      <c r="AG80" s="38">
        <f>'SE-EGM-GL'!AO80+'SE-LRC-GL'!AO80</f>
        <v>0</v>
      </c>
      <c r="AH80" s="60">
        <f>'SE-EGM-GL'!AR80+'SE-LRC-GL'!AR80</f>
        <v>0</v>
      </c>
      <c r="AI80" s="38">
        <f>'SE-EGM-GL'!AS80+'SE-LRC-GL'!AS80</f>
        <v>0</v>
      </c>
      <c r="AJ80" s="60">
        <f>'SE-EGM-GL'!AV80+'SE-LRC-GL'!AV80</f>
        <v>0</v>
      </c>
      <c r="AK80" s="38">
        <f>'SE-EGM-GL'!AW80+'SE-LRC-GL'!AW80</f>
        <v>0</v>
      </c>
      <c r="AL80" s="60">
        <f>'SE-EGM-GL'!AX80+'SE-LRC-GL'!AX80</f>
        <v>0</v>
      </c>
      <c r="AM80" s="38">
        <f>'SE-EGM-GL'!AY80+'SE-LRC-GL'!AY80</f>
        <v>0</v>
      </c>
      <c r="AN80" s="60">
        <f>'SE-EGM-GL'!AZ80+'SE-LRC-GL'!AZ80</f>
        <v>0</v>
      </c>
      <c r="AO80" s="38">
        <f>'SE-EGM-GL'!BA80+'SE-LRC-GL'!BA80</f>
        <v>0</v>
      </c>
      <c r="AP80" s="60">
        <f>'SE-EGM-GL'!BB80+'SE-LRC-GL'!BB80</f>
        <v>0</v>
      </c>
      <c r="AQ80" s="38">
        <f>'SE-EGM-GL'!BC80+'SE-LRC-GL'!BC80</f>
        <v>0</v>
      </c>
      <c r="AR80" s="60">
        <f>'SE-EGM-GL'!BD80+'SE-LRC-GL'!BD80</f>
        <v>0</v>
      </c>
      <c r="AS80" s="38">
        <f>'SE-EGM-GL'!BE80+'SE-LRC-GL'!BE80</f>
        <v>0</v>
      </c>
      <c r="AT80" s="60">
        <f>'SE-EGM-GL'!BF80+'SE-LRC-GL'!BF80</f>
        <v>0</v>
      </c>
      <c r="AU80" s="38">
        <f>'SE-EGM-GL'!BG80+'SE-LRC-GL'!BG80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476861.95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287432.57</v>
      </c>
      <c r="J81" s="60">
        <f>+BGC_GL!J81+'SE-LRC-GL'!J81+NE_GL!J81+'SE-EGM-GL'!J81</f>
        <v>0</v>
      </c>
      <c r="K81" s="170">
        <f>+BGC_GL!K81+'SE-LRC-GL'!K81+NE_GL!K81+'SE-EGM-GL'!K81</f>
        <v>189429.38</v>
      </c>
      <c r="L81" s="60">
        <f>+BGC_GL!L81+'SE-LRC-GL'!L81+NE_GL!L81+'SE-EGM-GL'!L81</f>
        <v>0</v>
      </c>
      <c r="M81" s="170">
        <f>+BGC_GL!M81+'SE-LRC-GL'!M81+NE_GL!M81+'SE-EGM-GL'!M81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'SE-EGM-GL'!AN81+'SE-LRC-GL'!AN81</f>
        <v>0</v>
      </c>
      <c r="AG81" s="38">
        <f>'SE-EGM-GL'!AO81+'SE-LRC-GL'!AO81</f>
        <v>0</v>
      </c>
      <c r="AH81" s="60">
        <f>'SE-EGM-GL'!AR81+'SE-LRC-GL'!AR81</f>
        <v>0</v>
      </c>
      <c r="AI81" s="38">
        <f>'SE-EGM-GL'!AS81+'SE-LRC-GL'!AS81</f>
        <v>0</v>
      </c>
      <c r="AJ81" s="60">
        <f>'SE-EGM-GL'!AV81+'SE-LRC-GL'!AV81</f>
        <v>0</v>
      </c>
      <c r="AK81" s="38">
        <f>'SE-EGM-GL'!AW81+'SE-LRC-GL'!AW81</f>
        <v>0</v>
      </c>
      <c r="AL81" s="60">
        <f>'SE-EGM-GL'!AX81+'SE-LRC-GL'!AX81</f>
        <v>0</v>
      </c>
      <c r="AM81" s="38">
        <f>'SE-EGM-GL'!AY81+'SE-LRC-GL'!AY81</f>
        <v>0</v>
      </c>
      <c r="AN81" s="60">
        <f>'SE-EGM-GL'!AZ81+'SE-LRC-GL'!AZ81</f>
        <v>0</v>
      </c>
      <c r="AO81" s="38">
        <f>'SE-EGM-GL'!BA81+'SE-LRC-GL'!BA81</f>
        <v>0</v>
      </c>
      <c r="AP81" s="60">
        <f>'SE-EGM-GL'!BB81+'SE-LRC-GL'!BB81</f>
        <v>0</v>
      </c>
      <c r="AQ81" s="38">
        <f>'SE-EGM-GL'!BC81+'SE-LRC-GL'!BC81</f>
        <v>0</v>
      </c>
      <c r="AR81" s="60">
        <f>'SE-EGM-GL'!BD81+'SE-LRC-GL'!BD81</f>
        <v>0</v>
      </c>
      <c r="AS81" s="38">
        <f>'SE-EGM-GL'!BE81+'SE-LRC-GL'!BE81</f>
        <v>0</v>
      </c>
      <c r="AT81" s="60">
        <f>'SE-EGM-GL'!BF81+'SE-LRC-GL'!BF81</f>
        <v>0</v>
      </c>
      <c r="AU81" s="38">
        <f>'SE-EGM-GL'!BG81+'SE-LRC-GL'!BG81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296529.05000012601</v>
      </c>
      <c r="F82" s="92">
        <f>F16+F24+F29+F36+F43+F45+F47+F49</f>
        <v>0</v>
      </c>
      <c r="G82" s="93">
        <f>SUM(G72:G81)+G16+G24+G29+G36+G43+G45+G47+G49+G51+G56+G61+G66</f>
        <v>-13885778.780000001</v>
      </c>
      <c r="H82" s="92">
        <f>H16+H24+H29+H36+H43+H45+H47+H49</f>
        <v>0</v>
      </c>
      <c r="I82" s="93">
        <f>SUM(I72:I81)+I16+I24+I29+I36+I43+I45+I47+I49+I51+I56+I61+I66</f>
        <v>19009998.777999997</v>
      </c>
      <c r="J82" s="92">
        <f>J16+J24+J29+J36+J43+J45+J47+J49</f>
        <v>0</v>
      </c>
      <c r="K82" s="93">
        <f>SUM(K72:K81)+K16+K24+K29+K36+K43+K45+K47+K49+K51+K56+K61+K66</f>
        <v>15806378.718000002</v>
      </c>
      <c r="L82" s="92">
        <f>L16+L24+L29+L36+L43+L45+L47+L49</f>
        <v>0</v>
      </c>
      <c r="M82" s="93">
        <f>SUM(M72:M81)+M16+M24+M29+M36+M43+M45+M47+M49+M51+M56+M61+M66</f>
        <v>-20295123.451999996</v>
      </c>
      <c r="N82" s="92">
        <f>N16+N24+N29+N36+N43+N45+N47+N49</f>
        <v>0</v>
      </c>
      <c r="O82" s="93">
        <f>SUM(O72:O81)+O16+O24+O29+O36+O43+O45+O47+O49+O51+O56+O61+O66</f>
        <v>562871.43999999994</v>
      </c>
      <c r="P82" s="92">
        <f>P16+P24+P29+P36+P43+P45+P47+P49</f>
        <v>0</v>
      </c>
      <c r="Q82" s="93">
        <f>SUM(Q72:Q81)+Q16+Q24+Q29+Q36+Q43+Q45+Q47+Q49+Q51+Q56+Q61+Q66</f>
        <v>-896025.72400000005</v>
      </c>
      <c r="R82" s="92">
        <f>R16+R24+R29+R36+R43+R45+R47+R49</f>
        <v>0</v>
      </c>
      <c r="S82" s="93">
        <f>SUM(S72:S81)+S16+S24+S29+S36+S43+S45+S47+S49+S51+S56+S61+S66</f>
        <v>-1478.179999999993</v>
      </c>
      <c r="T82" s="92">
        <f>T16+T24+T29+T36+T43+T45+T47+T49</f>
        <v>0</v>
      </c>
      <c r="U82" s="93">
        <f>SUM(U72:U81)+U16+U24+U29+U36+U43+U45+U47+U49+U51+U56+U61+U66</f>
        <v>-1419.6459999999988</v>
      </c>
      <c r="V82" s="92">
        <f>V16+V24+V29+V36+V43+V45+V47+V49</f>
        <v>0</v>
      </c>
      <c r="W82" s="93">
        <f>SUM(W72:W81)+W16+W24+W29+W36+W43+W45+W47+W49+W51+W56+W61+W66</f>
        <v>-8969.4539999999979</v>
      </c>
      <c r="X82" s="92">
        <f>X16+X24+X29+X36+X43+X45+X47+X49</f>
        <v>0</v>
      </c>
      <c r="Y82" s="93">
        <f>SUM(Y72:Y81)+Y16+Y24+Y29+Y36+Y43+Y45+Y47+Y49+Y51+Y56+Y61+Y66</f>
        <v>19435.704000000005</v>
      </c>
      <c r="Z82" s="92">
        <f>Z16+Z24+Z29+Z36+Z43+Z45+Z47+Z49</f>
        <v>0</v>
      </c>
      <c r="AA82" s="93">
        <f>SUM(AA72:AA81)+AA16+AA24+AA29+AA36+AA43+AA45+AA47+AA49+AA51+AA56+AA61+AA66</f>
        <v>-12924.109999999999</v>
      </c>
      <c r="AB82" s="92">
        <f>AB16+AB24+AB29+AB36+AB43+AB45+AB47+AB49</f>
        <v>0</v>
      </c>
      <c r="AC82" s="93">
        <f>SUM(AC72:AC81)+AC16+AC24+AC29+AC36+AC43+AC45+AC47+AC49+AC51+AC56+AC61+AC66</f>
        <v>17406.078000000038</v>
      </c>
      <c r="AD82" s="92">
        <f>AD16+AD24+AD29+AD36+AD43+AD45+AD47+AD49</f>
        <v>0</v>
      </c>
      <c r="AE82" s="93">
        <f>SUM(AE72:AE81)+AE16+AE24+AE29+AE36+AE43+AE45+AE47+AE49+AE51+AE56+AE61+AE66</f>
        <v>-18001.958000000013</v>
      </c>
      <c r="AF82" s="92">
        <f>AF16+AF24+AF29+AF36+AF43+AF45+AF47+AF49</f>
        <v>0</v>
      </c>
      <c r="AG82" s="93">
        <f>SUM(AG72:AG81)+AG16+AG24+AG29+AG36+AG43+AG45+AG47+AG49+AG51+AG56+AG61+AG66</f>
        <v>159.63599999999951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  <c r="G84" s="167">
        <f>+'SE-LRC-GL'!G82+'SE-EGM-GL'!G82+NE_GL!G82+BGC_GL!G82</f>
        <v>-13885778.780000001</v>
      </c>
      <c r="I84" s="167">
        <f>+'SE-LRC-GL'!I82+'SE-EGM-GL'!I82+NE_GL!I82+BGC_GL!I82</f>
        <v>19009998.777999993</v>
      </c>
      <c r="K84" s="167">
        <f>+'SE-LRC-GL'!K82+'SE-EGM-GL'!K82+NE_GL!K82+BGC_GL!K82</f>
        <v>15806378.718000002</v>
      </c>
      <c r="M84" s="167">
        <f>+'SE-LRC-GL'!M82+'SE-EGM-GL'!M82+NE_GL!M82+BGC_GL!M82</f>
        <v>-20295123.452</v>
      </c>
    </row>
    <row r="85" spans="1:47" x14ac:dyDescent="0.25">
      <c r="A85" s="4" t="s">
        <v>193</v>
      </c>
      <c r="B85" s="3"/>
      <c r="F85" s="31"/>
      <c r="G85" s="31"/>
      <c r="H85" s="31"/>
      <c r="I85" s="31"/>
      <c r="L85" s="45"/>
    </row>
    <row r="86" spans="1:47" s="3" customFormat="1" x14ac:dyDescent="0.25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-6906.04</v>
      </c>
      <c r="F86" s="184">
        <f>+BGC_GL!F86+'SE-LRC-GL'!F86+NE_GL!F86+'SE-EGM-GL'!F86</f>
        <v>0</v>
      </c>
      <c r="G86" s="184">
        <f>+BGC_GL!G86+'SE-LRC-GL'!G86+NE_GL!G86+'SE-EGM-GL'!G86</f>
        <v>-6906.04</v>
      </c>
      <c r="H86" s="184">
        <f>+BGC_GL!H86+'SE-LRC-GL'!H86+NE_GL!H86+'SE-EGM-GL'!H86</f>
        <v>0</v>
      </c>
      <c r="I86" s="184">
        <f>+BGC_GL!I86+'SE-LRC-GL'!I86+NE_GL!I86+'SE-EGM-GL'!I86</f>
        <v>0</v>
      </c>
      <c r="J86" s="184">
        <f>+BGC_GL!J86+'SE-LRC-GL'!J86+NE_GL!J86+'SE-EGM-GL'!J86</f>
        <v>0</v>
      </c>
      <c r="K86" s="184">
        <f>+BGC_GL!K86+'SE-LRC-GL'!K86+NE_GL!K86+'SE-EGM-GL'!K86</f>
        <v>0</v>
      </c>
      <c r="L86" s="184">
        <f>+BGC_GL!L86+'SE-LRC-GL'!L86+NE_GL!L86+'SE-EGM-GL'!L86</f>
        <v>0</v>
      </c>
      <c r="M86" s="184">
        <f>+BGC_GL!M86+'SE-LRC-GL'!M86+NE_GL!M86+'SE-EGM-GL'!M86</f>
        <v>0</v>
      </c>
      <c r="N86" s="184">
        <f>'SE-EGM-GL'!N86+'SE-LRC-GL'!N86</f>
        <v>0</v>
      </c>
      <c r="O86" s="184">
        <f>'SE-EGM-GL'!O86+'SE-LRC-GL'!O86</f>
        <v>0</v>
      </c>
      <c r="P86" s="184">
        <f>'SE-EGM-GL'!P86+'SE-LRC-GL'!P86</f>
        <v>0</v>
      </c>
      <c r="Q86" s="184">
        <f>'SE-EGM-GL'!Q86+'SE-LRC-GL'!Q86</f>
        <v>0</v>
      </c>
      <c r="R86" s="184">
        <f>'SE-EGM-GL'!R86+'SE-LRC-GL'!R86</f>
        <v>0</v>
      </c>
      <c r="S86" s="184">
        <f>'SE-EGM-GL'!S86+'SE-LRC-GL'!S86</f>
        <v>0</v>
      </c>
      <c r="T86" s="184">
        <f>'SE-EGM-GL'!T86+'SE-LRC-GL'!T86</f>
        <v>0</v>
      </c>
      <c r="U86" s="184">
        <f>'SE-EGM-GL'!U86+'SE-LRC-GL'!U86</f>
        <v>0</v>
      </c>
      <c r="V86" s="184">
        <f>'SE-EGM-GL'!V86+'SE-LRC-GL'!V86</f>
        <v>0</v>
      </c>
      <c r="W86" s="184">
        <f>'SE-EGM-GL'!W86+'SE-LRC-GL'!W86</f>
        <v>0</v>
      </c>
      <c r="X86" s="184">
        <f>'SE-EGM-GL'!X86+'SE-LRC-GL'!X86</f>
        <v>0</v>
      </c>
      <c r="Y86" s="184">
        <f>'SE-EGM-GL'!Y86+'SE-LRC-GL'!Y86</f>
        <v>0</v>
      </c>
      <c r="Z86" s="184">
        <f>'SE-EGM-GL'!Z86+'SE-LRC-GL'!Z86</f>
        <v>0</v>
      </c>
      <c r="AA86" s="184">
        <f>'SE-EGM-GL'!AA86+'SE-LRC-GL'!AA86</f>
        <v>0</v>
      </c>
      <c r="AB86" s="184">
        <f>'SE-EGM-GL'!AB86+'SE-LRC-GL'!AB86</f>
        <v>0</v>
      </c>
      <c r="AC86" s="184">
        <f>'SE-EGM-GL'!AC86+'SE-LRC-GL'!AC86</f>
        <v>0</v>
      </c>
      <c r="AD86" s="184">
        <f>'SE-EGM-GL'!AD86+'SE-LRC-GL'!AD86</f>
        <v>0</v>
      </c>
      <c r="AE86" s="184">
        <f>'SE-EGM-GL'!AE86+'SE-LRC-GL'!AE86</f>
        <v>0</v>
      </c>
      <c r="AF86" s="184">
        <f>'SE-EGM-GL'!AN86+'SE-LRC-GL'!AN86</f>
        <v>0</v>
      </c>
      <c r="AG86" s="184">
        <f>'SE-EGM-GL'!AO86+'SE-LRC-GL'!AO86</f>
        <v>0</v>
      </c>
      <c r="AH86" s="184">
        <f>'SE-EGM-GL'!AR86+'SE-LRC-GL'!AR86</f>
        <v>0</v>
      </c>
      <c r="AI86" s="184">
        <f>'SE-EGM-GL'!AS86+'SE-LRC-GL'!AS86</f>
        <v>0</v>
      </c>
      <c r="AJ86" s="184">
        <f>'SE-EGM-GL'!AV86+'SE-LRC-GL'!AV86</f>
        <v>0</v>
      </c>
      <c r="AK86" s="184">
        <f>'SE-EGM-GL'!AW86+'SE-LRC-GL'!AW86</f>
        <v>0</v>
      </c>
      <c r="AL86" s="184">
        <f>'SE-EGM-GL'!AX86+'SE-LRC-GL'!AX86</f>
        <v>0</v>
      </c>
      <c r="AM86" s="184">
        <f>'SE-EGM-GL'!AY86+'SE-LRC-GL'!AY86</f>
        <v>0</v>
      </c>
      <c r="AN86" s="184">
        <f>'SE-EGM-GL'!AZ86+'SE-LRC-GL'!AZ86</f>
        <v>0</v>
      </c>
      <c r="AO86" s="184">
        <f>'SE-EGM-GL'!BA86+'SE-LRC-GL'!BA86</f>
        <v>0</v>
      </c>
      <c r="AP86" s="184">
        <f>'SE-EGM-GL'!BB86+'SE-LRC-GL'!BB86</f>
        <v>0</v>
      </c>
      <c r="AQ86" s="184">
        <f>'SE-EGM-GL'!BC86+'SE-LRC-GL'!BC86</f>
        <v>0</v>
      </c>
      <c r="AR86" s="184">
        <f>'SE-EGM-GL'!BD86+'SE-LRC-GL'!BD86</f>
        <v>0</v>
      </c>
      <c r="AS86" s="184">
        <f>'SE-EGM-GL'!BE86+'SE-LRC-GL'!BE86</f>
        <v>0</v>
      </c>
      <c r="AT86" s="184">
        <f>'SE-EGM-GL'!BF86+'SE-LRC-GL'!BF86</f>
        <v>0</v>
      </c>
      <c r="AU86" s="184">
        <f>'SE-EGM-GL'!BG86+'SE-LRC-GL'!BG86</f>
        <v>0</v>
      </c>
    </row>
    <row r="87" spans="1:47" s="3" customFormat="1" x14ac:dyDescent="0.25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+BGC_GL!F87+'SE-LRC-GL'!F87+NE_GL!F87+'SE-EGM-GL'!F87</f>
        <v>0</v>
      </c>
      <c r="G87" s="185">
        <f>+BGC_GL!G87+'SE-LRC-GL'!G87+NE_GL!G87+'SE-EGM-GL'!G87</f>
        <v>0</v>
      </c>
      <c r="H87" s="185">
        <f>+BGC_GL!H87+'SE-LRC-GL'!H87+NE_GL!H87+'SE-EGM-GL'!H87</f>
        <v>0</v>
      </c>
      <c r="I87" s="185">
        <f>+BGC_GL!I87+'SE-LRC-GL'!I87+NE_GL!I87+'SE-EGM-GL'!I87</f>
        <v>0</v>
      </c>
      <c r="J87" s="185">
        <f>+BGC_GL!J87+'SE-LRC-GL'!J87+NE_GL!J87+'SE-EGM-GL'!J87</f>
        <v>0</v>
      </c>
      <c r="K87" s="185">
        <f>+BGC_GL!K87+'SE-LRC-GL'!K87+NE_GL!K87+'SE-EGM-GL'!K87</f>
        <v>0</v>
      </c>
      <c r="L87" s="185">
        <f>+BGC_GL!L87+'SE-LRC-GL'!L87+NE_GL!L87+'SE-EGM-GL'!L87</f>
        <v>0</v>
      </c>
      <c r="M87" s="185">
        <f>+BGC_GL!M87+'SE-LRC-GL'!M87+NE_GL!M87+'SE-EGM-GL'!M87</f>
        <v>0</v>
      </c>
      <c r="N87" s="185">
        <f>'SE-EGM-GL'!N87+'SE-LRC-GL'!N87</f>
        <v>0</v>
      </c>
      <c r="O87" s="185">
        <f>'SE-EGM-GL'!O87+'SE-LRC-GL'!O87</f>
        <v>0</v>
      </c>
      <c r="P87" s="185">
        <f>'SE-EGM-GL'!P87+'SE-LRC-GL'!P87</f>
        <v>0</v>
      </c>
      <c r="Q87" s="185">
        <f>'SE-EGM-GL'!Q87+'SE-LRC-GL'!Q87</f>
        <v>0</v>
      </c>
      <c r="R87" s="185">
        <f>'SE-EGM-GL'!R87+'SE-LRC-GL'!R87</f>
        <v>0</v>
      </c>
      <c r="S87" s="185">
        <f>'SE-EGM-GL'!S87+'SE-LRC-GL'!S87</f>
        <v>0</v>
      </c>
      <c r="T87" s="185">
        <f>'SE-EGM-GL'!T87+'SE-LRC-GL'!T87</f>
        <v>0</v>
      </c>
      <c r="U87" s="185">
        <f>'SE-EGM-GL'!U87+'SE-LRC-GL'!U87</f>
        <v>0</v>
      </c>
      <c r="V87" s="185">
        <f>'SE-EGM-GL'!V87+'SE-LRC-GL'!V87</f>
        <v>0</v>
      </c>
      <c r="W87" s="185">
        <f>'SE-EGM-GL'!W87+'SE-LRC-GL'!W87</f>
        <v>0</v>
      </c>
      <c r="X87" s="185">
        <f>'SE-EGM-GL'!X87+'SE-LRC-GL'!X87</f>
        <v>0</v>
      </c>
      <c r="Y87" s="185">
        <f>'SE-EGM-GL'!Y87+'SE-LRC-GL'!Y87</f>
        <v>0</v>
      </c>
      <c r="Z87" s="185">
        <f>'SE-EGM-GL'!Z87+'SE-LRC-GL'!Z87</f>
        <v>0</v>
      </c>
      <c r="AA87" s="185">
        <f>'SE-EGM-GL'!AA87+'SE-LRC-GL'!AA87</f>
        <v>0</v>
      </c>
      <c r="AB87" s="185">
        <f>'SE-EGM-GL'!AB87+'SE-LRC-GL'!AB87</f>
        <v>0</v>
      </c>
      <c r="AC87" s="185">
        <f>'SE-EGM-GL'!AC87+'SE-LRC-GL'!AC87</f>
        <v>0</v>
      </c>
      <c r="AD87" s="185">
        <f>'SE-EGM-GL'!AD87+'SE-LRC-GL'!AD87</f>
        <v>0</v>
      </c>
      <c r="AE87" s="185">
        <f>'SE-EGM-GL'!AE87+'SE-LRC-GL'!AE87</f>
        <v>0</v>
      </c>
      <c r="AF87" s="185">
        <f>'SE-EGM-GL'!AN87+'SE-LRC-GL'!AN87</f>
        <v>0</v>
      </c>
      <c r="AG87" s="185">
        <f>'SE-EGM-GL'!AO87+'SE-LRC-GL'!AO87</f>
        <v>0</v>
      </c>
      <c r="AH87" s="185">
        <f>'SE-EGM-GL'!AR87+'SE-LRC-GL'!AR87</f>
        <v>0</v>
      </c>
      <c r="AI87" s="185">
        <f>'SE-EGM-GL'!AS87+'SE-LRC-GL'!AS87</f>
        <v>0</v>
      </c>
      <c r="AJ87" s="185">
        <f>'SE-EGM-GL'!AV87+'SE-LRC-GL'!AV87</f>
        <v>0</v>
      </c>
      <c r="AK87" s="185">
        <f>'SE-EGM-GL'!AW87+'SE-LRC-GL'!AW87</f>
        <v>0</v>
      </c>
      <c r="AL87" s="185">
        <f>'SE-EGM-GL'!AX87+'SE-LRC-GL'!AX87</f>
        <v>0</v>
      </c>
      <c r="AM87" s="185">
        <f>'SE-EGM-GL'!AY87+'SE-LRC-GL'!AY87</f>
        <v>0</v>
      </c>
      <c r="AN87" s="185">
        <f>'SE-EGM-GL'!AZ87+'SE-LRC-GL'!AZ87</f>
        <v>0</v>
      </c>
      <c r="AO87" s="185">
        <f>'SE-EGM-GL'!BA87+'SE-LRC-GL'!BA87</f>
        <v>0</v>
      </c>
      <c r="AP87" s="185">
        <f>'SE-EGM-GL'!BB87+'SE-LRC-GL'!BB87</f>
        <v>0</v>
      </c>
      <c r="AQ87" s="185">
        <f>'SE-EGM-GL'!BC87+'SE-LRC-GL'!BC87</f>
        <v>0</v>
      </c>
      <c r="AR87" s="185">
        <f>'SE-EGM-GL'!BD87+'SE-LRC-GL'!BD87</f>
        <v>0</v>
      </c>
      <c r="AS87" s="185">
        <f>'SE-EGM-GL'!BE87+'SE-LRC-GL'!BE87</f>
        <v>0</v>
      </c>
      <c r="AT87" s="185">
        <f>'SE-EGM-GL'!BF87+'SE-LRC-GL'!BF87</f>
        <v>0</v>
      </c>
      <c r="AU87" s="185">
        <f>'SE-EGM-GL'!BG87+'SE-LRC-GL'!BG87</f>
        <v>0</v>
      </c>
    </row>
    <row r="88" spans="1:47" s="3" customFormat="1" x14ac:dyDescent="0.25">
      <c r="A88" s="183"/>
      <c r="C88" s="10" t="s">
        <v>76</v>
      </c>
      <c r="D88" s="186">
        <f t="shared" si="47"/>
        <v>0</v>
      </c>
      <c r="E88" s="186">
        <f t="shared" si="47"/>
        <v>0</v>
      </c>
      <c r="F88" s="186">
        <f>+BGC_GL!F88+'SE-LRC-GL'!F88+NE_GL!F88+'SE-EGM-GL'!F88</f>
        <v>0</v>
      </c>
      <c r="G88" s="186">
        <f>+BGC_GL!G88+'SE-LRC-GL'!G88+NE_GL!G88+'SE-EGM-GL'!G88</f>
        <v>0</v>
      </c>
      <c r="H88" s="186">
        <f>+BGC_GL!H88+'SE-LRC-GL'!H88+NE_GL!H88+'SE-EGM-GL'!H88</f>
        <v>0</v>
      </c>
      <c r="I88" s="186">
        <f>+BGC_GL!I88+'SE-LRC-GL'!I88+NE_GL!I88+'SE-EGM-GL'!I88</f>
        <v>0</v>
      </c>
      <c r="J88" s="186">
        <f>+BGC_GL!J88+'SE-LRC-GL'!J88+NE_GL!J88+'SE-EGM-GL'!J88</f>
        <v>0</v>
      </c>
      <c r="K88" s="186">
        <f>+BGC_GL!K88+'SE-LRC-GL'!K88+NE_GL!K88+'SE-EGM-GL'!K88</f>
        <v>0</v>
      </c>
      <c r="L88" s="186">
        <f>+BGC_GL!L88+'SE-LRC-GL'!L88+NE_GL!L88+'SE-EGM-GL'!L88</f>
        <v>0</v>
      </c>
      <c r="M88" s="186">
        <f>+BGC_GL!M88+'SE-LRC-GL'!M88+NE_GL!M88+'SE-EGM-GL'!M88</f>
        <v>0</v>
      </c>
      <c r="N88" s="186">
        <f>'SE-EGM-GL'!N88+'SE-LRC-GL'!N88</f>
        <v>0</v>
      </c>
      <c r="O88" s="186">
        <f>'SE-EGM-GL'!O88+'SE-LRC-GL'!O88</f>
        <v>0</v>
      </c>
      <c r="P88" s="186">
        <f>'SE-EGM-GL'!P88+'SE-LRC-GL'!P88</f>
        <v>0</v>
      </c>
      <c r="Q88" s="186">
        <f>'SE-EGM-GL'!Q88+'SE-LRC-GL'!Q88</f>
        <v>0</v>
      </c>
      <c r="R88" s="186">
        <f>'SE-EGM-GL'!R88+'SE-LRC-GL'!R88</f>
        <v>0</v>
      </c>
      <c r="S88" s="186">
        <f>'SE-EGM-GL'!S88+'SE-LRC-GL'!S88</f>
        <v>0</v>
      </c>
      <c r="T88" s="186">
        <f>'SE-EGM-GL'!T88+'SE-LRC-GL'!T88</f>
        <v>0</v>
      </c>
      <c r="U88" s="186">
        <f>'SE-EGM-GL'!U88+'SE-LRC-GL'!U88</f>
        <v>0</v>
      </c>
      <c r="V88" s="186">
        <f>'SE-EGM-GL'!V88+'SE-LRC-GL'!V88</f>
        <v>0</v>
      </c>
      <c r="W88" s="186">
        <f>'SE-EGM-GL'!W88+'SE-LRC-GL'!W88</f>
        <v>0</v>
      </c>
      <c r="X88" s="186">
        <f>'SE-EGM-GL'!X88+'SE-LRC-GL'!X88</f>
        <v>0</v>
      </c>
      <c r="Y88" s="186">
        <f>'SE-EGM-GL'!Y88+'SE-LRC-GL'!Y88</f>
        <v>0</v>
      </c>
      <c r="Z88" s="186">
        <f>'SE-EGM-GL'!Z88+'SE-LRC-GL'!Z88</f>
        <v>0</v>
      </c>
      <c r="AA88" s="186">
        <f>'SE-EGM-GL'!AA88+'SE-LRC-GL'!AA88</f>
        <v>0</v>
      </c>
      <c r="AB88" s="186">
        <f>'SE-EGM-GL'!AB88+'SE-LRC-GL'!AB88</f>
        <v>0</v>
      </c>
      <c r="AC88" s="186">
        <f>'SE-EGM-GL'!AC88+'SE-LRC-GL'!AC88</f>
        <v>0</v>
      </c>
      <c r="AD88" s="186">
        <f>'SE-EGM-GL'!AD88+'SE-LRC-GL'!AD88</f>
        <v>0</v>
      </c>
      <c r="AE88" s="186">
        <f>'SE-EGM-GL'!AE88+'SE-LRC-GL'!AE88</f>
        <v>0</v>
      </c>
      <c r="AF88" s="186">
        <f>'SE-EGM-GL'!AN88+'SE-LRC-GL'!AN88</f>
        <v>0</v>
      </c>
      <c r="AG88" s="186">
        <f>'SE-EGM-GL'!AO88+'SE-LRC-GL'!AO88</f>
        <v>0</v>
      </c>
      <c r="AH88" s="186">
        <f>'SE-EGM-GL'!AR88+'SE-LRC-GL'!AR88</f>
        <v>0</v>
      </c>
      <c r="AI88" s="186">
        <f>'SE-EGM-GL'!AS88+'SE-LRC-GL'!AS88</f>
        <v>0</v>
      </c>
      <c r="AJ88" s="186">
        <f>'SE-EGM-GL'!AV88+'SE-LRC-GL'!AV88</f>
        <v>0</v>
      </c>
      <c r="AK88" s="186">
        <f>'SE-EGM-GL'!AW88+'SE-LRC-GL'!AW88</f>
        <v>0</v>
      </c>
      <c r="AL88" s="186">
        <f>'SE-EGM-GL'!AX88+'SE-LRC-GL'!AX88</f>
        <v>0</v>
      </c>
      <c r="AM88" s="186">
        <f>'SE-EGM-GL'!AY88+'SE-LRC-GL'!AY88</f>
        <v>0</v>
      </c>
      <c r="AN88" s="186">
        <f>'SE-EGM-GL'!AZ88+'SE-LRC-GL'!AZ88</f>
        <v>0</v>
      </c>
      <c r="AO88" s="186">
        <f>'SE-EGM-GL'!BA88+'SE-LRC-GL'!BA88</f>
        <v>0</v>
      </c>
      <c r="AP88" s="186">
        <f>'SE-EGM-GL'!BB88+'SE-LRC-GL'!BB88</f>
        <v>0</v>
      </c>
      <c r="AQ88" s="186">
        <f>'SE-EGM-GL'!BC88+'SE-LRC-GL'!BC88</f>
        <v>0</v>
      </c>
      <c r="AR88" s="186">
        <f>'SE-EGM-GL'!BD88+'SE-LRC-GL'!BD88</f>
        <v>0</v>
      </c>
      <c r="AS88" s="186">
        <f>'SE-EGM-GL'!BE88+'SE-LRC-GL'!BE88</f>
        <v>0</v>
      </c>
      <c r="AT88" s="186">
        <f>'SE-EGM-GL'!BF88+'SE-LRC-GL'!BF88</f>
        <v>0</v>
      </c>
      <c r="AU88" s="186">
        <f>'SE-EGM-GL'!BG88+'SE-LRC-GL'!BG88</f>
        <v>0</v>
      </c>
    </row>
    <row r="89" spans="1:47" s="149" customFormat="1" ht="20.25" customHeight="1" x14ac:dyDescent="0.25">
      <c r="A89" s="187"/>
      <c r="B89" s="188"/>
      <c r="C89" s="189" t="s">
        <v>190</v>
      </c>
      <c r="D89" s="190">
        <f>SUM(D86:D88)</f>
        <v>0</v>
      </c>
      <c r="E89" s="190">
        <f t="shared" ref="E89:AE89" si="48">SUM(E86:E88)</f>
        <v>-6906.04</v>
      </c>
      <c r="F89" s="190">
        <f t="shared" si="48"/>
        <v>0</v>
      </c>
      <c r="G89" s="190">
        <f t="shared" si="48"/>
        <v>-6906.04</v>
      </c>
      <c r="H89" s="190">
        <f t="shared" si="48"/>
        <v>0</v>
      </c>
      <c r="I89" s="190">
        <f t="shared" si="48"/>
        <v>0</v>
      </c>
      <c r="J89" s="190">
        <f t="shared" si="48"/>
        <v>0</v>
      </c>
      <c r="K89" s="190">
        <f t="shared" si="48"/>
        <v>0</v>
      </c>
      <c r="L89" s="190">
        <f t="shared" si="48"/>
        <v>0</v>
      </c>
      <c r="M89" s="190">
        <f t="shared" si="48"/>
        <v>0</v>
      </c>
      <c r="N89" s="190">
        <f t="shared" si="48"/>
        <v>0</v>
      </c>
      <c r="O89" s="190">
        <f t="shared" si="48"/>
        <v>0</v>
      </c>
      <c r="P89" s="190">
        <f t="shared" si="48"/>
        <v>0</v>
      </c>
      <c r="Q89" s="190">
        <f t="shared" si="48"/>
        <v>0</v>
      </c>
      <c r="R89" s="190">
        <f t="shared" si="48"/>
        <v>0</v>
      </c>
      <c r="S89" s="190">
        <f t="shared" si="48"/>
        <v>0</v>
      </c>
      <c r="T89" s="190">
        <f t="shared" si="48"/>
        <v>0</v>
      </c>
      <c r="U89" s="190">
        <f t="shared" si="48"/>
        <v>0</v>
      </c>
      <c r="V89" s="190">
        <f t="shared" si="48"/>
        <v>0</v>
      </c>
      <c r="W89" s="190">
        <f t="shared" si="48"/>
        <v>0</v>
      </c>
      <c r="X89" s="190">
        <f t="shared" si="48"/>
        <v>0</v>
      </c>
      <c r="Y89" s="190">
        <f t="shared" si="48"/>
        <v>0</v>
      </c>
      <c r="Z89" s="190">
        <f t="shared" si="48"/>
        <v>0</v>
      </c>
      <c r="AA89" s="190">
        <f t="shared" si="48"/>
        <v>0</v>
      </c>
      <c r="AB89" s="190">
        <f t="shared" si="48"/>
        <v>0</v>
      </c>
      <c r="AC89" s="190">
        <f t="shared" si="48"/>
        <v>0</v>
      </c>
      <c r="AD89" s="190">
        <f t="shared" si="48"/>
        <v>0</v>
      </c>
      <c r="AE89" s="190">
        <f t="shared" si="48"/>
        <v>0</v>
      </c>
      <c r="AF89" s="190">
        <f t="shared" ref="AF89:AK89" si="49">SUM(AF86:AF88)</f>
        <v>0</v>
      </c>
      <c r="AG89" s="190">
        <f t="shared" si="49"/>
        <v>0</v>
      </c>
      <c r="AH89" s="190">
        <f t="shared" si="49"/>
        <v>0</v>
      </c>
      <c r="AI89" s="190">
        <f t="shared" si="49"/>
        <v>0</v>
      </c>
      <c r="AJ89" s="190">
        <f t="shared" si="49"/>
        <v>0</v>
      </c>
      <c r="AK89" s="190">
        <f t="shared" si="49"/>
        <v>0</v>
      </c>
      <c r="AL89" s="190">
        <f t="shared" ref="AL89:AQ89" si="50">SUM(AL86:AL88)</f>
        <v>0</v>
      </c>
      <c r="AM89" s="190">
        <f t="shared" si="50"/>
        <v>0</v>
      </c>
      <c r="AN89" s="190">
        <f t="shared" si="50"/>
        <v>0</v>
      </c>
      <c r="AO89" s="190">
        <f t="shared" si="50"/>
        <v>0</v>
      </c>
      <c r="AP89" s="190">
        <f t="shared" si="50"/>
        <v>0</v>
      </c>
      <c r="AQ89" s="190">
        <f t="shared" si="50"/>
        <v>0</v>
      </c>
      <c r="AR89" s="190">
        <f>SUM(AR86:AR88)</f>
        <v>0</v>
      </c>
      <c r="AS89" s="190">
        <f>SUM(AS86:AS88)</f>
        <v>0</v>
      </c>
      <c r="AT89" s="190">
        <f>SUM(AT86:AT88)</f>
        <v>0</v>
      </c>
      <c r="AU89" s="190">
        <f>SUM(AU86:AU88)</f>
        <v>0</v>
      </c>
    </row>
    <row r="90" spans="1:47" x14ac:dyDescent="0.25">
      <c r="A90" s="4"/>
      <c r="B90" s="3"/>
      <c r="F90" s="31"/>
      <c r="G90" s="31"/>
      <c r="H90" s="31"/>
      <c r="I90" s="31"/>
    </row>
    <row r="91" spans="1:47" s="149" customFormat="1" ht="20.25" customHeight="1" x14ac:dyDescent="0.25">
      <c r="A91" s="187"/>
      <c r="B91" s="188"/>
      <c r="C91" s="189" t="s">
        <v>191</v>
      </c>
      <c r="D91" s="190">
        <f>+D82+D89</f>
        <v>0</v>
      </c>
      <c r="E91" s="190">
        <f t="shared" ref="E91:AE91" si="51">+E82+E89</f>
        <v>289623.01000012603</v>
      </c>
      <c r="F91" s="190">
        <f t="shared" si="51"/>
        <v>0</v>
      </c>
      <c r="G91" s="190">
        <f t="shared" si="51"/>
        <v>-13892684.82</v>
      </c>
      <c r="H91" s="190">
        <f t="shared" si="51"/>
        <v>0</v>
      </c>
      <c r="I91" s="190">
        <f t="shared" si="51"/>
        <v>19009998.777999997</v>
      </c>
      <c r="J91" s="190">
        <f t="shared" si="51"/>
        <v>0</v>
      </c>
      <c r="K91" s="190">
        <f t="shared" si="51"/>
        <v>15806378.718000002</v>
      </c>
      <c r="L91" s="190">
        <f t="shared" si="51"/>
        <v>0</v>
      </c>
      <c r="M91" s="190">
        <f t="shared" si="51"/>
        <v>-20295123.451999996</v>
      </c>
      <c r="N91" s="190">
        <f t="shared" si="51"/>
        <v>0</v>
      </c>
      <c r="O91" s="190">
        <f t="shared" si="51"/>
        <v>562871.43999999994</v>
      </c>
      <c r="P91" s="190">
        <f t="shared" si="51"/>
        <v>0</v>
      </c>
      <c r="Q91" s="190">
        <f t="shared" si="51"/>
        <v>-896025.72400000005</v>
      </c>
      <c r="R91" s="190">
        <f t="shared" si="51"/>
        <v>0</v>
      </c>
      <c r="S91" s="190">
        <f t="shared" si="51"/>
        <v>-1478.179999999993</v>
      </c>
      <c r="T91" s="190">
        <f t="shared" si="51"/>
        <v>0</v>
      </c>
      <c r="U91" s="190">
        <f t="shared" si="51"/>
        <v>-1419.6459999999988</v>
      </c>
      <c r="V91" s="190">
        <f t="shared" si="51"/>
        <v>0</v>
      </c>
      <c r="W91" s="190">
        <f t="shared" si="51"/>
        <v>-8969.4539999999979</v>
      </c>
      <c r="X91" s="190">
        <f t="shared" si="51"/>
        <v>0</v>
      </c>
      <c r="Y91" s="190">
        <f t="shared" si="51"/>
        <v>19435.704000000005</v>
      </c>
      <c r="Z91" s="190">
        <f t="shared" si="51"/>
        <v>0</v>
      </c>
      <c r="AA91" s="190">
        <f t="shared" si="51"/>
        <v>-12924.109999999999</v>
      </c>
      <c r="AB91" s="190">
        <f t="shared" si="51"/>
        <v>0</v>
      </c>
      <c r="AC91" s="190">
        <f t="shared" si="51"/>
        <v>17406.078000000038</v>
      </c>
      <c r="AD91" s="190">
        <f t="shared" si="51"/>
        <v>0</v>
      </c>
      <c r="AE91" s="190">
        <f t="shared" si="51"/>
        <v>-18001.958000000013</v>
      </c>
      <c r="AF91" s="190">
        <f t="shared" ref="AF91:AK91" si="52">+AF82+AF89</f>
        <v>0</v>
      </c>
      <c r="AG91" s="190">
        <f t="shared" si="52"/>
        <v>159.63599999999951</v>
      </c>
      <c r="AH91" s="190">
        <f t="shared" si="52"/>
        <v>0</v>
      </c>
      <c r="AI91" s="190">
        <f t="shared" si="52"/>
        <v>0</v>
      </c>
      <c r="AJ91" s="190">
        <f t="shared" si="52"/>
        <v>0</v>
      </c>
      <c r="AK91" s="190">
        <f t="shared" si="52"/>
        <v>0</v>
      </c>
      <c r="AL91" s="190">
        <f t="shared" ref="AL91:AQ91" si="53">+AL82+AL89</f>
        <v>0</v>
      </c>
      <c r="AM91" s="190">
        <f t="shared" si="53"/>
        <v>0</v>
      </c>
      <c r="AN91" s="190">
        <f t="shared" si="53"/>
        <v>0</v>
      </c>
      <c r="AO91" s="190">
        <f t="shared" si="53"/>
        <v>0</v>
      </c>
      <c r="AP91" s="190">
        <f t="shared" si="53"/>
        <v>0</v>
      </c>
      <c r="AQ91" s="190">
        <f t="shared" si="53"/>
        <v>0</v>
      </c>
      <c r="AR91" s="190">
        <f>+AR82+AR89</f>
        <v>0</v>
      </c>
      <c r="AS91" s="190">
        <f>+AS82+AS89</f>
        <v>0</v>
      </c>
      <c r="AT91" s="190">
        <f>+AT82+AT89</f>
        <v>0</v>
      </c>
      <c r="AU91" s="190">
        <f>+AU82+AU89</f>
        <v>0</v>
      </c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1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CA187"/>
  <sheetViews>
    <sheetView zoomScale="75" workbookViewId="0">
      <pane xSplit="3" ySplit="9" topLeftCell="AM52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U56" sqref="AU5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8" width="15.44140625" customWidth="1"/>
    <col min="9" max="9" width="16.44140625" customWidth="1"/>
    <col min="10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14935245</v>
      </c>
      <c r="E11" s="38">
        <f t="shared" si="0"/>
        <v>34774694.730000004</v>
      </c>
      <c r="F11" s="60">
        <f>'TIE-OUT'!R11+RECLASS!R11</f>
        <v>0</v>
      </c>
      <c r="G11" s="38">
        <f>'TIE-OUT'!S11+RECLASS!S11</f>
        <v>0</v>
      </c>
      <c r="H11" s="133">
        <f>+Actuals!E244+196000</f>
        <v>14187640</v>
      </c>
      <c r="I11" s="134">
        <f>+Actuals!F244+349860</f>
        <v>32273181.450000003</v>
      </c>
      <c r="J11" s="133">
        <f>+Actuals!G244</f>
        <v>-2352995</v>
      </c>
      <c r="K11" s="153">
        <f>+Actuals!H244</f>
        <v>-3924496.43</v>
      </c>
      <c r="L11" s="133">
        <f>+Actuals!I244</f>
        <v>-1069600</v>
      </c>
      <c r="M11" s="134">
        <f>+Actuals!J244</f>
        <v>-1210382.07</v>
      </c>
      <c r="N11" s="133">
        <f>+Actuals!K244</f>
        <v>676172</v>
      </c>
      <c r="O11" s="134">
        <f>+Actuals!L244</f>
        <v>1392773.21</v>
      </c>
      <c r="P11" s="133">
        <f>+Actuals!M244</f>
        <v>37199</v>
      </c>
      <c r="Q11" s="134">
        <f>+Actuals!N244</f>
        <v>101971.19</v>
      </c>
      <c r="R11" s="133">
        <f>+Actuals!O244</f>
        <v>-83745</v>
      </c>
      <c r="S11" s="134">
        <f>+Actuals!P244</f>
        <v>-181993.60000000001</v>
      </c>
      <c r="T11" s="133">
        <f>+Actuals!Q244</f>
        <v>2976847</v>
      </c>
      <c r="U11" s="134">
        <f>+Actuals!R244</f>
        <v>5283115.37</v>
      </c>
      <c r="V11" s="133">
        <f>+Actuals!S244</f>
        <v>119203</v>
      </c>
      <c r="W11" s="134">
        <f>+Actuals!T244</f>
        <v>276752.32</v>
      </c>
      <c r="X11" s="133">
        <f>+Actuals!U244</f>
        <v>-3238</v>
      </c>
      <c r="Y11" s="134">
        <f>+Actuals!V244</f>
        <v>-4058.83</v>
      </c>
      <c r="Z11" s="133">
        <f>+Actuals!W244</f>
        <v>8542</v>
      </c>
      <c r="AA11" s="134">
        <f>+Actuals!X244</f>
        <v>14471.48</v>
      </c>
      <c r="AB11" s="133">
        <f>+Actuals!Y244</f>
        <v>0</v>
      </c>
      <c r="AC11" s="134">
        <f>+Actuals!Z244</f>
        <v>0</v>
      </c>
      <c r="AD11" s="133">
        <f>+Actuals!AA444</f>
        <v>0</v>
      </c>
      <c r="AE11" s="134">
        <f>+Actuals!AB444</f>
        <v>0</v>
      </c>
      <c r="AF11" s="133">
        <f>+Actuals!AC444</f>
        <v>304</v>
      </c>
      <c r="AG11" s="134">
        <f>+Actuals!AD444</f>
        <v>528.96</v>
      </c>
      <c r="AH11" s="133">
        <f>+Actuals!AE444</f>
        <v>0</v>
      </c>
      <c r="AI11" s="134">
        <f>+Actuals!AF444</f>
        <v>0</v>
      </c>
      <c r="AJ11" s="133">
        <f>+Actuals!AG444</f>
        <v>0</v>
      </c>
      <c r="AK11" s="134">
        <f>+Actuals!AH444</f>
        <v>0</v>
      </c>
      <c r="AL11" s="133">
        <f>+Actuals!AI444</f>
        <v>438916</v>
      </c>
      <c r="AM11" s="134">
        <f>+Actuals!AJ444</f>
        <v>752831.68</v>
      </c>
      <c r="AN11" s="133">
        <f>+Actuals!AK444</f>
        <v>0</v>
      </c>
      <c r="AO11" s="134">
        <f>+Actuals!AL444</f>
        <v>0</v>
      </c>
      <c r="AP11" s="133">
        <f>+Actuals!AM444</f>
        <v>0</v>
      </c>
      <c r="AQ11" s="134">
        <f>+Actuals!AN444</f>
        <v>0</v>
      </c>
      <c r="AR11" s="133">
        <f>+Actuals!AO444</f>
        <v>0</v>
      </c>
      <c r="AS11" s="134">
        <f>+Actuals!AP444</f>
        <v>0</v>
      </c>
      <c r="AT11" s="133">
        <f>+Actuals!AQ444</f>
        <v>0</v>
      </c>
      <c r="AU11" s="134">
        <f>+Actuals!AR444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-8747843.2300000004</v>
      </c>
      <c r="F12" s="60">
        <f>'TIE-OUT'!R12+RECLASS!R12</f>
        <v>0</v>
      </c>
      <c r="G12" s="38">
        <f>'TIE-OUT'!S12+RECLASS!S12</f>
        <v>-8747843.2300000004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+Actuals!Y245</f>
        <v>0</v>
      </c>
      <c r="AC12" s="134">
        <f>+Actuals!Z245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  <c r="AL12" s="133">
        <f>+Actuals!AI445</f>
        <v>0</v>
      </c>
      <c r="AM12" s="134">
        <f>+Actuals!AJ445</f>
        <v>0</v>
      </c>
      <c r="AN12" s="133">
        <f>+Actuals!AK445</f>
        <v>0</v>
      </c>
      <c r="AO12" s="134">
        <f>+Actuals!AL445</f>
        <v>0</v>
      </c>
      <c r="AP12" s="133">
        <f>+Actuals!AM445</f>
        <v>0</v>
      </c>
      <c r="AQ12" s="134">
        <f>+Actuals!AN445</f>
        <v>0</v>
      </c>
      <c r="AR12" s="133">
        <f>+Actuals!AO445</f>
        <v>0</v>
      </c>
      <c r="AS12" s="134">
        <f>+Actuals!AP445</f>
        <v>0</v>
      </c>
      <c r="AT12" s="133">
        <f>+Actuals!AQ445</f>
        <v>0</v>
      </c>
      <c r="AU12" s="134">
        <f>+Actuals!AR445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1181827</v>
      </c>
      <c r="E13" s="38">
        <f t="shared" si="0"/>
        <v>2001964</v>
      </c>
      <c r="F13" s="60">
        <f>'TIE-OUT'!R13+RECLASS!R13</f>
        <v>0</v>
      </c>
      <c r="G13" s="38">
        <f>'TIE-OUT'!S13+RECLASS!S13</f>
        <v>0</v>
      </c>
      <c r="H13" s="133">
        <f>+Actuals!E246-28848210</f>
        <v>1181827</v>
      </c>
      <c r="I13" s="134">
        <f>+Actuals!F246-50416221</f>
        <v>2001964</v>
      </c>
      <c r="J13" s="133">
        <f>+Actuals!G246</f>
        <v>0</v>
      </c>
      <c r="K13" s="153">
        <f>+Actuals!H246</f>
        <v>0</v>
      </c>
      <c r="L13" s="133">
        <f>+Actuals!I246</f>
        <v>-219516</v>
      </c>
      <c r="M13" s="134">
        <f>+Actuals!J246</f>
        <v>-368409</v>
      </c>
      <c r="N13" s="133">
        <f>+Actuals!K246</f>
        <v>0</v>
      </c>
      <c r="O13" s="134">
        <f>+Actuals!L246</f>
        <v>691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-5000</v>
      </c>
      <c r="U13" s="134">
        <f>+Actuals!R246</f>
        <v>-8650</v>
      </c>
      <c r="V13" s="133">
        <f>+Actuals!S246</f>
        <v>0</v>
      </c>
      <c r="W13" s="134">
        <f>+Actuals!T246</f>
        <v>0</v>
      </c>
      <c r="X13" s="133">
        <f>+Actuals!U246</f>
        <v>957311</v>
      </c>
      <c r="Y13" s="134">
        <f>+Actuals!V246</f>
        <v>1625596</v>
      </c>
      <c r="Z13" s="133">
        <f>+Actuals!W246</f>
        <v>957311</v>
      </c>
      <c r="AA13" s="134">
        <f>+Actuals!X246</f>
        <v>1625596</v>
      </c>
      <c r="AB13" s="133">
        <f>+Actuals!Y246</f>
        <v>-1690106</v>
      </c>
      <c r="AC13" s="134">
        <f>+Actuals!Z246</f>
        <v>-2874824</v>
      </c>
      <c r="AD13" s="133">
        <f>+Actuals!AA446</f>
        <v>1690106</v>
      </c>
      <c r="AE13" s="134">
        <f>+Actuals!AB446</f>
        <v>2874824</v>
      </c>
      <c r="AF13" s="133">
        <f>+Actuals!AC446</f>
        <v>0</v>
      </c>
      <c r="AG13" s="134">
        <f>+Actuals!AD446</f>
        <v>0</v>
      </c>
      <c r="AH13" s="133">
        <f>+Actuals!AE446</f>
        <v>-1690106</v>
      </c>
      <c r="AI13" s="134">
        <f>+Actuals!AF446</f>
        <v>-2874824</v>
      </c>
      <c r="AJ13" s="133">
        <f>+Actuals!AG446</f>
        <v>0</v>
      </c>
      <c r="AK13" s="134">
        <f>+Actuals!AH446</f>
        <v>0</v>
      </c>
      <c r="AL13" s="133">
        <f>+Actuals!AI446</f>
        <v>0</v>
      </c>
      <c r="AM13" s="134">
        <f>+Actuals!AJ446</f>
        <v>0</v>
      </c>
      <c r="AN13" s="133">
        <f>+Actuals!AK446</f>
        <v>0</v>
      </c>
      <c r="AO13" s="134">
        <f>+Actuals!AL446</f>
        <v>0</v>
      </c>
      <c r="AP13" s="133">
        <f>+Actuals!AM446</f>
        <v>0</v>
      </c>
      <c r="AQ13" s="134">
        <f>+Actuals!AN446</f>
        <v>0</v>
      </c>
      <c r="AR13" s="133">
        <f>+Actuals!AO446</f>
        <v>0</v>
      </c>
      <c r="AS13" s="134">
        <f>+Actuals!AP446</f>
        <v>0</v>
      </c>
      <c r="AT13" s="133">
        <f>+Actuals!AQ446</f>
        <v>0</v>
      </c>
      <c r="AU13" s="134">
        <f>+Actuals!AR446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+Actuals!Y247</f>
        <v>0</v>
      </c>
      <c r="AC14" s="134">
        <f>+Actuals!Z247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  <c r="AL14" s="133">
        <f>+Actuals!AI447</f>
        <v>0</v>
      </c>
      <c r="AM14" s="134">
        <f>+Actuals!AJ447</f>
        <v>0</v>
      </c>
      <c r="AN14" s="133">
        <f>+Actuals!AK447</f>
        <v>0</v>
      </c>
      <c r="AO14" s="134">
        <f>+Actuals!AL447</f>
        <v>0</v>
      </c>
      <c r="AP14" s="133">
        <f>+Actuals!AM447</f>
        <v>0</v>
      </c>
      <c r="AQ14" s="134">
        <f>+Actuals!AN447</f>
        <v>0</v>
      </c>
      <c r="AR14" s="133">
        <f>+Actuals!AO447</f>
        <v>0</v>
      </c>
      <c r="AS14" s="134">
        <f>+Actuals!AP447</f>
        <v>0</v>
      </c>
      <c r="AT14" s="133">
        <f>+Actuals!AQ447</f>
        <v>0</v>
      </c>
      <c r="AU14" s="134">
        <f>+Actuals!AR447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+Actuals!Y248</f>
        <v>0</v>
      </c>
      <c r="AC15" s="134">
        <f>+Actuals!Z248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  <c r="AL15" s="133">
        <f>+Actuals!AI448</f>
        <v>0</v>
      </c>
      <c r="AM15" s="134">
        <f>+Actuals!AJ448</f>
        <v>0</v>
      </c>
      <c r="AN15" s="133">
        <f>+Actuals!AK448</f>
        <v>0</v>
      </c>
      <c r="AO15" s="134">
        <f>+Actuals!AL448</f>
        <v>0</v>
      </c>
      <c r="AP15" s="133">
        <f>+Actuals!AM448</f>
        <v>0</v>
      </c>
      <c r="AQ15" s="134">
        <f>+Actuals!AN448</f>
        <v>0</v>
      </c>
      <c r="AR15" s="133">
        <f>+Actuals!AO448</f>
        <v>0</v>
      </c>
      <c r="AS15" s="134">
        <f>+Actuals!AP448</f>
        <v>0</v>
      </c>
      <c r="AT15" s="133">
        <f>+Actuals!AQ448</f>
        <v>0</v>
      </c>
      <c r="AU15" s="134">
        <f>+Actuals!AR448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16117072</v>
      </c>
      <c r="E16" s="39">
        <f t="shared" si="1"/>
        <v>28028815.500000004</v>
      </c>
      <c r="F16" s="61">
        <f t="shared" si="1"/>
        <v>0</v>
      </c>
      <c r="G16" s="39">
        <f t="shared" si="1"/>
        <v>-8747843.2300000004</v>
      </c>
      <c r="H16" s="61">
        <f t="shared" si="1"/>
        <v>15369467</v>
      </c>
      <c r="I16" s="39">
        <f t="shared" si="1"/>
        <v>34275145.450000003</v>
      </c>
      <c r="J16" s="61">
        <f t="shared" si="1"/>
        <v>-2352995</v>
      </c>
      <c r="K16" s="154">
        <f t="shared" si="1"/>
        <v>-3924496.43</v>
      </c>
      <c r="L16" s="61">
        <f t="shared" si="1"/>
        <v>-1289116</v>
      </c>
      <c r="M16" s="39">
        <f t="shared" si="1"/>
        <v>-1578791.07</v>
      </c>
      <c r="N16" s="61">
        <f t="shared" si="1"/>
        <v>676172</v>
      </c>
      <c r="O16" s="39">
        <f t="shared" si="1"/>
        <v>1393464.21</v>
      </c>
      <c r="P16" s="61">
        <f t="shared" si="1"/>
        <v>37199</v>
      </c>
      <c r="Q16" s="39">
        <f t="shared" si="1"/>
        <v>101971.19</v>
      </c>
      <c r="R16" s="61">
        <f t="shared" si="1"/>
        <v>-83745</v>
      </c>
      <c r="S16" s="39">
        <f t="shared" si="1"/>
        <v>-181993.60000000001</v>
      </c>
      <c r="T16" s="61">
        <f t="shared" si="1"/>
        <v>2971847</v>
      </c>
      <c r="U16" s="39">
        <f t="shared" si="1"/>
        <v>5274465.37</v>
      </c>
      <c r="V16" s="61">
        <f t="shared" si="1"/>
        <v>119203</v>
      </c>
      <c r="W16" s="39">
        <f t="shared" si="1"/>
        <v>276752.32</v>
      </c>
      <c r="X16" s="61">
        <f t="shared" si="1"/>
        <v>954073</v>
      </c>
      <c r="Y16" s="39">
        <f t="shared" si="1"/>
        <v>1621537.17</v>
      </c>
      <c r="Z16" s="61">
        <f t="shared" si="1"/>
        <v>965853</v>
      </c>
      <c r="AA16" s="39">
        <f t="shared" si="1"/>
        <v>1640067.48</v>
      </c>
      <c r="AB16" s="61">
        <f t="shared" si="1"/>
        <v>-1690106</v>
      </c>
      <c r="AC16" s="39">
        <f t="shared" si="1"/>
        <v>-2874824</v>
      </c>
      <c r="AD16" s="61">
        <f t="shared" si="1"/>
        <v>1690106</v>
      </c>
      <c r="AE16" s="39">
        <f t="shared" si="1"/>
        <v>2874824</v>
      </c>
      <c r="AF16" s="61">
        <f t="shared" ref="AF16:AK16" si="2">SUM(AF11:AF15)</f>
        <v>304</v>
      </c>
      <c r="AG16" s="39">
        <f t="shared" si="2"/>
        <v>528.96</v>
      </c>
      <c r="AH16" s="61">
        <f t="shared" si="2"/>
        <v>-1690106</v>
      </c>
      <c r="AI16" s="39">
        <f t="shared" si="2"/>
        <v>-2874824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438916</v>
      </c>
      <c r="AM16" s="39">
        <f t="shared" si="3"/>
        <v>752831.68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-22205095</v>
      </c>
      <c r="E19" s="38">
        <f t="shared" si="4"/>
        <v>-38680786.039999999</v>
      </c>
      <c r="F19" s="64">
        <f>'TIE-OUT'!R19+RECLASS!R19</f>
        <v>0</v>
      </c>
      <c r="G19" s="68">
        <f>'TIE-OUT'!S19+RECLASS!S19</f>
        <v>0</v>
      </c>
      <c r="H19" s="133">
        <f>+Actuals!E249-35371</f>
        <v>-22134351</v>
      </c>
      <c r="I19" s="134">
        <f>+Actuals!F249-60764</f>
        <v>-28974851.18</v>
      </c>
      <c r="J19" s="133">
        <f>+Actuals!G249</f>
        <v>28332487</v>
      </c>
      <c r="K19" s="153">
        <f>+Actuals!H249</f>
        <v>40722590.630000003</v>
      </c>
      <c r="L19" s="133">
        <f>+Actuals!I249</f>
        <v>-27774684</v>
      </c>
      <c r="M19" s="134">
        <f>+Actuals!J249</f>
        <v>-49340342.270000003</v>
      </c>
      <c r="N19" s="133">
        <f>+Actuals!K249</f>
        <v>-526101</v>
      </c>
      <c r="O19" s="134">
        <f>+Actuals!L249</f>
        <v>-925540.13</v>
      </c>
      <c r="P19" s="133">
        <f>+Actuals!M249</f>
        <v>11821</v>
      </c>
      <c r="Q19" s="134">
        <f>+Actuals!N249</f>
        <v>17524.419999999998</v>
      </c>
      <c r="R19" s="133">
        <f>+Actuals!O249</f>
        <v>6585</v>
      </c>
      <c r="S19" s="134">
        <f>+Actuals!P249</f>
        <v>13221.6</v>
      </c>
      <c r="T19" s="133">
        <f>+Actuals!Q249</f>
        <v>61979</v>
      </c>
      <c r="U19" s="134">
        <f>+Actuals!R249</f>
        <v>120107.69</v>
      </c>
      <c r="V19" s="133">
        <f>+Actuals!S249</f>
        <v>-129851</v>
      </c>
      <c r="W19" s="134">
        <f>+Actuals!T249</f>
        <v>-226916.62</v>
      </c>
      <c r="X19" s="133">
        <f>+Actuals!U249</f>
        <v>-673</v>
      </c>
      <c r="Y19" s="134">
        <f>+Actuals!V249</f>
        <v>-1047.1500000000001</v>
      </c>
      <c r="Z19" s="133">
        <f>+Actuals!W249</f>
        <v>-47868</v>
      </c>
      <c r="AA19" s="134">
        <f>+Actuals!X249</f>
        <v>-80657.58</v>
      </c>
      <c r="AB19" s="133">
        <f>+Actuals!Y249</f>
        <v>10000</v>
      </c>
      <c r="AC19" s="134">
        <f>+Actuals!Z249</f>
        <v>17700</v>
      </c>
      <c r="AD19" s="133">
        <f>+Actuals!AA449</f>
        <v>0</v>
      </c>
      <c r="AE19" s="134">
        <f>+Actuals!AB449</f>
        <v>0</v>
      </c>
      <c r="AF19" s="133">
        <f>+Actuals!AC449</f>
        <v>-1140</v>
      </c>
      <c r="AG19" s="134">
        <f>+Actuals!AD449</f>
        <v>-1873.06</v>
      </c>
      <c r="AH19" s="133">
        <f>+Actuals!AE449</f>
        <v>6942</v>
      </c>
      <c r="AI19" s="134">
        <f>+Actuals!AF449</f>
        <v>12539.9</v>
      </c>
      <c r="AJ19" s="133">
        <f>+Actuals!AG449</f>
        <v>0</v>
      </c>
      <c r="AK19" s="134">
        <f>+Actuals!AH449</f>
        <v>0</v>
      </c>
      <c r="AL19" s="133">
        <f>+Actuals!AI449</f>
        <v>0</v>
      </c>
      <c r="AM19" s="134">
        <f>+Actuals!AJ449</f>
        <v>0</v>
      </c>
      <c r="AN19" s="133">
        <f>+Actuals!AK449</f>
        <v>-6159</v>
      </c>
      <c r="AO19" s="134">
        <f>+Actuals!AL449</f>
        <v>-10539.17</v>
      </c>
      <c r="AP19" s="133">
        <v>1745</v>
      </c>
      <c r="AQ19" s="134">
        <v>2651.73</v>
      </c>
      <c r="AR19" s="133">
        <f>14214+30</f>
        <v>14244</v>
      </c>
      <c r="AS19" s="134">
        <v>26517.63</v>
      </c>
      <c r="AT19" s="133">
        <v>-30071</v>
      </c>
      <c r="AU19" s="134">
        <v>-51872.480000000003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535659.33000000007</v>
      </c>
      <c r="F20" s="60">
        <f>'TIE-OUT'!R20+RECLASS!R20</f>
        <v>0</v>
      </c>
      <c r="G20" s="38">
        <f>'TIE-OUT'!S20+RECLASS!S20</f>
        <v>530666.31000000006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72">
        <f>+Actuals!H250-6719.98</f>
        <v>-6719.98</v>
      </c>
      <c r="L20" s="133">
        <f>+Actuals!I250</f>
        <v>0</v>
      </c>
      <c r="M20" s="182">
        <f>+Actuals!J250+11713</f>
        <v>11713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+Actuals!Y250</f>
        <v>0</v>
      </c>
      <c r="AC20" s="134">
        <f>+Actuals!Z250</f>
        <v>0</v>
      </c>
      <c r="AD20" s="133">
        <f>+Actuals!AA450</f>
        <v>0</v>
      </c>
      <c r="AE20" s="165">
        <v>0</v>
      </c>
      <c r="AF20" s="133">
        <f>+Actuals!AC450</f>
        <v>0</v>
      </c>
      <c r="AG20" s="165">
        <v>0</v>
      </c>
      <c r="AH20" s="133">
        <f>+Actuals!AE450</f>
        <v>0</v>
      </c>
      <c r="AI20" s="165">
        <v>0</v>
      </c>
      <c r="AJ20" s="133">
        <f>+Actuals!AG450</f>
        <v>0</v>
      </c>
      <c r="AK20" s="165">
        <v>0</v>
      </c>
      <c r="AL20" s="133">
        <f>+Actuals!AI450</f>
        <v>0</v>
      </c>
      <c r="AM20" s="165">
        <v>0</v>
      </c>
      <c r="AN20" s="133">
        <f>+Actuals!AK450</f>
        <v>0</v>
      </c>
      <c r="AO20" s="165">
        <v>0</v>
      </c>
      <c r="AP20" s="133">
        <f>+Actuals!AM450</f>
        <v>0</v>
      </c>
      <c r="AQ20" s="165">
        <v>0</v>
      </c>
      <c r="AR20" s="133">
        <f>+Actuals!AO450</f>
        <v>0</v>
      </c>
      <c r="AS20" s="165">
        <v>0</v>
      </c>
      <c r="AT20" s="133">
        <f>+Actuals!AQ450</f>
        <v>0</v>
      </c>
      <c r="AU20" s="165"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-1331315</v>
      </c>
      <c r="E21" s="38">
        <f t="shared" si="4"/>
        <v>-2272147</v>
      </c>
      <c r="F21" s="60">
        <f>'TIE-OUT'!R21+RECLASS!R21</f>
        <v>0</v>
      </c>
      <c r="G21" s="38">
        <f>'TIE-OUT'!S21+RECLASS!S21</f>
        <v>0</v>
      </c>
      <c r="H21" s="133">
        <f>+Actuals!E251+28848210</f>
        <v>-1331315</v>
      </c>
      <c r="I21" s="134">
        <f>+Actuals!F251+50416221</f>
        <v>-2272147</v>
      </c>
      <c r="J21" s="133">
        <f>+Actuals!G251</f>
        <v>0</v>
      </c>
      <c r="K21" s="153">
        <f>+Actuals!H251</f>
        <v>0</v>
      </c>
      <c r="L21" s="133">
        <f>+Actuals!I251</f>
        <v>282462</v>
      </c>
      <c r="M21" s="134">
        <f>+Actuals!J251</f>
        <v>491526</v>
      </c>
      <c r="N21" s="133">
        <f>+Actuals!K251</f>
        <v>0</v>
      </c>
      <c r="O21" s="134">
        <f>+Actuals!L251</f>
        <v>0</v>
      </c>
      <c r="P21" s="133">
        <f>+Actuals!M251</f>
        <v>4494</v>
      </c>
      <c r="Q21" s="134">
        <f>+Actuals!N251</f>
        <v>7707</v>
      </c>
      <c r="R21" s="133">
        <f>+Actuals!O251</f>
        <v>0</v>
      </c>
      <c r="S21" s="134">
        <f>+Actuals!P251</f>
        <v>0</v>
      </c>
      <c r="T21" s="133">
        <f>+Actuals!Q251</f>
        <v>0</v>
      </c>
      <c r="U21" s="134">
        <f>+Actuals!R251</f>
        <v>0</v>
      </c>
      <c r="V21" s="133">
        <f>+Actuals!S251</f>
        <v>0</v>
      </c>
      <c r="W21" s="134">
        <f>+Actuals!T251</f>
        <v>0</v>
      </c>
      <c r="X21" s="133">
        <f>+Actuals!U251</f>
        <v>-957311</v>
      </c>
      <c r="Y21" s="134">
        <f>+Actuals!V251</f>
        <v>-1625596</v>
      </c>
      <c r="Z21" s="133">
        <f>+Actuals!W251</f>
        <v>-957311</v>
      </c>
      <c r="AA21" s="134">
        <f>+Actuals!X251</f>
        <v>-1625596</v>
      </c>
      <c r="AB21" s="133">
        <f>+Actuals!Y251</f>
        <v>1627666</v>
      </c>
      <c r="AC21" s="134">
        <f>+Actuals!Z251</f>
        <v>2751959</v>
      </c>
      <c r="AD21" s="133">
        <f>+Actuals!AA451</f>
        <v>-1627666</v>
      </c>
      <c r="AE21" s="134">
        <f>+Actuals!AB451</f>
        <v>-2751959</v>
      </c>
      <c r="AF21" s="133">
        <f>+Actuals!AC451</f>
        <v>0</v>
      </c>
      <c r="AG21" s="134">
        <f>+Actuals!AD451</f>
        <v>0</v>
      </c>
      <c r="AH21" s="133">
        <f>+Actuals!AE451</f>
        <v>1627666</v>
      </c>
      <c r="AI21" s="134">
        <f>+Actuals!AF451</f>
        <v>2751959</v>
      </c>
      <c r="AJ21" s="133">
        <f>+Actuals!AG451</f>
        <v>0</v>
      </c>
      <c r="AK21" s="134">
        <f>+Actuals!AH451</f>
        <v>0</v>
      </c>
      <c r="AL21" s="133">
        <f>+Actuals!AI451</f>
        <v>0</v>
      </c>
      <c r="AM21" s="134">
        <f>+Actuals!AJ451</f>
        <v>0</v>
      </c>
      <c r="AN21" s="133">
        <f>+Actuals!AK451</f>
        <v>0</v>
      </c>
      <c r="AO21" s="134">
        <f>+Actuals!AL451</f>
        <v>0</v>
      </c>
      <c r="AP21" s="133">
        <f>+Actuals!AM451</f>
        <v>0</v>
      </c>
      <c r="AQ21" s="134">
        <f>+Actuals!AN451</f>
        <v>0</v>
      </c>
      <c r="AR21" s="133">
        <f>+Actuals!AO451</f>
        <v>0</v>
      </c>
      <c r="AS21" s="134">
        <f>+Actuals!AP451</f>
        <v>0</v>
      </c>
      <c r="AT21" s="133">
        <f>+Actuals!AQ451</f>
        <v>0</v>
      </c>
      <c r="AU21" s="134">
        <f>+Actuals!AR451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+Actuals!Y252</f>
        <v>0</v>
      </c>
      <c r="AC22" s="134">
        <f>+Actuals!Z252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  <c r="AL22" s="133">
        <f>+Actuals!AI452</f>
        <v>0</v>
      </c>
      <c r="AM22" s="134">
        <f>+Actuals!AJ452</f>
        <v>0</v>
      </c>
      <c r="AN22" s="133">
        <f>+Actuals!AK452</f>
        <v>0</v>
      </c>
      <c r="AO22" s="134">
        <f>+Actuals!AL452</f>
        <v>0</v>
      </c>
      <c r="AP22" s="133">
        <f>+Actuals!AM452</f>
        <v>0</v>
      </c>
      <c r="AQ22" s="134">
        <f>+Actuals!AN452</f>
        <v>0</v>
      </c>
      <c r="AR22" s="133">
        <f>+Actuals!AO452</f>
        <v>0</v>
      </c>
      <c r="AS22" s="134">
        <f>+Actuals!AP452</f>
        <v>0</v>
      </c>
      <c r="AT22" s="133">
        <f>+Actuals!AQ452</f>
        <v>0</v>
      </c>
      <c r="AU22" s="134">
        <f>+Actuals!AR452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4992</v>
      </c>
      <c r="E23" s="38">
        <f t="shared" si="4"/>
        <v>9038.4700000000012</v>
      </c>
      <c r="F23" s="81">
        <f>'TIE-OUT'!R23+RECLASS!R23</f>
        <v>0</v>
      </c>
      <c r="G23" s="82">
        <f>'TIE-OUT'!S23+RECLASS!S23</f>
        <v>0</v>
      </c>
      <c r="H23" s="133">
        <f>+Actuals!E253</f>
        <v>0</v>
      </c>
      <c r="I23" s="134">
        <f>+Actuals!F253</f>
        <v>0</v>
      </c>
      <c r="J23" s="133">
        <f>+Actuals!G253</f>
        <v>3148</v>
      </c>
      <c r="K23" s="153">
        <f>+Actuals!H253</f>
        <v>5876</v>
      </c>
      <c r="L23" s="133">
        <f>+Actuals!I253</f>
        <v>1807</v>
      </c>
      <c r="M23" s="134">
        <f>+Actuals!J253</f>
        <v>3099.01</v>
      </c>
      <c r="N23" s="133">
        <f>+Actuals!K253</f>
        <v>2</v>
      </c>
      <c r="O23" s="134">
        <f>+Actuals!L253</f>
        <v>3.43</v>
      </c>
      <c r="P23" s="133">
        <f>+Actuals!M253</f>
        <v>35</v>
      </c>
      <c r="Q23" s="134">
        <f>+Actuals!N253</f>
        <v>60.03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+Actuals!Y253</f>
        <v>0</v>
      </c>
      <c r="AC23" s="134">
        <f>+Actuals!Z253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  <c r="AL23" s="133">
        <f>+Actuals!AI453</f>
        <v>0</v>
      </c>
      <c r="AM23" s="134">
        <f>+Actuals!AJ453</f>
        <v>0</v>
      </c>
      <c r="AN23" s="133">
        <f>+Actuals!AK453</f>
        <v>0</v>
      </c>
      <c r="AO23" s="134">
        <f>+Actuals!AL453</f>
        <v>0</v>
      </c>
      <c r="AP23" s="133">
        <f>+Actuals!AM453</f>
        <v>0</v>
      </c>
      <c r="AQ23" s="134">
        <f>+Actuals!AN453</f>
        <v>0</v>
      </c>
      <c r="AR23" s="133">
        <f>+Actuals!AO453</f>
        <v>0</v>
      </c>
      <c r="AS23" s="134">
        <f>+Actuals!AP453</f>
        <v>0</v>
      </c>
      <c r="AT23" s="133">
        <f>+Actuals!AQ453</f>
        <v>0</v>
      </c>
      <c r="AU23" s="134">
        <f>+Actuals!AR453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-23531418</v>
      </c>
      <c r="E24" s="39">
        <f t="shared" si="5"/>
        <v>-40408235.240000002</v>
      </c>
      <c r="F24" s="61">
        <f t="shared" si="5"/>
        <v>0</v>
      </c>
      <c r="G24" s="39">
        <f t="shared" si="5"/>
        <v>530666.31000000006</v>
      </c>
      <c r="H24" s="61">
        <f t="shared" si="5"/>
        <v>-23465666</v>
      </c>
      <c r="I24" s="39">
        <f t="shared" si="5"/>
        <v>-31246998.18</v>
      </c>
      <c r="J24" s="61">
        <f t="shared" si="5"/>
        <v>28335635</v>
      </c>
      <c r="K24" s="154">
        <f t="shared" si="5"/>
        <v>40721746.650000006</v>
      </c>
      <c r="L24" s="61">
        <f t="shared" si="5"/>
        <v>-27490415</v>
      </c>
      <c r="M24" s="39">
        <f t="shared" si="5"/>
        <v>-48834004.260000005</v>
      </c>
      <c r="N24" s="61">
        <f t="shared" si="5"/>
        <v>-526099</v>
      </c>
      <c r="O24" s="39">
        <f t="shared" si="5"/>
        <v>-925536.7</v>
      </c>
      <c r="P24" s="61">
        <f t="shared" si="5"/>
        <v>16350</v>
      </c>
      <c r="Q24" s="39">
        <f t="shared" si="5"/>
        <v>25291.449999999997</v>
      </c>
      <c r="R24" s="61">
        <f t="shared" si="5"/>
        <v>6585</v>
      </c>
      <c r="S24" s="39">
        <f t="shared" si="5"/>
        <v>13221.6</v>
      </c>
      <c r="T24" s="61">
        <f t="shared" si="5"/>
        <v>61979</v>
      </c>
      <c r="U24" s="39">
        <f t="shared" si="5"/>
        <v>120107.69</v>
      </c>
      <c r="V24" s="61">
        <f t="shared" si="5"/>
        <v>-129851</v>
      </c>
      <c r="W24" s="39">
        <f t="shared" si="5"/>
        <v>-226916.62</v>
      </c>
      <c r="X24" s="61">
        <f t="shared" si="5"/>
        <v>-957984</v>
      </c>
      <c r="Y24" s="39">
        <f t="shared" si="5"/>
        <v>-1626643.15</v>
      </c>
      <c r="Z24" s="61">
        <f t="shared" si="5"/>
        <v>-1005179</v>
      </c>
      <c r="AA24" s="39">
        <f t="shared" si="5"/>
        <v>-1706253.58</v>
      </c>
      <c r="AB24" s="61">
        <f t="shared" si="5"/>
        <v>1637666</v>
      </c>
      <c r="AC24" s="39">
        <f t="shared" si="5"/>
        <v>2769659</v>
      </c>
      <c r="AD24" s="61">
        <f t="shared" si="5"/>
        <v>-1627666</v>
      </c>
      <c r="AE24" s="39">
        <f t="shared" si="5"/>
        <v>-2751959</v>
      </c>
      <c r="AF24" s="61">
        <f t="shared" ref="AF24:AK24" si="6">SUM(AF19:AF23)</f>
        <v>-1140</v>
      </c>
      <c r="AG24" s="39">
        <f t="shared" si="6"/>
        <v>-1873.06</v>
      </c>
      <c r="AH24" s="61">
        <f t="shared" si="6"/>
        <v>1634608</v>
      </c>
      <c r="AI24" s="39">
        <f t="shared" si="6"/>
        <v>2764498.9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-6159</v>
      </c>
      <c r="AO24" s="39">
        <f t="shared" si="7"/>
        <v>-10539.17</v>
      </c>
      <c r="AP24" s="61">
        <f t="shared" si="7"/>
        <v>1745</v>
      </c>
      <c r="AQ24" s="39">
        <f t="shared" si="7"/>
        <v>2651.73</v>
      </c>
      <c r="AR24" s="61">
        <f>SUM(AR19:AR23)</f>
        <v>14244</v>
      </c>
      <c r="AS24" s="39">
        <f>SUM(AS19:AS23)</f>
        <v>26517.63</v>
      </c>
      <c r="AT24" s="61">
        <f>SUM(AT19:AT23)</f>
        <v>-30071</v>
      </c>
      <c r="AU24" s="39">
        <f>SUM(AU19:AU23)</f>
        <v>-51872.480000000003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12151979</v>
      </c>
      <c r="E27" s="38">
        <f>SUM(G27,I27,K27,M27,O27,Q27,S27,U27,W27,Y27,AA27,AC27,AE27,AG27,AI27,AK27,AM27,AO27,AQ27,AS27,AU27)</f>
        <v>21629046.989999995</v>
      </c>
      <c r="F27" s="64">
        <f>'TIE-OUT'!R27+RECLASS!R27</f>
        <v>0</v>
      </c>
      <c r="G27" s="68">
        <f>'TIE-OUT'!S27+RECLASS!S27</f>
        <v>0</v>
      </c>
      <c r="H27" s="133">
        <f>+Actuals!E254</f>
        <v>33205385</v>
      </c>
      <c r="I27" s="134">
        <f>+Actuals!F254</f>
        <v>58683893.939999998</v>
      </c>
      <c r="J27" s="133">
        <f>+Actuals!G254</f>
        <v>-18399121</v>
      </c>
      <c r="K27" s="153">
        <f>+Actuals!H254</f>
        <v>-32382373.91</v>
      </c>
      <c r="L27" s="133">
        <f>+Actuals!I254</f>
        <v>195216</v>
      </c>
      <c r="M27" s="134">
        <f>+Actuals!J254</f>
        <v>347484.8</v>
      </c>
      <c r="N27" s="133">
        <f>+Actuals!K254</f>
        <v>151304</v>
      </c>
      <c r="O27" s="134">
        <f>+Actuals!L254</f>
        <v>269321.12</v>
      </c>
      <c r="P27" s="133">
        <f>+Actuals!M254</f>
        <v>5376</v>
      </c>
      <c r="Q27" s="134">
        <f>+Actuals!N254</f>
        <v>9569.2800000000007</v>
      </c>
      <c r="R27" s="133">
        <f>+Actuals!O254</f>
        <v>-29172</v>
      </c>
      <c r="S27" s="134">
        <f>+Actuals!P254</f>
        <v>-51927</v>
      </c>
      <c r="T27" s="133">
        <f>+Actuals!Q254</f>
        <v>-2872269</v>
      </c>
      <c r="U27" s="134">
        <f>+Actuals!R254</f>
        <v>-5062039.37</v>
      </c>
      <c r="V27" s="133">
        <f>+Actuals!S254</f>
        <v>0</v>
      </c>
      <c r="W27" s="134">
        <f>+Actuals!T254</f>
        <v>0</v>
      </c>
      <c r="X27" s="133">
        <f>+Actuals!U254</f>
        <v>0</v>
      </c>
      <c r="Y27" s="134">
        <f>+Actuals!V254</f>
        <v>0</v>
      </c>
      <c r="Z27" s="133">
        <f>+Actuals!W254</f>
        <v>47868</v>
      </c>
      <c r="AA27" s="134">
        <f>+Actuals!X254</f>
        <v>85205.04</v>
      </c>
      <c r="AB27" s="133">
        <f>+Actuals!Y254</f>
        <v>-9710</v>
      </c>
      <c r="AC27" s="134">
        <f>+Actuals!Z254</f>
        <v>-17283.8</v>
      </c>
      <c r="AD27" s="133">
        <f>+Actuals!AA454</f>
        <v>0</v>
      </c>
      <c r="AE27" s="134">
        <f>+Actuals!AB454</f>
        <v>0</v>
      </c>
      <c r="AF27" s="133">
        <f>+Actuals!AC454</f>
        <v>0</v>
      </c>
      <c r="AG27" s="134">
        <f>+Actuals!AD454</f>
        <v>0</v>
      </c>
      <c r="AH27" s="133">
        <f>+Actuals!AE454</f>
        <v>0</v>
      </c>
      <c r="AI27" s="134">
        <f>+Actuals!AF454</f>
        <v>0</v>
      </c>
      <c r="AJ27" s="133">
        <f>+Actuals!AG454</f>
        <v>0</v>
      </c>
      <c r="AK27" s="134">
        <f>+Actuals!AH454</f>
        <v>0</v>
      </c>
      <c r="AL27" s="133">
        <f>+Actuals!AI454</f>
        <v>27</v>
      </c>
      <c r="AM27" s="134">
        <f>+Actuals!AJ454</f>
        <v>48.06</v>
      </c>
      <c r="AN27" s="133">
        <f>+Actuals!AK454</f>
        <v>-142925</v>
      </c>
      <c r="AO27" s="134">
        <f>+Actuals!AL454</f>
        <v>-252977</v>
      </c>
      <c r="AP27" s="133">
        <f>+Actuals!AM454</f>
        <v>0</v>
      </c>
      <c r="AQ27" s="134">
        <f>+Actuals!AN454</f>
        <v>0</v>
      </c>
      <c r="AR27" s="133">
        <f>+Actuals!AO454</f>
        <v>0</v>
      </c>
      <c r="AS27" s="134">
        <v>125.83</v>
      </c>
      <c r="AT27" s="133">
        <f>+Actuals!AQ454</f>
        <v>0</v>
      </c>
      <c r="AU27" s="134"/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-6123075</v>
      </c>
      <c r="E28" s="38">
        <f>SUM(G28,I28,K28,M28,O28,Q28,S28,U28,W28,Y28,AA28,AC28,AE28,AG28,AI28,AK28,AM28,AO28,AQ28,AS28,AU28)</f>
        <v>-10779322.890000002</v>
      </c>
      <c r="F28" s="81">
        <f>'TIE-OUT'!R28+RECLASS!R28</f>
        <v>0</v>
      </c>
      <c r="G28" s="82">
        <f>'TIE-OUT'!S28+RECLASS!S28</f>
        <v>0</v>
      </c>
      <c r="H28" s="133">
        <f>+Actuals!E255</f>
        <v>-28542883</v>
      </c>
      <c r="I28" s="134">
        <f>+Actuals!F255</f>
        <v>-50684924.219999999</v>
      </c>
      <c r="J28" s="133">
        <f>+Actuals!G255</f>
        <v>-23105565</v>
      </c>
      <c r="K28" s="153">
        <f>+Actuals!H255</f>
        <v>-41007399.309999995</v>
      </c>
      <c r="L28" s="133">
        <f>+Actuals!I255</f>
        <v>28568659</v>
      </c>
      <c r="M28" s="134">
        <f>+Actuals!J255</f>
        <v>50730813.140000001</v>
      </c>
      <c r="N28" s="133">
        <f>+Actuals!K255</f>
        <v>17059092</v>
      </c>
      <c r="O28" s="134">
        <f>+Actuals!L255</f>
        <v>30365175.899999999</v>
      </c>
      <c r="P28" s="133">
        <f>+Actuals!M255</f>
        <v>-41282</v>
      </c>
      <c r="Q28" s="134">
        <f>+Actuals!N255</f>
        <v>-74011.649999999994</v>
      </c>
      <c r="R28" s="133">
        <f>+Actuals!O255</f>
        <v>6795</v>
      </c>
      <c r="S28" s="134">
        <f>+Actuals!P255</f>
        <v>12095</v>
      </c>
      <c r="T28" s="133">
        <f>+Actuals!Q255</f>
        <v>65673</v>
      </c>
      <c r="U28" s="134">
        <f>+Actuals!R255</f>
        <v>116898</v>
      </c>
      <c r="V28" s="133">
        <f>+Actuals!S255</f>
        <v>10000</v>
      </c>
      <c r="W28" s="134">
        <f>+Actuals!T255</f>
        <v>17700</v>
      </c>
      <c r="X28" s="133">
        <f>+Actuals!U255</f>
        <v>1600</v>
      </c>
      <c r="Y28" s="134">
        <f>+Actuals!V255</f>
        <v>2848</v>
      </c>
      <c r="Z28" s="133">
        <f>+Actuals!W255</f>
        <v>-49967</v>
      </c>
      <c r="AA28" s="134">
        <f>+Actuals!X255</f>
        <v>-88941.26</v>
      </c>
      <c r="AB28" s="133">
        <f>+Actuals!Y255</f>
        <v>326542</v>
      </c>
      <c r="AC28" s="134">
        <f>+Actuals!Z255</f>
        <v>581244.76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-421739</v>
      </c>
      <c r="AI28" s="134">
        <f>+Actuals!AF455</f>
        <v>-750695.42</v>
      </c>
      <c r="AJ28" s="133">
        <f>+Actuals!AG455</f>
        <v>0</v>
      </c>
      <c r="AK28" s="134">
        <f>+Actuals!AH455</f>
        <v>0</v>
      </c>
      <c r="AL28" s="133">
        <f>+Actuals!AI455</f>
        <v>0</v>
      </c>
      <c r="AM28" s="134">
        <f>+Actuals!AJ455</f>
        <v>0</v>
      </c>
      <c r="AN28" s="133">
        <f>+Actuals!AK455</f>
        <v>0</v>
      </c>
      <c r="AO28" s="134">
        <f>+Actuals!AL455</f>
        <v>0</v>
      </c>
      <c r="AP28" s="133">
        <f>+Actuals!AM455</f>
        <v>0</v>
      </c>
      <c r="AQ28" s="134">
        <f>+Actuals!AN455</f>
        <v>0</v>
      </c>
      <c r="AR28" s="133">
        <f>+Actuals!AO455</f>
        <v>0</v>
      </c>
      <c r="AS28" s="134">
        <v>-125.83</v>
      </c>
      <c r="AT28" s="133">
        <f>+Actuals!AQ455</f>
        <v>0</v>
      </c>
      <c r="AU28" s="134"/>
    </row>
    <row r="29" spans="1:47" x14ac:dyDescent="0.25">
      <c r="A29" s="9"/>
      <c r="B29" s="7" t="s">
        <v>41</v>
      </c>
      <c r="C29" s="18"/>
      <c r="D29" s="61">
        <f t="shared" ref="D29:AE29" si="8">SUM(D27:D28)</f>
        <v>6028904</v>
      </c>
      <c r="E29" s="39">
        <f t="shared" si="8"/>
        <v>10849724.099999992</v>
      </c>
      <c r="F29" s="61">
        <f t="shared" si="8"/>
        <v>0</v>
      </c>
      <c r="G29" s="39">
        <f t="shared" si="8"/>
        <v>0</v>
      </c>
      <c r="H29" s="61">
        <f t="shared" si="8"/>
        <v>4662502</v>
      </c>
      <c r="I29" s="39">
        <f t="shared" si="8"/>
        <v>7998969.7199999988</v>
      </c>
      <c r="J29" s="61">
        <f t="shared" si="8"/>
        <v>-41504686</v>
      </c>
      <c r="K29" s="154">
        <f t="shared" si="8"/>
        <v>-73389773.219999999</v>
      </c>
      <c r="L29" s="61">
        <f t="shared" si="8"/>
        <v>28763875</v>
      </c>
      <c r="M29" s="39">
        <f t="shared" si="8"/>
        <v>51078297.939999998</v>
      </c>
      <c r="N29" s="61">
        <f t="shared" si="8"/>
        <v>17210396</v>
      </c>
      <c r="O29" s="39">
        <f t="shared" si="8"/>
        <v>30634497.02</v>
      </c>
      <c r="P29" s="61">
        <f t="shared" si="8"/>
        <v>-35906</v>
      </c>
      <c r="Q29" s="39">
        <f t="shared" si="8"/>
        <v>-64442.369999999995</v>
      </c>
      <c r="R29" s="61">
        <f t="shared" si="8"/>
        <v>-22377</v>
      </c>
      <c r="S29" s="39">
        <f t="shared" si="8"/>
        <v>-39832</v>
      </c>
      <c r="T29" s="61">
        <f t="shared" si="8"/>
        <v>-2806596</v>
      </c>
      <c r="U29" s="39">
        <f t="shared" si="8"/>
        <v>-4945141.37</v>
      </c>
      <c r="V29" s="61">
        <f t="shared" si="8"/>
        <v>10000</v>
      </c>
      <c r="W29" s="39">
        <f t="shared" si="8"/>
        <v>17700</v>
      </c>
      <c r="X29" s="61">
        <f t="shared" si="8"/>
        <v>1600</v>
      </c>
      <c r="Y29" s="39">
        <f t="shared" si="8"/>
        <v>2848</v>
      </c>
      <c r="Z29" s="61">
        <f t="shared" si="8"/>
        <v>-2099</v>
      </c>
      <c r="AA29" s="39">
        <f t="shared" si="8"/>
        <v>-3736.2200000000012</v>
      </c>
      <c r="AB29" s="61">
        <f t="shared" si="8"/>
        <v>316832</v>
      </c>
      <c r="AC29" s="39">
        <f t="shared" si="8"/>
        <v>563960.96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-421739</v>
      </c>
      <c r="AI29" s="39">
        <f t="shared" si="9"/>
        <v>-750695.42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27</v>
      </c>
      <c r="AM29" s="39">
        <f t="shared" si="10"/>
        <v>48.06</v>
      </c>
      <c r="AN29" s="61">
        <f t="shared" si="10"/>
        <v>-142925</v>
      </c>
      <c r="AO29" s="39">
        <f t="shared" si="10"/>
        <v>-252977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185050</v>
      </c>
      <c r="E32" s="38">
        <f t="shared" si="11"/>
        <v>317360.17899999983</v>
      </c>
      <c r="F32" s="64">
        <f>'TIE-OUT'!R32+RECLASS!R32</f>
        <v>0</v>
      </c>
      <c r="G32" s="68">
        <f>'TIE-OUT'!S32+RECLASS!S32</f>
        <v>0</v>
      </c>
      <c r="H32" s="133">
        <f>+Actuals!E256</f>
        <v>0</v>
      </c>
      <c r="I32" s="134">
        <f>+Actuals!F256</f>
        <v>0</v>
      </c>
      <c r="J32" s="133">
        <f>+Actuals!G256</f>
        <v>-14097</v>
      </c>
      <c r="K32" s="153">
        <f>+Actuals!H256</f>
        <v>-24176</v>
      </c>
      <c r="L32" s="133">
        <f>+Actuals!I256</f>
        <v>213574</v>
      </c>
      <c r="M32" s="134">
        <f>+Actuals!J256</f>
        <v>386825.19</v>
      </c>
      <c r="N32" s="133">
        <f>+Actuals!K256</f>
        <v>-164523</v>
      </c>
      <c r="O32" s="134">
        <f>+Actuals!L256</f>
        <v>-302703.08</v>
      </c>
      <c r="P32" s="133">
        <f>+Actuals!M256</f>
        <v>67665</v>
      </c>
      <c r="Q32" s="134">
        <f>+Actuals!N256</f>
        <v>163865.93</v>
      </c>
      <c r="R32" s="133">
        <f>+Actuals!O256</f>
        <v>1545</v>
      </c>
      <c r="S32" s="134">
        <f>+Actuals!P256</f>
        <v>3476.25</v>
      </c>
      <c r="T32" s="133">
        <f>+Actuals!Q256</f>
        <v>-64348</v>
      </c>
      <c r="U32" s="134">
        <f>+Actuals!R256</f>
        <v>-220711.826</v>
      </c>
      <c r="V32" s="133">
        <f>+Actuals!S256</f>
        <v>84625</v>
      </c>
      <c r="W32" s="134">
        <f>+Actuals!T256</f>
        <v>279820.86</v>
      </c>
      <c r="X32" s="133">
        <f>+Actuals!U256</f>
        <v>82572</v>
      </c>
      <c r="Y32" s="134">
        <f>+Actuals!V256</f>
        <v>116449.83</v>
      </c>
      <c r="Z32" s="133">
        <f>+Actuals!W256</f>
        <v>128278</v>
      </c>
      <c r="AA32" s="134">
        <f>+Actuals!X256</f>
        <v>219996.77</v>
      </c>
      <c r="AB32" s="133">
        <f>+Actuals!Y256</f>
        <v>27795</v>
      </c>
      <c r="AC32" s="134">
        <f>+Actuals!Z256</f>
        <v>47668.425000000003</v>
      </c>
      <c r="AD32" s="133">
        <f>+Actuals!AA456</f>
        <v>-580559</v>
      </c>
      <c r="AE32" s="134">
        <f>+Actuals!AB456</f>
        <v>-995658.68500000006</v>
      </c>
      <c r="AF32" s="133">
        <f>+Actuals!AC456</f>
        <v>-262518</v>
      </c>
      <c r="AG32" s="134">
        <f>+Actuals!AD456</f>
        <v>-498038.82500000001</v>
      </c>
      <c r="AH32" s="133">
        <f>+Actuals!AE456</f>
        <v>765577</v>
      </c>
      <c r="AI32" s="134">
        <f>+Actuals!AF456</f>
        <v>1312964.5549999999</v>
      </c>
      <c r="AJ32" s="133">
        <f>+Actuals!AG456</f>
        <v>-45019</v>
      </c>
      <c r="AK32" s="134">
        <f>+Actuals!AH456</f>
        <v>-77207.585000000006</v>
      </c>
      <c r="AL32" s="133">
        <f>+Actuals!AI456</f>
        <v>0</v>
      </c>
      <c r="AM32" s="134">
        <f>+Actuals!AJ456</f>
        <v>0</v>
      </c>
      <c r="AN32" s="133">
        <f>+Actuals!AK456</f>
        <v>0</v>
      </c>
      <c r="AO32" s="134">
        <f>+Actuals!AL456</f>
        <v>0</v>
      </c>
      <c r="AP32" s="133">
        <f>-586+18711</f>
        <v>18125</v>
      </c>
      <c r="AQ32" s="134">
        <f>-1004.99+32089.37</f>
        <v>31084.379999999997</v>
      </c>
      <c r="AR32" s="133">
        <v>20049</v>
      </c>
      <c r="AS32" s="134">
        <v>34384.06</v>
      </c>
      <c r="AT32" s="133">
        <v>-93691</v>
      </c>
      <c r="AU32" s="134">
        <v>-160680.07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+Actuals!Y257</f>
        <v>0</v>
      </c>
      <c r="AC33" s="134">
        <f>+Actuals!Z257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  <c r="AL33" s="133">
        <f>+Actuals!AI457</f>
        <v>0</v>
      </c>
      <c r="AM33" s="134">
        <f>+Actuals!AJ457</f>
        <v>0</v>
      </c>
      <c r="AN33" s="133">
        <f>+Actuals!AK457</f>
        <v>0</v>
      </c>
      <c r="AO33" s="134">
        <f>+Actuals!AL457</f>
        <v>0</v>
      </c>
      <c r="AP33" s="133">
        <f>+Actuals!AM457</f>
        <v>0</v>
      </c>
      <c r="AQ33" s="134">
        <f>+Actuals!AN457</f>
        <v>0</v>
      </c>
      <c r="AR33" s="133">
        <f>+Actuals!AO457</f>
        <v>0</v>
      </c>
      <c r="AS33" s="134">
        <f>+Actuals!AP457</f>
        <v>0</v>
      </c>
      <c r="AT33" s="133">
        <f>+Actuals!AQ457</f>
        <v>0</v>
      </c>
      <c r="AU33" s="134">
        <f>+Actuals!AR457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+Actuals!Y258</f>
        <v>0</v>
      </c>
      <c r="AC34" s="134">
        <f>+Actuals!Z258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  <c r="AL34" s="133">
        <f>+Actuals!AI458</f>
        <v>0</v>
      </c>
      <c r="AM34" s="134">
        <f>+Actuals!AJ458</f>
        <v>0</v>
      </c>
      <c r="AN34" s="133">
        <f>+Actuals!AK458</f>
        <v>0</v>
      </c>
      <c r="AO34" s="134">
        <f>+Actuals!AL458</f>
        <v>0</v>
      </c>
      <c r="AP34" s="133">
        <f>+Actuals!AM458</f>
        <v>0</v>
      </c>
      <c r="AQ34" s="134">
        <f>+Actuals!AN458</f>
        <v>0</v>
      </c>
      <c r="AR34" s="133">
        <f>+Actuals!AO458</f>
        <v>0</v>
      </c>
      <c r="AS34" s="134">
        <f>+Actuals!AP458</f>
        <v>0</v>
      </c>
      <c r="AT34" s="133">
        <f>+Actuals!AQ458</f>
        <v>0</v>
      </c>
      <c r="AU34" s="134">
        <f>+Actuals!AR458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+Actuals!Y259</f>
        <v>0</v>
      </c>
      <c r="AC35" s="134">
        <f>+Actuals!Z259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  <c r="AL35" s="133">
        <f>+Actuals!AI459</f>
        <v>0</v>
      </c>
      <c r="AM35" s="134">
        <f>+Actuals!AJ459</f>
        <v>0</v>
      </c>
      <c r="AN35" s="133">
        <f>+Actuals!AK459</f>
        <v>0</v>
      </c>
      <c r="AO35" s="134">
        <f>+Actuals!AL459</f>
        <v>0</v>
      </c>
      <c r="AP35" s="133">
        <f>+Actuals!AM459</f>
        <v>0</v>
      </c>
      <c r="AQ35" s="134">
        <f>+Actuals!AN459</f>
        <v>0</v>
      </c>
      <c r="AR35" s="133">
        <f>+Actuals!AO459</f>
        <v>0</v>
      </c>
      <c r="AS35" s="134">
        <f>+Actuals!AP459</f>
        <v>0</v>
      </c>
      <c r="AT35" s="133">
        <f>+Actuals!AQ459</f>
        <v>0</v>
      </c>
      <c r="AU35" s="134">
        <f>+Actuals!AR459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185050</v>
      </c>
      <c r="E36" s="39">
        <f t="shared" si="12"/>
        <v>317360.17899999983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-14097</v>
      </c>
      <c r="K36" s="154">
        <f t="shared" si="12"/>
        <v>-24176</v>
      </c>
      <c r="L36" s="61">
        <f t="shared" si="12"/>
        <v>213574</v>
      </c>
      <c r="M36" s="39">
        <f t="shared" si="12"/>
        <v>386825.19</v>
      </c>
      <c r="N36" s="61">
        <f t="shared" si="12"/>
        <v>-164523</v>
      </c>
      <c r="O36" s="39">
        <f t="shared" si="12"/>
        <v>-302703.08</v>
      </c>
      <c r="P36" s="61">
        <f t="shared" si="12"/>
        <v>67665</v>
      </c>
      <c r="Q36" s="39">
        <f t="shared" si="12"/>
        <v>163865.93</v>
      </c>
      <c r="R36" s="61">
        <f t="shared" si="12"/>
        <v>1545</v>
      </c>
      <c r="S36" s="39">
        <f t="shared" si="12"/>
        <v>3476.25</v>
      </c>
      <c r="T36" s="61">
        <f t="shared" si="12"/>
        <v>-64348</v>
      </c>
      <c r="U36" s="39">
        <f t="shared" si="12"/>
        <v>-220711.826</v>
      </c>
      <c r="V36" s="61">
        <f t="shared" si="12"/>
        <v>84625</v>
      </c>
      <c r="W36" s="39">
        <f t="shared" si="12"/>
        <v>279820.86</v>
      </c>
      <c r="X36" s="61">
        <f t="shared" si="12"/>
        <v>82572</v>
      </c>
      <c r="Y36" s="39">
        <f t="shared" si="12"/>
        <v>116449.83</v>
      </c>
      <c r="Z36" s="61">
        <f t="shared" si="12"/>
        <v>128278</v>
      </c>
      <c r="AA36" s="39">
        <f t="shared" si="12"/>
        <v>219996.77</v>
      </c>
      <c r="AB36" s="61">
        <f t="shared" si="12"/>
        <v>27795</v>
      </c>
      <c r="AC36" s="39">
        <f t="shared" si="12"/>
        <v>47668.425000000003</v>
      </c>
      <c r="AD36" s="61">
        <f t="shared" si="12"/>
        <v>-580559</v>
      </c>
      <c r="AE36" s="39">
        <f t="shared" si="12"/>
        <v>-995658.68500000006</v>
      </c>
      <c r="AF36" s="61">
        <f t="shared" ref="AF36:AK36" si="13">SUM(AF32:AF35)</f>
        <v>-262518</v>
      </c>
      <c r="AG36" s="39">
        <f t="shared" si="13"/>
        <v>-498038.82500000001</v>
      </c>
      <c r="AH36" s="61">
        <f t="shared" si="13"/>
        <v>765577</v>
      </c>
      <c r="AI36" s="39">
        <f t="shared" si="13"/>
        <v>1312964.5549999999</v>
      </c>
      <c r="AJ36" s="61">
        <f t="shared" si="13"/>
        <v>-45019</v>
      </c>
      <c r="AK36" s="39">
        <f t="shared" si="13"/>
        <v>-77207.585000000006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18125</v>
      </c>
      <c r="AQ36" s="39">
        <f t="shared" si="14"/>
        <v>31084.379999999997</v>
      </c>
      <c r="AR36" s="61">
        <f>SUM(AR32:AR35)</f>
        <v>20049</v>
      </c>
      <c r="AS36" s="39">
        <f>SUM(AS32:AS35)</f>
        <v>34384.06</v>
      </c>
      <c r="AT36" s="61">
        <f>SUM(AT32:AT35)</f>
        <v>-93691</v>
      </c>
      <c r="AU36" s="39">
        <f>SUM(AU32:AU35)</f>
        <v>-160680.07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2573914</v>
      </c>
      <c r="E39" s="38">
        <f t="shared" si="15"/>
        <v>4630012.8699999992</v>
      </c>
      <c r="F39" s="64">
        <f>'TIE-OUT'!R39+RECLASS!R39</f>
        <v>0</v>
      </c>
      <c r="G39" s="68">
        <f>'TIE-OUT'!S39+RECLASS!S39</f>
        <v>0</v>
      </c>
      <c r="H39" s="133">
        <f>+Actuals!E260</f>
        <v>3288769</v>
      </c>
      <c r="I39" s="134">
        <f>+Actuals!F260</f>
        <v>6011464.0199999996</v>
      </c>
      <c r="J39" s="133">
        <f>+Actuals!G260</f>
        <v>15541320</v>
      </c>
      <c r="K39" s="153">
        <f>+Actuals!H260</f>
        <v>28475738.98</v>
      </c>
      <c r="L39" s="133">
        <f>+Actuals!I260</f>
        <v>-274810</v>
      </c>
      <c r="M39" s="134">
        <f>+Actuals!J260</f>
        <v>-503514.08</v>
      </c>
      <c r="N39" s="133">
        <f>+Actuals!K260</f>
        <v>-16653389</v>
      </c>
      <c r="O39" s="134">
        <f>+Actuals!L260</f>
        <v>-30513367.850000001</v>
      </c>
      <c r="P39" s="133">
        <f>+Actuals!M260</f>
        <v>-9196</v>
      </c>
      <c r="Q39" s="134">
        <f>+Actuals!N260</f>
        <v>-16849.46</v>
      </c>
      <c r="R39" s="133">
        <f>+Actuals!O260</f>
        <v>56863</v>
      </c>
      <c r="S39" s="134">
        <f>+Actuals!P260</f>
        <v>116641.3</v>
      </c>
      <c r="T39" s="133">
        <f>+Actuals!Q260</f>
        <v>-69962</v>
      </c>
      <c r="U39" s="134">
        <f>+Actuals!R260</f>
        <v>-429341.2</v>
      </c>
      <c r="V39" s="133">
        <f>+Actuals!S260</f>
        <v>4590</v>
      </c>
      <c r="W39" s="134">
        <f>+Actuals!T260</f>
        <v>7818.13</v>
      </c>
      <c r="X39" s="133">
        <f>+Actuals!U260</f>
        <v>4870</v>
      </c>
      <c r="Y39" s="134">
        <f>+Actuals!V260</f>
        <v>7823.04</v>
      </c>
      <c r="Z39" s="133">
        <f>+Actuals!W260</f>
        <v>0</v>
      </c>
      <c r="AA39" s="134">
        <f>+Actuals!X260</f>
        <v>0</v>
      </c>
      <c r="AB39" s="133">
        <f>+Actuals!Y260</f>
        <v>-352845</v>
      </c>
      <c r="AC39" s="134">
        <f>+Actuals!Z260</f>
        <v>-694923.87</v>
      </c>
      <c r="AD39" s="133">
        <f>+Actuals!AA460</f>
        <v>580559</v>
      </c>
      <c r="AE39" s="134">
        <f>+Actuals!AB460</f>
        <v>919721.57</v>
      </c>
      <c r="AF39" s="133">
        <f>+Actuals!AC460</f>
        <v>159899</v>
      </c>
      <c r="AG39" s="134">
        <f>+Actuals!AD460</f>
        <v>253312.85</v>
      </c>
      <c r="AH39" s="133">
        <f>+Actuals!AE460</f>
        <v>-383789</v>
      </c>
      <c r="AI39" s="134">
        <f>+Actuals!AF460</f>
        <v>-603667.53</v>
      </c>
      <c r="AJ39" s="133">
        <f>+Actuals!AG460</f>
        <v>-393897</v>
      </c>
      <c r="AK39" s="134">
        <f>+Actuals!AH460</f>
        <v>-619180.25</v>
      </c>
      <c r="AL39" s="133">
        <f>+Actuals!AI460</f>
        <v>0</v>
      </c>
      <c r="AM39" s="134">
        <f>+Actuals!AJ460</f>
        <v>0</v>
      </c>
      <c r="AN39" s="133">
        <f>+Actuals!AK460</f>
        <v>0</v>
      </c>
      <c r="AO39" s="134">
        <f>+Actuals!AL460</f>
        <v>0</v>
      </c>
      <c r="AP39" s="133">
        <f>+Actuals!AM460</f>
        <v>0</v>
      </c>
      <c r="AQ39" s="134">
        <f>+Actuals!AN460</f>
        <v>0</v>
      </c>
      <c r="AR39" s="133">
        <v>-642</v>
      </c>
      <c r="AS39" s="134">
        <v>-3985.11</v>
      </c>
      <c r="AT39" s="133">
        <v>1075574</v>
      </c>
      <c r="AU39" s="134">
        <v>2222322.33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-1503842</v>
      </c>
      <c r="E40" s="38">
        <f t="shared" si="15"/>
        <v>-3128538.62</v>
      </c>
      <c r="F40" s="60">
        <f>'TIE-OUT'!R40+RECLASS!R40</f>
        <v>0</v>
      </c>
      <c r="G40" s="38">
        <f>'TIE-OUT'!S40+RECLASS!S40</f>
        <v>0</v>
      </c>
      <c r="H40" s="133">
        <f>+Actuals!E261</f>
        <v>0</v>
      </c>
      <c r="I40" s="134">
        <f>+Actuals!F261</f>
        <v>0</v>
      </c>
      <c r="J40" s="133">
        <f>+Actuals!G261</f>
        <v>0</v>
      </c>
      <c r="K40" s="153">
        <f>+Actuals!H261</f>
        <v>0</v>
      </c>
      <c r="L40" s="133">
        <f>+Actuals!I261</f>
        <v>0</v>
      </c>
      <c r="M40" s="134">
        <f>+Actuals!J261</f>
        <v>0</v>
      </c>
      <c r="N40" s="133">
        <f>+Actuals!K261</f>
        <v>-438916</v>
      </c>
      <c r="O40" s="134">
        <f>+Actuals!L261</f>
        <v>-752740.94</v>
      </c>
      <c r="P40" s="133">
        <f>+Actuals!M261</f>
        <v>0</v>
      </c>
      <c r="Q40" s="134">
        <f>+Actuals!N261</f>
        <v>0</v>
      </c>
      <c r="R40" s="133">
        <f>+Actuals!O261</f>
        <v>0</v>
      </c>
      <c r="S40" s="134">
        <f>+Actuals!P261</f>
        <v>0</v>
      </c>
      <c r="T40" s="133">
        <f>+Actuals!Q261</f>
        <v>0</v>
      </c>
      <c r="U40" s="134">
        <f>+Actuals!R261</f>
        <v>-28529.54</v>
      </c>
      <c r="V40" s="133">
        <f>+Actuals!S261</f>
        <v>-25739</v>
      </c>
      <c r="W40" s="134">
        <f>+Actuals!T261</f>
        <v>-45815.42</v>
      </c>
      <c r="X40" s="133">
        <f>+Actuals!U261</f>
        <v>2</v>
      </c>
      <c r="Y40" s="134">
        <f>+Actuals!V261</f>
        <v>3.56</v>
      </c>
      <c r="Z40" s="133">
        <f>+Actuals!W261</f>
        <v>4515</v>
      </c>
      <c r="AA40" s="134">
        <f>+Actuals!X261</f>
        <v>8036.7</v>
      </c>
      <c r="AB40" s="133">
        <f>+Actuals!Y261</f>
        <v>0</v>
      </c>
      <c r="AC40" s="134">
        <f>+Actuals!Z261</f>
        <v>0</v>
      </c>
      <c r="AD40" s="133">
        <f>+Actuals!AA461</f>
        <v>0</v>
      </c>
      <c r="AE40" s="134">
        <f>+Actuals!AB461</f>
        <v>0</v>
      </c>
      <c r="AF40" s="133">
        <f>+Actuals!AC461</f>
        <v>0</v>
      </c>
      <c r="AG40" s="134">
        <f>+Actuals!AD461</f>
        <v>0</v>
      </c>
      <c r="AH40" s="133">
        <f>+Actuals!AE461</f>
        <v>21222</v>
      </c>
      <c r="AI40" s="134">
        <f>+Actuals!AF461</f>
        <v>37775.160000000003</v>
      </c>
      <c r="AJ40" s="133">
        <f>+Actuals!AG461</f>
        <v>438916</v>
      </c>
      <c r="AK40" s="134">
        <f>+Actuals!AH461</f>
        <v>781270.48</v>
      </c>
      <c r="AL40" s="133">
        <f>+Actuals!AI461</f>
        <v>-428268</v>
      </c>
      <c r="AM40" s="134">
        <f>+Actuals!AJ461</f>
        <v>-909199.23</v>
      </c>
      <c r="AN40" s="133">
        <f>+Actuals!AK461</f>
        <v>0</v>
      </c>
      <c r="AO40" s="134">
        <f>+Actuals!AL461</f>
        <v>0</v>
      </c>
      <c r="AP40" s="133">
        <f>+Actuals!AM461</f>
        <v>0</v>
      </c>
      <c r="AQ40" s="134">
        <f>+Actuals!AN461</f>
        <v>0</v>
      </c>
      <c r="AR40" s="133">
        <f>+Actuals!AO461</f>
        <v>0</v>
      </c>
      <c r="AS40" s="134">
        <f>+Actuals!AP461</f>
        <v>0</v>
      </c>
      <c r="AT40" s="133">
        <v>-1075574</v>
      </c>
      <c r="AU40" s="134">
        <v>-2219339.39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20947</v>
      </c>
      <c r="F41" s="81">
        <f>'TIE-OUT'!R41+RECLASS!R41</f>
        <v>0</v>
      </c>
      <c r="G41" s="82">
        <f>'TIE-OUT'!S41+RECLASS!S41</f>
        <v>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34">
        <f>+Actuals!T262</f>
        <v>0</v>
      </c>
      <c r="X41" s="133">
        <f>+Actuals!U262</f>
        <v>0</v>
      </c>
      <c r="Y41" s="165">
        <f>+Actuals!V262+692867</f>
        <v>692867</v>
      </c>
      <c r="Z41" s="133">
        <f>+Actuals!W262</f>
        <v>0</v>
      </c>
      <c r="AA41" s="134">
        <f>+Actuals!X262</f>
        <v>0</v>
      </c>
      <c r="AB41" s="133">
        <f>+Actuals!Y262</f>
        <v>0</v>
      </c>
      <c r="AC41" s="134">
        <f>+Actuals!Z262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34">
        <f>+Actuals!AD462</f>
        <v>0</v>
      </c>
      <c r="AH41" s="133">
        <f>+Actuals!AE462</f>
        <v>0</v>
      </c>
      <c r="AI41" s="172">
        <f>+Actuals!AF462+20947-692867</f>
        <v>-671920</v>
      </c>
      <c r="AJ41" s="133">
        <f>+Actuals!AG462</f>
        <v>0</v>
      </c>
      <c r="AK41" s="172">
        <f>+Actuals!AH462</f>
        <v>0</v>
      </c>
      <c r="AL41" s="133">
        <f>+Actuals!AI462</f>
        <v>0</v>
      </c>
      <c r="AM41" s="172">
        <f>+Actuals!AJ462</f>
        <v>0</v>
      </c>
      <c r="AN41" s="133">
        <f>+Actuals!AK462</f>
        <v>0</v>
      </c>
      <c r="AO41" s="172">
        <f>+Actuals!AL462</f>
        <v>0</v>
      </c>
      <c r="AP41" s="133">
        <f>+Actuals!AM462</f>
        <v>0</v>
      </c>
      <c r="AQ41" s="172">
        <f>+Actuals!AN462</f>
        <v>0</v>
      </c>
      <c r="AR41" s="133">
        <f>+Actuals!AO462</f>
        <v>0</v>
      </c>
      <c r="AS41" s="172">
        <f>+Actuals!AP462</f>
        <v>0</v>
      </c>
      <c r="AT41" s="133">
        <f>+Actuals!AQ462</f>
        <v>0</v>
      </c>
      <c r="AU41" s="172">
        <f>+Actuals!AR462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-1503842</v>
      </c>
      <c r="E42" s="39">
        <f t="shared" si="16"/>
        <v>-3107591.62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-438916</v>
      </c>
      <c r="O42" s="39">
        <f t="shared" si="16"/>
        <v>-752740.94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-28529.54</v>
      </c>
      <c r="V42" s="61">
        <f t="shared" si="16"/>
        <v>-25739</v>
      </c>
      <c r="W42" s="39">
        <f t="shared" si="16"/>
        <v>-45815.42</v>
      </c>
      <c r="X42" s="61">
        <f t="shared" si="16"/>
        <v>2</v>
      </c>
      <c r="Y42" s="39">
        <f t="shared" si="16"/>
        <v>692870.56</v>
      </c>
      <c r="Z42" s="61">
        <f t="shared" si="16"/>
        <v>4515</v>
      </c>
      <c r="AA42" s="39">
        <f t="shared" si="16"/>
        <v>8036.7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21222</v>
      </c>
      <c r="AI42" s="39">
        <f t="shared" si="17"/>
        <v>-634144.84</v>
      </c>
      <c r="AJ42" s="61">
        <f t="shared" si="17"/>
        <v>438916</v>
      </c>
      <c r="AK42" s="39">
        <f t="shared" si="17"/>
        <v>781270.48</v>
      </c>
      <c r="AL42" s="61">
        <f t="shared" ref="AL42:AQ42" si="18">SUM(AL40:AL41)</f>
        <v>-428268</v>
      </c>
      <c r="AM42" s="39">
        <f t="shared" si="18"/>
        <v>-909199.23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-1075574</v>
      </c>
      <c r="AU42" s="39">
        <f>SUM(AU40:AU41)</f>
        <v>-2219339.39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1070072</v>
      </c>
      <c r="E43" s="39">
        <f t="shared" si="19"/>
        <v>1522421.2499999991</v>
      </c>
      <c r="F43" s="61">
        <f t="shared" si="19"/>
        <v>0</v>
      </c>
      <c r="G43" s="39">
        <f t="shared" si="19"/>
        <v>0</v>
      </c>
      <c r="H43" s="61">
        <f t="shared" si="19"/>
        <v>3288769</v>
      </c>
      <c r="I43" s="39">
        <f t="shared" si="19"/>
        <v>6011464.0199999996</v>
      </c>
      <c r="J43" s="61">
        <f t="shared" si="19"/>
        <v>15541320</v>
      </c>
      <c r="K43" s="154">
        <f t="shared" si="19"/>
        <v>28475738.98</v>
      </c>
      <c r="L43" s="61">
        <f t="shared" si="19"/>
        <v>-274810</v>
      </c>
      <c r="M43" s="39">
        <f t="shared" si="19"/>
        <v>-503514.08</v>
      </c>
      <c r="N43" s="61">
        <f t="shared" si="19"/>
        <v>-17092305</v>
      </c>
      <c r="O43" s="39">
        <f t="shared" si="19"/>
        <v>-31266108.790000003</v>
      </c>
      <c r="P43" s="61">
        <f t="shared" si="19"/>
        <v>-9196</v>
      </c>
      <c r="Q43" s="39">
        <f t="shared" si="19"/>
        <v>-16849.46</v>
      </c>
      <c r="R43" s="61">
        <f t="shared" si="19"/>
        <v>56863</v>
      </c>
      <c r="S43" s="39">
        <f t="shared" si="19"/>
        <v>116641.3</v>
      </c>
      <c r="T43" s="61">
        <f t="shared" si="19"/>
        <v>-69962</v>
      </c>
      <c r="U43" s="39">
        <f t="shared" si="19"/>
        <v>-457870.74</v>
      </c>
      <c r="V43" s="61">
        <f t="shared" si="19"/>
        <v>-21149</v>
      </c>
      <c r="W43" s="39">
        <f t="shared" si="19"/>
        <v>-37997.29</v>
      </c>
      <c r="X43" s="61">
        <f t="shared" si="19"/>
        <v>4872</v>
      </c>
      <c r="Y43" s="39">
        <f t="shared" si="19"/>
        <v>700693.60000000009</v>
      </c>
      <c r="Z43" s="61">
        <f t="shared" si="19"/>
        <v>4515</v>
      </c>
      <c r="AA43" s="39">
        <f t="shared" si="19"/>
        <v>8036.7</v>
      </c>
      <c r="AB43" s="61">
        <f t="shared" si="19"/>
        <v>-352845</v>
      </c>
      <c r="AC43" s="39">
        <f t="shared" si="19"/>
        <v>-694923.87</v>
      </c>
      <c r="AD43" s="61">
        <f t="shared" si="19"/>
        <v>580559</v>
      </c>
      <c r="AE43" s="39">
        <f t="shared" si="19"/>
        <v>919721.57</v>
      </c>
      <c r="AF43" s="61">
        <f t="shared" ref="AF43:AK43" si="20">AF42+AF39</f>
        <v>159899</v>
      </c>
      <c r="AG43" s="39">
        <f t="shared" si="20"/>
        <v>253312.85</v>
      </c>
      <c r="AH43" s="61">
        <f t="shared" si="20"/>
        <v>-362567</v>
      </c>
      <c r="AI43" s="39">
        <f t="shared" si="20"/>
        <v>-1237812.3700000001</v>
      </c>
      <c r="AJ43" s="61">
        <f t="shared" si="20"/>
        <v>45019</v>
      </c>
      <c r="AK43" s="39">
        <f t="shared" si="20"/>
        <v>162090.22999999998</v>
      </c>
      <c r="AL43" s="61">
        <f t="shared" ref="AL43:AQ43" si="21">AL42+AL39</f>
        <v>-428268</v>
      </c>
      <c r="AM43" s="39">
        <f t="shared" si="21"/>
        <v>-909199.23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-642</v>
      </c>
      <c r="AS43" s="39">
        <f>AS42+AS39</f>
        <v>-3985.11</v>
      </c>
      <c r="AT43" s="61">
        <f>AT42+AT39</f>
        <v>0</v>
      </c>
      <c r="AU43" s="39">
        <f>AU42+AU39</f>
        <v>2982.9399999999441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+Actuals!Y263</f>
        <v>0</v>
      </c>
      <c r="AC45" s="134">
        <f>+Actuals!Z263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  <c r="AL45" s="133">
        <f>+Actuals!AI463</f>
        <v>0</v>
      </c>
      <c r="AM45" s="134">
        <f>+Actuals!AJ463</f>
        <v>0</v>
      </c>
      <c r="AN45" s="133">
        <f>+Actuals!AK463</f>
        <v>0</v>
      </c>
      <c r="AO45" s="134">
        <f>+Actuals!AL463</f>
        <v>0</v>
      </c>
      <c r="AP45" s="133">
        <f>+Actuals!AM463</f>
        <v>0</v>
      </c>
      <c r="AQ45" s="134">
        <f>+Actuals!AN463</f>
        <v>0</v>
      </c>
      <c r="AR45" s="133">
        <f>+Actuals!AO463</f>
        <v>0</v>
      </c>
      <c r="AS45" s="134">
        <f>+Actuals!AP463</f>
        <v>0</v>
      </c>
      <c r="AT45" s="133">
        <f>+Actuals!AQ463</f>
        <v>0</v>
      </c>
      <c r="AU45" s="134">
        <f>+Actuals!AR463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+Actuals!Y264</f>
        <v>0</v>
      </c>
      <c r="AC47" s="134">
        <f>+Actuals!Z264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  <c r="AL47" s="133">
        <f>+Actuals!AI464</f>
        <v>0</v>
      </c>
      <c r="AM47" s="134">
        <f>+Actuals!AJ464</f>
        <v>0</v>
      </c>
      <c r="AN47" s="133">
        <f>+Actuals!AK464</f>
        <v>0</v>
      </c>
      <c r="AO47" s="134">
        <f>+Actuals!AL464</f>
        <v>0</v>
      </c>
      <c r="AP47" s="133">
        <f>+Actuals!AM464</f>
        <v>0</v>
      </c>
      <c r="AQ47" s="134">
        <f>+Actuals!AN464</f>
        <v>0</v>
      </c>
      <c r="AR47" s="133">
        <f>+Actuals!AO464</f>
        <v>0</v>
      </c>
      <c r="AS47" s="134">
        <f>+Actuals!AP464</f>
        <v>0</v>
      </c>
      <c r="AT47" s="133">
        <f>+Actuals!AQ464</f>
        <v>0</v>
      </c>
      <c r="AU47" s="134">
        <f>+Actuals!AR464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130320</v>
      </c>
      <c r="E49" s="38">
        <f t="shared" si="22"/>
        <v>219959.91500000001</v>
      </c>
      <c r="F49" s="60">
        <f>'TIE-OUT'!R49+RECLASS!R49</f>
        <v>0</v>
      </c>
      <c r="G49" s="38">
        <f>'TIE-OUT'!S49+RECLASS!S49</f>
        <v>0</v>
      </c>
      <c r="H49" s="133">
        <f>+Actuals!E265</f>
        <v>144928</v>
      </c>
      <c r="I49" s="134">
        <f>+Actuals!F265</f>
        <v>248551.52</v>
      </c>
      <c r="J49" s="133">
        <f>+Actuals!G265</f>
        <v>-5177</v>
      </c>
      <c r="K49" s="153">
        <f>+Actuals!H265</f>
        <v>-46553.195</v>
      </c>
      <c r="L49" s="133">
        <f>+Actuals!I265</f>
        <v>76892</v>
      </c>
      <c r="M49" s="134">
        <f>+Actuals!J265</f>
        <v>-49152.86</v>
      </c>
      <c r="N49" s="133">
        <f>+Actuals!K265</f>
        <v>-103641</v>
      </c>
      <c r="O49" s="134">
        <f>+Actuals!L265</f>
        <v>40555.684999999998</v>
      </c>
      <c r="P49" s="133">
        <f>+Actuals!M265</f>
        <v>-76112</v>
      </c>
      <c r="Q49" s="134">
        <f>+Actuals!N265</f>
        <v>-130532.08</v>
      </c>
      <c r="R49" s="133">
        <f>+Actuals!O265</f>
        <v>41129</v>
      </c>
      <c r="S49" s="134">
        <f>+Actuals!P265</f>
        <v>70536.235000000001</v>
      </c>
      <c r="T49" s="133">
        <f>+Actuals!Q265</f>
        <v>-92920</v>
      </c>
      <c r="U49" s="134">
        <f>+Actuals!R265</f>
        <v>-159357.79999999999</v>
      </c>
      <c r="V49" s="133">
        <f>+Actuals!S265</f>
        <v>-62828</v>
      </c>
      <c r="W49" s="134">
        <f>+Actuals!T265</f>
        <v>-107750.02</v>
      </c>
      <c r="X49" s="133">
        <f>+Actuals!U265</f>
        <v>-85133</v>
      </c>
      <c r="Y49" s="134">
        <f>+Actuals!V265</f>
        <v>-146003.095</v>
      </c>
      <c r="Z49" s="133">
        <f>+Actuals!W265</f>
        <v>-91368</v>
      </c>
      <c r="AA49" s="134">
        <f>+Actuals!X265</f>
        <v>-156696.12</v>
      </c>
      <c r="AB49" s="133">
        <f>+Actuals!Y265</f>
        <v>60658</v>
      </c>
      <c r="AC49" s="134">
        <f>+Actuals!Z265</f>
        <v>104028.47</v>
      </c>
      <c r="AD49" s="133">
        <f>+Actuals!AA465</f>
        <v>-62440</v>
      </c>
      <c r="AE49" s="134">
        <f>+Actuals!AB465</f>
        <v>-107084.6</v>
      </c>
      <c r="AF49" s="133">
        <f>+Actuals!AC465</f>
        <v>103455</v>
      </c>
      <c r="AG49" s="134">
        <f>+Actuals!AD465</f>
        <v>177425.32500000001</v>
      </c>
      <c r="AH49" s="133">
        <f>+Actuals!AE465</f>
        <v>74227</v>
      </c>
      <c r="AI49" s="134">
        <f>+Actuals!AF465</f>
        <v>127299.30499999999</v>
      </c>
      <c r="AJ49" s="133">
        <f>+Actuals!AG465</f>
        <v>0</v>
      </c>
      <c r="AK49" s="134">
        <f>+Actuals!AH465</f>
        <v>0</v>
      </c>
      <c r="AL49" s="133">
        <f>+Actuals!AI465</f>
        <v>-10675</v>
      </c>
      <c r="AM49" s="134">
        <f>+Actuals!AJ465</f>
        <v>-18307.625</v>
      </c>
      <c r="AN49" s="133">
        <f>+Actuals!AK465</f>
        <v>149084</v>
      </c>
      <c r="AO49" s="134">
        <f>+Actuals!AL465</f>
        <v>255679.06</v>
      </c>
      <c r="AP49" s="133">
        <f>-1159-18711</f>
        <v>-19870</v>
      </c>
      <c r="AQ49" s="134">
        <f>-1987.69-31266.08</f>
        <v>-33253.770000000004</v>
      </c>
      <c r="AR49" s="133">
        <v>-33651</v>
      </c>
      <c r="AS49" s="134">
        <v>-56230.82</v>
      </c>
      <c r="AT49" s="133">
        <v>123762</v>
      </c>
      <c r="AU49" s="134">
        <v>206806.3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-4992</v>
      </c>
      <c r="E51" s="38">
        <f t="shared" si="22"/>
        <v>-9038.4700000000012</v>
      </c>
      <c r="F51" s="60">
        <f>'TIE-OUT'!R51+RECLASS!R51</f>
        <v>0</v>
      </c>
      <c r="G51" s="38">
        <f>'TIE-OUT'!S51+RECLASS!S51</f>
        <v>0</v>
      </c>
      <c r="H51" s="133">
        <f>+Actuals!E266</f>
        <v>0</v>
      </c>
      <c r="I51" s="134">
        <f>+Actuals!F266</f>
        <v>0</v>
      </c>
      <c r="J51" s="133">
        <f>+Actuals!G266</f>
        <v>-3148</v>
      </c>
      <c r="K51" s="153">
        <f>+Actuals!H266</f>
        <v>-5876</v>
      </c>
      <c r="L51" s="133">
        <f>+Actuals!I266</f>
        <v>-1807</v>
      </c>
      <c r="M51" s="134">
        <f>+Actuals!J266</f>
        <v>-3099.01</v>
      </c>
      <c r="N51" s="133">
        <f>+Actuals!K266</f>
        <v>-2</v>
      </c>
      <c r="O51" s="134">
        <f>+Actuals!L266</f>
        <v>-3.43</v>
      </c>
      <c r="P51" s="133">
        <f>+Actuals!M266</f>
        <v>-35</v>
      </c>
      <c r="Q51" s="134">
        <f>+Actuals!N266</f>
        <v>-60.03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+Actuals!Y266</f>
        <v>0</v>
      </c>
      <c r="AC51" s="134">
        <f>+Actuals!Z266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  <c r="AL51" s="133">
        <f>+Actuals!AI466</f>
        <v>0</v>
      </c>
      <c r="AM51" s="134">
        <f>+Actuals!AJ466</f>
        <v>0</v>
      </c>
      <c r="AN51" s="133">
        <f>+Actuals!AK466</f>
        <v>0</v>
      </c>
      <c r="AO51" s="134">
        <f>+Actuals!AL466</f>
        <v>0</v>
      </c>
      <c r="AP51" s="133">
        <f>+Actuals!AM466</f>
        <v>0</v>
      </c>
      <c r="AQ51" s="134">
        <f>+Actuals!AN466</f>
        <v>0</v>
      </c>
      <c r="AR51" s="133">
        <f>+Actuals!AO466</f>
        <v>0</v>
      </c>
      <c r="AS51" s="134">
        <f>+Actuals!AP466</f>
        <v>0</v>
      </c>
      <c r="AT51" s="133"/>
      <c r="AU51" s="134"/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21903072</v>
      </c>
      <c r="E54" s="38">
        <f>SUM(G54,I54,K54,M54,O54,Q54,S54,U54,W54,Y54,AA54,AC54,AE54,AG54,AI54,AK54,AM54,AO54,AQ54,AS54,AU54)</f>
        <v>25653.860000000062</v>
      </c>
      <c r="F54" s="64">
        <f>'TIE-OUT'!R54+RECLASS!R54</f>
        <v>0</v>
      </c>
      <c r="G54" s="68">
        <f>'TIE-OUT'!S54+RECLASS!S54</f>
        <v>0</v>
      </c>
      <c r="H54" s="133">
        <f>+Actuals!E267</f>
        <v>-3179698</v>
      </c>
      <c r="I54" s="134">
        <f>+Actuals!F267</f>
        <v>848376.54</v>
      </c>
      <c r="J54" s="133">
        <f>+Actuals!G267</f>
        <v>51445002</v>
      </c>
      <c r="K54" s="153">
        <f>+Actuals!H267</f>
        <v>603289.94999999995</v>
      </c>
      <c r="L54" s="133">
        <f>+Actuals!I267</f>
        <v>-25972291</v>
      </c>
      <c r="M54" s="134">
        <f>+Actuals!J267</f>
        <v>-1309355.42</v>
      </c>
      <c r="N54" s="133">
        <f>+Actuals!K267</f>
        <v>-180934</v>
      </c>
      <c r="O54" s="134">
        <f>+Actuals!L267</f>
        <v>-108995.19</v>
      </c>
      <c r="P54" s="133">
        <f>+Actuals!M267</f>
        <v>54047</v>
      </c>
      <c r="Q54" s="134">
        <f>+Actuals!N267</f>
        <v>573.23</v>
      </c>
      <c r="R54" s="133">
        <f>+Actuals!O267</f>
        <v>0</v>
      </c>
      <c r="S54" s="134">
        <f>+Actuals!P267</f>
        <v>770</v>
      </c>
      <c r="T54" s="133">
        <f>+Actuals!Q267</f>
        <v>0</v>
      </c>
      <c r="U54" s="134">
        <f>+Actuals!R267</f>
        <v>-9693</v>
      </c>
      <c r="V54" s="133">
        <f>+Actuals!S267</f>
        <v>-24529</v>
      </c>
      <c r="W54" s="134">
        <f>+Actuals!T267</f>
        <v>247.05</v>
      </c>
      <c r="X54" s="133">
        <f>+Actuals!U267</f>
        <v>-673</v>
      </c>
      <c r="Y54" s="134">
        <f>+Actuals!V267</f>
        <v>28.57</v>
      </c>
      <c r="Z54" s="133">
        <f>+Actuals!W267</f>
        <v>4515</v>
      </c>
      <c r="AA54" s="134">
        <f>+Actuals!X267</f>
        <v>-45.15</v>
      </c>
      <c r="AB54" s="133">
        <f>+Actuals!Y267</f>
        <v>369477</v>
      </c>
      <c r="AC54" s="134">
        <f>+Actuals!Z267</f>
        <v>997.05</v>
      </c>
      <c r="AD54" s="133">
        <f>+Actuals!AA467</f>
        <v>-617641</v>
      </c>
      <c r="AE54" s="134">
        <f>+Actuals!AB467</f>
        <v>-2113.83</v>
      </c>
      <c r="AF54" s="133">
        <f>+Actuals!AC467</f>
        <v>-195778</v>
      </c>
      <c r="AG54" s="134">
        <f>+Actuals!AD467</f>
        <v>-348.36</v>
      </c>
      <c r="AH54" s="133">
        <f>+Actuals!AE467</f>
        <v>289292</v>
      </c>
      <c r="AI54" s="134">
        <f>+Actuals!AF467</f>
        <v>2260.12</v>
      </c>
      <c r="AJ54" s="133">
        <f>+Actuals!AG467</f>
        <v>-45019</v>
      </c>
      <c r="AK54" s="134">
        <f>+Actuals!AH467</f>
        <v>-750.57</v>
      </c>
      <c r="AL54" s="133">
        <f>+Actuals!AI467</f>
        <v>4017</v>
      </c>
      <c r="AM54" s="134">
        <f>+Actuals!AJ467</f>
        <v>346.54</v>
      </c>
      <c r="AN54" s="133">
        <f>+Actuals!AK467</f>
        <v>0</v>
      </c>
      <c r="AO54" s="134">
        <f>+Actuals!AL467</f>
        <v>0</v>
      </c>
      <c r="AP54" s="133">
        <f>+Actuals!AM467</f>
        <v>0</v>
      </c>
      <c r="AQ54" s="134">
        <v>764.72</v>
      </c>
      <c r="AR54" s="133">
        <v>-46764</v>
      </c>
      <c r="AS54" s="134">
        <v>-696.05</v>
      </c>
      <c r="AT54" s="133">
        <v>49</v>
      </c>
      <c r="AU54" s="134">
        <v>-2.34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-1393</v>
      </c>
      <c r="E55" s="38">
        <f>SUM(G55,I55,K55,M55,O55,Q55,S55,U55,W55,Y55,AA55,AC55,AE55,AG55,AI55,AK55,AM55,AO55,AQ55,AS55,AU55)</f>
        <v>2915.8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</f>
        <v>0</v>
      </c>
      <c r="S55" s="134">
        <f>+Actuals!P268</f>
        <v>0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+Actuals!Y268</f>
        <v>0</v>
      </c>
      <c r="AC55" s="134">
        <f>+Actuals!Z268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  <c r="AL55" s="133">
        <f>+Actuals!AI468</f>
        <v>0</v>
      </c>
      <c r="AM55" s="134">
        <f>+Actuals!AJ468</f>
        <v>0</v>
      </c>
      <c r="AN55" s="133">
        <f>+Actuals!AK468</f>
        <v>0</v>
      </c>
      <c r="AO55" s="134">
        <f>+Actuals!AL468</f>
        <v>0</v>
      </c>
      <c r="AP55" s="133">
        <f>+Actuals!AM468</f>
        <v>0</v>
      </c>
      <c r="AQ55" s="134">
        <v>2998.89</v>
      </c>
      <c r="AR55" s="133">
        <v>-1393</v>
      </c>
      <c r="AS55" s="134">
        <v>-81.62</v>
      </c>
      <c r="AT55" s="133"/>
      <c r="AU55" s="134">
        <v>-1.47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21901679</v>
      </c>
      <c r="E56" s="39">
        <f t="shared" si="23"/>
        <v>28569.660000000062</v>
      </c>
      <c r="F56" s="61">
        <f t="shared" si="23"/>
        <v>0</v>
      </c>
      <c r="G56" s="39">
        <f t="shared" si="23"/>
        <v>0</v>
      </c>
      <c r="H56" s="61">
        <f t="shared" si="23"/>
        <v>-3179698</v>
      </c>
      <c r="I56" s="39">
        <f t="shared" si="23"/>
        <v>848376.54</v>
      </c>
      <c r="J56" s="61">
        <f t="shared" si="23"/>
        <v>51445002</v>
      </c>
      <c r="K56" s="154">
        <f t="shared" si="23"/>
        <v>603289.94999999995</v>
      </c>
      <c r="L56" s="61">
        <f t="shared" si="23"/>
        <v>-25972291</v>
      </c>
      <c r="M56" s="39">
        <f t="shared" si="23"/>
        <v>-1309355.42</v>
      </c>
      <c r="N56" s="61">
        <f t="shared" si="23"/>
        <v>-180934</v>
      </c>
      <c r="O56" s="39">
        <f t="shared" si="23"/>
        <v>-108995.19</v>
      </c>
      <c r="P56" s="61">
        <f t="shared" si="23"/>
        <v>54047</v>
      </c>
      <c r="Q56" s="39">
        <f t="shared" si="23"/>
        <v>573.23</v>
      </c>
      <c r="R56" s="61">
        <f t="shared" si="23"/>
        <v>0</v>
      </c>
      <c r="S56" s="39">
        <f t="shared" si="23"/>
        <v>770</v>
      </c>
      <c r="T56" s="61">
        <f t="shared" si="23"/>
        <v>0</v>
      </c>
      <c r="U56" s="39">
        <f t="shared" si="23"/>
        <v>-9693</v>
      </c>
      <c r="V56" s="61">
        <f t="shared" si="23"/>
        <v>-24529</v>
      </c>
      <c r="W56" s="39">
        <f t="shared" si="23"/>
        <v>247.05</v>
      </c>
      <c r="X56" s="61">
        <f t="shared" si="23"/>
        <v>-673</v>
      </c>
      <c r="Y56" s="39">
        <f t="shared" si="23"/>
        <v>28.57</v>
      </c>
      <c r="Z56" s="61">
        <f t="shared" si="23"/>
        <v>4515</v>
      </c>
      <c r="AA56" s="39">
        <f t="shared" si="23"/>
        <v>-45.15</v>
      </c>
      <c r="AB56" s="61">
        <f t="shared" si="23"/>
        <v>369477</v>
      </c>
      <c r="AC56" s="39">
        <f t="shared" si="23"/>
        <v>997.05</v>
      </c>
      <c r="AD56" s="61">
        <f t="shared" si="23"/>
        <v>-617641</v>
      </c>
      <c r="AE56" s="39">
        <f t="shared" si="23"/>
        <v>-2113.83</v>
      </c>
      <c r="AF56" s="61">
        <f t="shared" ref="AF56:AK56" si="24">SUM(AF54:AF55)</f>
        <v>-195778</v>
      </c>
      <c r="AG56" s="39">
        <f t="shared" si="24"/>
        <v>-348.36</v>
      </c>
      <c r="AH56" s="61">
        <f t="shared" si="24"/>
        <v>289292</v>
      </c>
      <c r="AI56" s="39">
        <f t="shared" si="24"/>
        <v>2260.12</v>
      </c>
      <c r="AJ56" s="61">
        <f t="shared" si="24"/>
        <v>-45019</v>
      </c>
      <c r="AK56" s="39">
        <f t="shared" si="24"/>
        <v>-750.57</v>
      </c>
      <c r="AL56" s="61">
        <f t="shared" ref="AL56:AQ56" si="25">SUM(AL54:AL55)</f>
        <v>4017</v>
      </c>
      <c r="AM56" s="39">
        <f t="shared" si="25"/>
        <v>346.54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3763.6099999999997</v>
      </c>
      <c r="AR56" s="61">
        <f>SUM(AR54:AR55)</f>
        <v>-48157</v>
      </c>
      <c r="AS56" s="39">
        <f>SUM(AS54:AS55)</f>
        <v>-777.67</v>
      </c>
      <c r="AT56" s="61">
        <f>SUM(AT54:AT55)</f>
        <v>49</v>
      </c>
      <c r="AU56" s="39">
        <f>SUM(AU54:AU55)</f>
        <v>-3.8099999999999996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0</v>
      </c>
      <c r="T59" s="133">
        <f>+Actuals!Q269</f>
        <v>0</v>
      </c>
      <c r="U59" s="134">
        <f>+Actuals!R269</f>
        <v>200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0</v>
      </c>
      <c r="AB59" s="133">
        <f>+Actuals!Y269</f>
        <v>0</v>
      </c>
      <c r="AC59" s="134">
        <f>+Actuals!Z269</f>
        <v>0</v>
      </c>
      <c r="AD59" s="133">
        <f>+Actuals!AA469</f>
        <v>0</v>
      </c>
      <c r="AE59" s="134">
        <f>+Actuals!AB469</f>
        <v>-200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  <c r="AL59" s="133">
        <f>+Actuals!AI469</f>
        <v>0</v>
      </c>
      <c r="AM59" s="134">
        <f>+Actuals!AJ469</f>
        <v>0</v>
      </c>
      <c r="AN59" s="133">
        <f>+Actuals!AK469</f>
        <v>0</v>
      </c>
      <c r="AO59" s="134">
        <f>+Actuals!AL469</f>
        <v>0</v>
      </c>
      <c r="AP59" s="133">
        <f>+Actuals!AM469</f>
        <v>0</v>
      </c>
      <c r="AQ59" s="134">
        <f>+Actuals!AN469</f>
        <v>0</v>
      </c>
      <c r="AR59" s="133">
        <f>+Actuals!AO469</f>
        <v>0</v>
      </c>
      <c r="AS59" s="134">
        <f>+Actuals!AP469</f>
        <v>0</v>
      </c>
      <c r="AT59" s="133">
        <f>+Actuals!AQ469</f>
        <v>0</v>
      </c>
      <c r="AU59" s="134">
        <f>+Actuals!AR469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+Actuals!Y270</f>
        <v>0</v>
      </c>
      <c r="AC60" s="134">
        <f>+Actuals!Z270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  <c r="AL60" s="133">
        <f>+Actuals!AI470</f>
        <v>0</v>
      </c>
      <c r="AM60" s="134">
        <f>+Actuals!AJ470</f>
        <v>0</v>
      </c>
      <c r="AN60" s="133">
        <f>+Actuals!AK470</f>
        <v>0</v>
      </c>
      <c r="AO60" s="134">
        <f>+Actuals!AL470</f>
        <v>0</v>
      </c>
      <c r="AP60" s="133">
        <f>+Actuals!AM470</f>
        <v>0</v>
      </c>
      <c r="AQ60" s="134">
        <f>+Actuals!AN470</f>
        <v>0</v>
      </c>
      <c r="AR60" s="133">
        <f>+Actuals!AO470</f>
        <v>0</v>
      </c>
      <c r="AS60" s="134">
        <f>+Actuals!AP470</f>
        <v>0</v>
      </c>
      <c r="AT60" s="133">
        <f>+Actuals!AQ470</f>
        <v>0</v>
      </c>
      <c r="AU60" s="134">
        <f>+Actuals!AR470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200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-200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-56076580</v>
      </c>
      <c r="E64" s="38">
        <f>SUM(G64,I64,K64,M64,O64,Q64,S64,U64,W64,Y64,AA64,AC64,AE64,AG64,AI64,AK64,AM64,AO64,AQ64,AS64,AU64)</f>
        <v>-636907.64999999991</v>
      </c>
      <c r="F64" s="64">
        <f>'TIE-OUT'!R64+RECLASS!R64</f>
        <v>0</v>
      </c>
      <c r="G64" s="68">
        <f>'TIE-OUT'!S64+RECLASS!S64</f>
        <v>93300</v>
      </c>
      <c r="H64" s="133">
        <f>+Actuals!E271</f>
        <v>-25993375</v>
      </c>
      <c r="I64" s="134">
        <f>+Actuals!F271</f>
        <v>-842621.87</v>
      </c>
      <c r="J64" s="133">
        <f>+Actuals!G271</f>
        <v>-41834941</v>
      </c>
      <c r="K64" s="153">
        <f>+Actuals!H271</f>
        <v>-584872.41</v>
      </c>
      <c r="L64" s="133">
        <f>+Actuals!I271</f>
        <v>11484140</v>
      </c>
      <c r="M64" s="134">
        <f>+Actuals!J271</f>
        <v>697160.06</v>
      </c>
      <c r="N64" s="133">
        <f>+Actuals!K271</f>
        <v>227621</v>
      </c>
      <c r="O64" s="134">
        <f>+Actuals!L271</f>
        <v>584.62</v>
      </c>
      <c r="P64" s="133">
        <f>+Actuals!M271</f>
        <v>21347</v>
      </c>
      <c r="Q64" s="134">
        <f>+Actuals!N271</f>
        <v>-24.71</v>
      </c>
      <c r="R64" s="133">
        <f>+Actuals!O271</f>
        <v>-58407</v>
      </c>
      <c r="S64" s="134">
        <f>+Actuals!P271</f>
        <v>375</v>
      </c>
      <c r="T64" s="133">
        <f>+Actuals!Q271</f>
        <v>86495</v>
      </c>
      <c r="U64" s="134">
        <f>+Actuals!R271</f>
        <v>-810</v>
      </c>
      <c r="V64" s="133">
        <f>+Actuals!S271</f>
        <v>-2781</v>
      </c>
      <c r="W64" s="134">
        <f>+Actuals!T271</f>
        <v>-7.0000000000000007E-2</v>
      </c>
      <c r="X64" s="133">
        <f>+Actuals!U271</f>
        <v>-6679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+Actuals!Y271</f>
        <v>0</v>
      </c>
      <c r="AC64" s="134">
        <f>+Actuals!Z271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0</v>
      </c>
      <c r="AL64" s="133">
        <f>+Actuals!AI471</f>
        <v>0</v>
      </c>
      <c r="AM64" s="134">
        <f>+Actuals!AJ471</f>
        <v>1.73</v>
      </c>
      <c r="AN64" s="133">
        <f>+Actuals!AK471</f>
        <v>0</v>
      </c>
      <c r="AO64" s="134">
        <f>+Actuals!AL471</f>
        <v>0</v>
      </c>
      <c r="AP64" s="133">
        <f>+Actuals!AM471</f>
        <v>0</v>
      </c>
      <c r="AQ64" s="134">
        <f>+Actuals!AN471</f>
        <v>0</v>
      </c>
      <c r="AR64" s="133">
        <f>+Actuals!AO471</f>
        <v>0</v>
      </c>
      <c r="AS64" s="134">
        <f>+Actuals!AP471</f>
        <v>0</v>
      </c>
      <c r="AT64" s="133">
        <f>+Actuals!AQ471</f>
        <v>0</v>
      </c>
      <c r="AU64" s="134">
        <f>+Actuals!AR471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498887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34">
        <f>+Actuals!J272</f>
        <v>0</v>
      </c>
      <c r="N65" s="133">
        <f>+Actuals!K272</f>
        <v>0</v>
      </c>
      <c r="O65" s="172">
        <f>+Actuals!L272-40000-31218+100000+330249-3092+143238</f>
        <v>499177</v>
      </c>
      <c r="P65" s="133">
        <f>+Actuals!M272</f>
        <v>0</v>
      </c>
      <c r="Q65" s="134">
        <f>+Actuals!N272+25</f>
        <v>25</v>
      </c>
      <c r="R65" s="133">
        <f>+Actuals!O272</f>
        <v>0</v>
      </c>
      <c r="S65" s="134">
        <f>+Actuals!P272</f>
        <v>0</v>
      </c>
      <c r="T65" s="133">
        <f>+Actuals!Q272</f>
        <v>0</v>
      </c>
      <c r="U65" s="134">
        <f>+Actuals!R272-375</f>
        <v>-375</v>
      </c>
      <c r="V65" s="133">
        <f>+Actuals!S272</f>
        <v>0</v>
      </c>
      <c r="W65" s="134">
        <f>+Actuals!T272+14</f>
        <v>14</v>
      </c>
      <c r="X65" s="133">
        <f>+Actuals!U272</f>
        <v>0</v>
      </c>
      <c r="Y65" s="134">
        <f>+Actuals!V272</f>
        <v>0</v>
      </c>
      <c r="Z65" s="133">
        <f>+Actuals!W272</f>
        <v>0</v>
      </c>
      <c r="AA65" s="134">
        <f>+Actuals!X272+46</f>
        <v>46</v>
      </c>
      <c r="AB65" s="133">
        <f>+Actuals!Y272</f>
        <v>0</v>
      </c>
      <c r="AC65" s="134">
        <f>+Actuals!Z272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  <c r="AL65" s="133">
        <f>+Actuals!AI472</f>
        <v>0</v>
      </c>
      <c r="AM65" s="134">
        <f>+Actuals!AJ472</f>
        <v>0</v>
      </c>
      <c r="AN65" s="133">
        <f>+Actuals!AK472</f>
        <v>0</v>
      </c>
      <c r="AO65" s="134">
        <f>+Actuals!AL472</f>
        <v>0</v>
      </c>
      <c r="AP65" s="133">
        <f>+Actuals!AM472</f>
        <v>0</v>
      </c>
      <c r="AQ65" s="134">
        <f>+Actuals!AN472</f>
        <v>0</v>
      </c>
      <c r="AR65" s="133">
        <f>+Actuals!AO472</f>
        <v>0</v>
      </c>
      <c r="AS65" s="134">
        <f>+Actuals!AP472</f>
        <v>0</v>
      </c>
      <c r="AT65" s="133">
        <f>+Actuals!AQ472</f>
        <v>0</v>
      </c>
      <c r="AU65" s="134">
        <f>+Actuals!AR472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-56076580</v>
      </c>
      <c r="E66" s="39">
        <f t="shared" si="29"/>
        <v>-138020.64999999991</v>
      </c>
      <c r="F66" s="61">
        <f t="shared" si="29"/>
        <v>0</v>
      </c>
      <c r="G66" s="39">
        <f t="shared" si="29"/>
        <v>93300</v>
      </c>
      <c r="H66" s="61">
        <f t="shared" si="29"/>
        <v>-25993375</v>
      </c>
      <c r="I66" s="39">
        <f t="shared" si="29"/>
        <v>-842621.87</v>
      </c>
      <c r="J66" s="61">
        <f t="shared" si="29"/>
        <v>-41834941</v>
      </c>
      <c r="K66" s="154">
        <f t="shared" si="29"/>
        <v>-584872.41</v>
      </c>
      <c r="L66" s="61">
        <f t="shared" si="29"/>
        <v>11484140</v>
      </c>
      <c r="M66" s="39">
        <f t="shared" si="29"/>
        <v>697160.06</v>
      </c>
      <c r="N66" s="61">
        <f t="shared" si="29"/>
        <v>227621</v>
      </c>
      <c r="O66" s="39">
        <f t="shared" si="29"/>
        <v>499761.62</v>
      </c>
      <c r="P66" s="61">
        <f t="shared" si="29"/>
        <v>21347</v>
      </c>
      <c r="Q66" s="39">
        <f t="shared" si="29"/>
        <v>0.28999999999999915</v>
      </c>
      <c r="R66" s="61">
        <f t="shared" si="29"/>
        <v>-58407</v>
      </c>
      <c r="S66" s="39">
        <f t="shared" si="29"/>
        <v>375</v>
      </c>
      <c r="T66" s="61">
        <f t="shared" si="29"/>
        <v>86495</v>
      </c>
      <c r="U66" s="39">
        <f t="shared" si="29"/>
        <v>-1185</v>
      </c>
      <c r="V66" s="61">
        <f t="shared" si="29"/>
        <v>-2781</v>
      </c>
      <c r="W66" s="39">
        <f t="shared" si="29"/>
        <v>13.93</v>
      </c>
      <c r="X66" s="61">
        <f t="shared" si="29"/>
        <v>-6679</v>
      </c>
      <c r="Y66" s="39">
        <f t="shared" si="29"/>
        <v>0</v>
      </c>
      <c r="Z66" s="61">
        <f t="shared" si="29"/>
        <v>0</v>
      </c>
      <c r="AA66" s="39">
        <f t="shared" si="29"/>
        <v>46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1.73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-140015.5</v>
      </c>
      <c r="F70" s="64">
        <f>'TIE-OUT'!R70+RECLASS!R70</f>
        <v>0</v>
      </c>
      <c r="G70" s="68">
        <f>'TIE-OUT'!S70+RECLASS!S70</f>
        <v>-140015.5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+Actuals!Y273</f>
        <v>0</v>
      </c>
      <c r="AC70" s="134">
        <f>+Actuals!Z273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  <c r="AL70" s="133">
        <f>+Actuals!AI473</f>
        <v>0</v>
      </c>
      <c r="AM70" s="134">
        <f>+Actuals!AJ473</f>
        <v>0</v>
      </c>
      <c r="AN70" s="133">
        <f>+Actuals!AK473</f>
        <v>0</v>
      </c>
      <c r="AO70" s="134">
        <f>+Actuals!AL473</f>
        <v>0</v>
      </c>
      <c r="AP70" s="133">
        <f>+Actuals!AM473</f>
        <v>0</v>
      </c>
      <c r="AQ70" s="134">
        <f>+Actuals!AN473</f>
        <v>0</v>
      </c>
      <c r="AR70" s="133">
        <f>+Actuals!AO473</f>
        <v>0</v>
      </c>
      <c r="AS70" s="134">
        <f>+Actuals!AP473</f>
        <v>0</v>
      </c>
      <c r="AT70" s="133">
        <f>+Actuals!AQ473</f>
        <v>0</v>
      </c>
      <c r="AU70" s="134">
        <f>+Actuals!AR473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+Actuals!Y274</f>
        <v>0</v>
      </c>
      <c r="AC71" s="134">
        <f>+Actuals!Z274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  <c r="AL71" s="133">
        <f>+Actuals!AI474</f>
        <v>0</v>
      </c>
      <c r="AM71" s="134">
        <f>+Actuals!AJ474</f>
        <v>0</v>
      </c>
      <c r="AN71" s="133">
        <f>+Actuals!AK474</f>
        <v>0</v>
      </c>
      <c r="AO71" s="134">
        <f>+Actuals!AL474</f>
        <v>0</v>
      </c>
      <c r="AP71" s="133">
        <f>+Actuals!AM474</f>
        <v>0</v>
      </c>
      <c r="AQ71" s="134">
        <f>+Actuals!AN474</f>
        <v>0</v>
      </c>
      <c r="AR71" s="133">
        <f>+Actuals!AO474</f>
        <v>0</v>
      </c>
      <c r="AS71" s="134">
        <f>+Actuals!AP474</f>
        <v>0</v>
      </c>
      <c r="AT71" s="133">
        <f>+Actuals!AQ474</f>
        <v>0</v>
      </c>
      <c r="AU71" s="134">
        <f>+Actuals!AR474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-140015.5</v>
      </c>
      <c r="F72" s="61">
        <f t="shared" si="32"/>
        <v>0</v>
      </c>
      <c r="G72" s="39">
        <f t="shared" si="32"/>
        <v>-140015.5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+Actuals!Y275</f>
        <v>0</v>
      </c>
      <c r="AC73" s="134">
        <f>+Actuals!Z275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  <c r="AL73" s="133">
        <f>+Actuals!AI475</f>
        <v>0</v>
      </c>
      <c r="AM73" s="134">
        <f>+Actuals!AJ475</f>
        <v>0</v>
      </c>
      <c r="AN73" s="133">
        <f>+Actuals!AK475</f>
        <v>0</v>
      </c>
      <c r="AO73" s="134">
        <f>+Actuals!AL475</f>
        <v>0</v>
      </c>
      <c r="AP73" s="133">
        <f>+Actuals!AM475</f>
        <v>0</v>
      </c>
      <c r="AQ73" s="134">
        <f>+Actuals!AN475</f>
        <v>0</v>
      </c>
      <c r="AR73" s="133">
        <f>+Actuals!AO475</f>
        <v>0</v>
      </c>
      <c r="AS73" s="134">
        <f>+Actuals!AP475</f>
        <v>0</v>
      </c>
      <c r="AT73" s="133">
        <f>+Actuals!AQ475</f>
        <v>0</v>
      </c>
      <c r="AU73" s="134">
        <f>+Actuals!AR475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-208274.45999999996</v>
      </c>
      <c r="F74" s="60">
        <f>'TIE-OUT'!R74+RECLASS!R74</f>
        <v>0</v>
      </c>
      <c r="G74" s="60">
        <f>'TIE-OUT'!S74+RECLASS!S74</f>
        <v>-2672238.46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+Actuals!H276+1916516</f>
        <v>1916516</v>
      </c>
      <c r="L74" s="133">
        <f>+Actuals!I276</f>
        <v>0</v>
      </c>
      <c r="M74" s="134">
        <f>+Actuals!J276</f>
        <v>0</v>
      </c>
      <c r="N74" s="133">
        <f>+Actuals!K276</f>
        <v>0</v>
      </c>
      <c r="O74" s="172">
        <f>+Actuals!L276+1784008+788960</f>
        <v>2572968</v>
      </c>
      <c r="P74" s="133">
        <f>+Actuals!M276</f>
        <v>0</v>
      </c>
      <c r="Q74" s="172">
        <f>+Actuals!N156-2025520</f>
        <v>-2025520</v>
      </c>
      <c r="R74" s="133">
        <f>+Actuals!O276</f>
        <v>0</v>
      </c>
      <c r="S74" s="134">
        <f>+Actuals!P276</f>
        <v>0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+Actuals!Y276</f>
        <v>0</v>
      </c>
      <c r="AC74" s="134">
        <f>+Actuals!Z276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  <c r="AL74" s="133">
        <f>+Actuals!AI476</f>
        <v>0</v>
      </c>
      <c r="AM74" s="134">
        <f>+Actuals!AJ476</f>
        <v>0</v>
      </c>
      <c r="AN74" s="133">
        <f>+Actuals!AK476</f>
        <v>0</v>
      </c>
      <c r="AO74" s="134">
        <f>+Actuals!AL476</f>
        <v>0</v>
      </c>
      <c r="AP74" s="133">
        <f>+Actuals!AM476</f>
        <v>0</v>
      </c>
      <c r="AQ74" s="134">
        <f>+Actuals!AN476</f>
        <v>0</v>
      </c>
      <c r="AR74" s="133">
        <f>+Actuals!AO476</f>
        <v>0</v>
      </c>
      <c r="AS74" s="134">
        <f>+Actuals!AP476</f>
        <v>0</v>
      </c>
      <c r="AT74" s="133">
        <f>+Actuals!AQ476</f>
        <v>0</v>
      </c>
      <c r="AU74" s="134">
        <f>+Actuals!AR476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52800</v>
      </c>
      <c r="F75" s="60">
        <f>'TIE-OUT'!R75+RECLASS!R75</f>
        <v>0</v>
      </c>
      <c r="G75" s="60">
        <f>'TIE-OUT'!S75+RECLASS!S75</f>
        <v>52800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+Actuals!Y277</f>
        <v>0</v>
      </c>
      <c r="AC75" s="134">
        <f>+Actuals!Z277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  <c r="AL75" s="133">
        <f>+Actuals!AI477</f>
        <v>0</v>
      </c>
      <c r="AM75" s="134">
        <f>+Actuals!AJ477</f>
        <v>0</v>
      </c>
      <c r="AN75" s="133">
        <f>+Actuals!AK477</f>
        <v>0</v>
      </c>
      <c r="AO75" s="134">
        <f>+Actuals!AL477</f>
        <v>0</v>
      </c>
      <c r="AP75" s="133">
        <f>+Actuals!AM477</f>
        <v>0</v>
      </c>
      <c r="AQ75" s="134">
        <f>+Actuals!AN477</f>
        <v>0</v>
      </c>
      <c r="AR75" s="133">
        <f>+Actuals!AO477</f>
        <v>0</v>
      </c>
      <c r="AS75" s="134">
        <f>+Actuals!AP477</f>
        <v>0</v>
      </c>
      <c r="AT75" s="133">
        <f>+Actuals!AQ477</f>
        <v>0</v>
      </c>
      <c r="AU75" s="134">
        <f>+Actuals!AR477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-60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0</v>
      </c>
      <c r="J76" s="133">
        <f>+Actuals!G278</f>
        <v>0</v>
      </c>
      <c r="K76" s="153">
        <f>+Actuals!H278</f>
        <v>-60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+Actuals!Y278</f>
        <v>0</v>
      </c>
      <c r="AC76" s="134">
        <f>+Actuals!Z278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  <c r="AL76" s="133">
        <f>+Actuals!AI478</f>
        <v>0</v>
      </c>
      <c r="AM76" s="134">
        <f>+Actuals!AJ478</f>
        <v>0</v>
      </c>
      <c r="AN76" s="133">
        <f>+Actuals!AK478</f>
        <v>0</v>
      </c>
      <c r="AO76" s="134">
        <f>+Actuals!AL478</f>
        <v>0</v>
      </c>
      <c r="AP76" s="133">
        <f>+Actuals!AM478</f>
        <v>0</v>
      </c>
      <c r="AQ76" s="134">
        <f>+Actuals!AN478</f>
        <v>0</v>
      </c>
      <c r="AR76" s="133">
        <f>+Actuals!AO478</f>
        <v>0</v>
      </c>
      <c r="AS76" s="134">
        <f>+Actuals!AP478</f>
        <v>0</v>
      </c>
      <c r="AT76" s="133">
        <f>+Actuals!AQ478</f>
        <v>0</v>
      </c>
      <c r="AU76" s="134">
        <f>+Actuals!AR478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+Actuals!Y279</f>
        <v>0</v>
      </c>
      <c r="AC77" s="134">
        <f>+Actuals!Z279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  <c r="AL77" s="133">
        <f>+Actuals!AI479</f>
        <v>0</v>
      </c>
      <c r="AM77" s="134">
        <f>+Actuals!AJ479</f>
        <v>0</v>
      </c>
      <c r="AN77" s="133">
        <f>+Actuals!AK479</f>
        <v>0</v>
      </c>
      <c r="AO77" s="134">
        <f>+Actuals!AL479</f>
        <v>0</v>
      </c>
      <c r="AP77" s="133">
        <f>+Actuals!AM479</f>
        <v>0</v>
      </c>
      <c r="AQ77" s="134">
        <f>+Actuals!AN479</f>
        <v>0</v>
      </c>
      <c r="AR77" s="133">
        <f>+Actuals!AO479</f>
        <v>0</v>
      </c>
      <c r="AS77" s="134">
        <f>+Actuals!AP479</f>
        <v>0</v>
      </c>
      <c r="AT77" s="133">
        <f>+Actuals!AQ479</f>
        <v>0</v>
      </c>
      <c r="AU77" s="134">
        <f>+Actuals!AR479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+Actuals!Y280</f>
        <v>0</v>
      </c>
      <c r="AC78" s="134">
        <f>+Actuals!Z280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  <c r="AL78" s="133">
        <f>+Actuals!AI480</f>
        <v>0</v>
      </c>
      <c r="AM78" s="134">
        <f>+Actuals!AJ480</f>
        <v>0</v>
      </c>
      <c r="AN78" s="133">
        <f>+Actuals!AK480</f>
        <v>0</v>
      </c>
      <c r="AO78" s="134">
        <f>+Actuals!AL480</f>
        <v>0</v>
      </c>
      <c r="AP78" s="133">
        <f>+Actuals!AM480</f>
        <v>0</v>
      </c>
      <c r="AQ78" s="134">
        <f>+Actuals!AN480</f>
        <v>0</v>
      </c>
      <c r="AR78" s="133">
        <f>+Actuals!AO480</f>
        <v>0</v>
      </c>
      <c r="AS78" s="134">
        <f>+Actuals!AP480</f>
        <v>0</v>
      </c>
      <c r="AT78" s="133">
        <f>+Actuals!AQ480</f>
        <v>0</v>
      </c>
      <c r="AU78" s="134">
        <f>+Actuals!AR480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+Actuals!Y281</f>
        <v>0</v>
      </c>
      <c r="AC79" s="134">
        <f>+Actuals!Z281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  <c r="AL79" s="133">
        <f>+Actuals!AI481</f>
        <v>0</v>
      </c>
      <c r="AM79" s="134">
        <f>+Actuals!AJ481</f>
        <v>0</v>
      </c>
      <c r="AN79" s="133">
        <f>+Actuals!AK481</f>
        <v>0</v>
      </c>
      <c r="AO79" s="134">
        <f>+Actuals!AL481</f>
        <v>0</v>
      </c>
      <c r="AP79" s="133">
        <f>+Actuals!AM481</f>
        <v>0</v>
      </c>
      <c r="AQ79" s="134">
        <f>+Actuals!AN481</f>
        <v>0</v>
      </c>
      <c r="AR79" s="133">
        <f>+Actuals!AO481</f>
        <v>0</v>
      </c>
      <c r="AS79" s="134">
        <f>+Actuals!AP481</f>
        <v>0</v>
      </c>
      <c r="AT79" s="133">
        <f>+Actuals!AQ481</f>
        <v>0</v>
      </c>
      <c r="AU79" s="134">
        <f>+Actuals!AR481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+Actuals!Y282</f>
        <v>0</v>
      </c>
      <c r="AC80" s="134">
        <f>+Actuals!Z282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  <c r="AL80" s="133">
        <f>+Actuals!AI482</f>
        <v>0</v>
      </c>
      <c r="AM80" s="134">
        <f>+Actuals!AJ482</f>
        <v>0</v>
      </c>
      <c r="AN80" s="133">
        <f>+Actuals!AK482</f>
        <v>0</v>
      </c>
      <c r="AO80" s="134">
        <f>+Actuals!AL482</f>
        <v>0</v>
      </c>
      <c r="AP80" s="133">
        <f>+Actuals!AM482</f>
        <v>0</v>
      </c>
      <c r="AQ80" s="134">
        <f>+Actuals!AN482</f>
        <v>0</v>
      </c>
      <c r="AR80" s="133">
        <f>+Actuals!AO482</f>
        <v>0</v>
      </c>
      <c r="AS80" s="134">
        <f>+Actuals!AP482</f>
        <v>0</v>
      </c>
      <c r="AT80" s="133">
        <f>+Actuals!AQ482</f>
        <v>0</v>
      </c>
      <c r="AU80" s="134">
        <f>+Actuals!AR482</f>
        <v>0</v>
      </c>
    </row>
    <row r="81" spans="1:79" x14ac:dyDescent="0.25">
      <c r="A81" s="9">
        <v>40</v>
      </c>
      <c r="B81" s="3"/>
      <c r="C81" s="10" t="s">
        <v>82</v>
      </c>
      <c r="D81" s="60">
        <f t="shared" si="35"/>
        <v>-25993375</v>
      </c>
      <c r="E81" s="38">
        <f t="shared" si="36"/>
        <v>-50600</v>
      </c>
      <c r="F81" s="60">
        <f>'TIE-OUT'!R81+RECLASS!R81</f>
        <v>0</v>
      </c>
      <c r="G81" s="60">
        <f>'TIE-OUT'!S81+RECLASS!S81</f>
        <v>0</v>
      </c>
      <c r="H81" s="133">
        <f>+Actuals!E283-25993375</f>
        <v>-25993375</v>
      </c>
      <c r="I81" s="134">
        <f>+Actuals!F283-50600</f>
        <v>-50600</v>
      </c>
      <c r="J81" s="133">
        <f>+Actuals!G283</f>
        <v>0</v>
      </c>
      <c r="K81" s="153">
        <f>+Actuals!H283-50000</f>
        <v>-50000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</f>
        <v>0</v>
      </c>
      <c r="R81" s="133">
        <f>+Actuals!O283</f>
        <v>0</v>
      </c>
      <c r="S81" s="134">
        <f>+Actuals!P283+50000</f>
        <v>50000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+Actuals!Y283</f>
        <v>0</v>
      </c>
      <c r="AC81" s="134">
        <f>+Actuals!Z283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  <c r="AL81" s="133">
        <f>+Actuals!AI483</f>
        <v>0</v>
      </c>
      <c r="AM81" s="134">
        <f>+Actuals!AJ483</f>
        <v>0</v>
      </c>
      <c r="AN81" s="133">
        <f>+Actuals!AK483</f>
        <v>0</v>
      </c>
      <c r="AO81" s="134">
        <f>+Actuals!AL483</f>
        <v>0</v>
      </c>
      <c r="AP81" s="133">
        <f>+Actuals!AM483</f>
        <v>0</v>
      </c>
      <c r="AQ81" s="134">
        <f>+Actuals!AN483</f>
        <v>0</v>
      </c>
      <c r="AR81" s="133">
        <f>+Actuals!AO483</f>
        <v>0</v>
      </c>
      <c r="AS81" s="134">
        <f>+Actuals!AP483</f>
        <v>0</v>
      </c>
      <c r="AT81" s="133">
        <f>+Actuals!AQ483</f>
        <v>0</v>
      </c>
      <c r="AU81" s="134">
        <f>+Actuals!AR483</f>
        <v>0</v>
      </c>
    </row>
    <row r="82" spans="1:7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65406.283999991923</v>
      </c>
      <c r="F82" s="92">
        <f>F16+F24+F29+F36+F43+F45+F47+F49</f>
        <v>0</v>
      </c>
      <c r="G82" s="93">
        <f>SUM(G72:G81)+G16+G24+G29+G36+G43+G45+G47+G49+G51+G56+G61+G66</f>
        <v>-10883330.880000001</v>
      </c>
      <c r="H82" s="92">
        <f>H16+H24+H29+H36+H43+H45+H47+H49</f>
        <v>0</v>
      </c>
      <c r="I82" s="93">
        <f>SUM(I72:I81)+I16+I24+I29+I36+I43+I45+I47+I49+I51+I56+I61+I66</f>
        <v>17242287.199999999</v>
      </c>
      <c r="J82" s="92">
        <f>J16+J24+J29+J36+J43+J45+J47+J49</f>
        <v>0</v>
      </c>
      <c r="K82" s="181">
        <f>SUM(K72:K81)+K16+K24+K29+K36+K43+K45+K47+K49+K51+K56+K61+K66</f>
        <v>-6308515.6749999924</v>
      </c>
      <c r="L82" s="92">
        <f>L16+L24+L29+L36+L43+L45+L47+L49</f>
        <v>0</v>
      </c>
      <c r="M82" s="181">
        <f>SUM(M72:M81)+M16+M24+M29+M36+M43+M45+M47+M49+M51+M56+M61+M66</f>
        <v>-115633.51000000804</v>
      </c>
      <c r="N82" s="92">
        <f>N16+N24+N29+N36+N43+N45+N47+N49</f>
        <v>0</v>
      </c>
      <c r="O82" s="93">
        <f>SUM(O72:O81)+O16+O24+O29+O36+O43+O45+O47+O49+O51+O56+O61+O66</f>
        <v>2537899.3450000002</v>
      </c>
      <c r="P82" s="92">
        <f>P16+P24+P29+P36+P43+P45+P47+P49</f>
        <v>0</v>
      </c>
      <c r="Q82" s="93">
        <f>SUM(Q72:Q81)+Q16+Q24+Q29+Q36+Q43+Q45+Q47+Q49+Q51+Q56+Q61+Q66</f>
        <v>-1945701.85</v>
      </c>
      <c r="R82" s="92">
        <f>R16+R24+R29+R36+R43+R45+R47+R49</f>
        <v>0</v>
      </c>
      <c r="S82" s="93">
        <f>SUM(S72:S81)+S16+S24+S29+S36+S43+S45+S47+S49+S51+S56+S61+S66</f>
        <v>33194.785000000003</v>
      </c>
      <c r="T82" s="92">
        <f>T16+T24+T29+T36+T43+T45+T47+T49</f>
        <v>0</v>
      </c>
      <c r="U82" s="93">
        <f>SUM(U72:U81)+U16+U24+U29+U36+U43+U45+U47+U49+U51+U56+U61+U66</f>
        <v>-399186.67599999957</v>
      </c>
      <c r="V82" s="92">
        <f>V16+V24+V29+V36+V43+V45+V47+V49</f>
        <v>0</v>
      </c>
      <c r="W82" s="93">
        <f>SUM(W72:W81)+W16+W24+W29+W36+W43+W45+W47+W49+W51+W56+W61+W66</f>
        <v>201870.22999999998</v>
      </c>
      <c r="X82" s="92">
        <f>X16+X24+X29+X36+X43+X45+X47+X49</f>
        <v>0</v>
      </c>
      <c r="Y82" s="93">
        <f>SUM(Y72:Y81)+Y16+Y24+Y29+Y36+Y43+Y45+Y47+Y49+Y51+Y56+Y61+Y66</f>
        <v>668910.92500000005</v>
      </c>
      <c r="Z82" s="92">
        <f>Z16+Z24+Z29+Z36+Z43+Z45+Z47+Z49</f>
        <v>0</v>
      </c>
      <c r="AA82" s="93">
        <f>SUM(AA72:AA81)+AA16+AA24+AA29+AA36+AA43+AA45+AA47+AA49+AA51+AA56+AA61+AA66</f>
        <v>1415.8799999999114</v>
      </c>
      <c r="AB82" s="92">
        <f>AB16+AB24+AB29+AB36+AB43+AB45+AB47+AB49</f>
        <v>0</v>
      </c>
      <c r="AC82" s="93">
        <f>SUM(AC72:AC81)+AC16+AC24+AC29+AC36+AC43+AC45+AC47+AC49+AC51+AC56+AC61+AC66</f>
        <v>-83433.96500000004</v>
      </c>
      <c r="AD82" s="92">
        <f>AD16+AD24+AD29+AD36+AD43+AD45+AD47+AD49</f>
        <v>0</v>
      </c>
      <c r="AE82" s="93">
        <f>SUM(AE72:AE81)+AE16+AE24+AE29+AE36+AE43+AE45+AE47+AE49+AE51+AE56+AE61+AE66</f>
        <v>-62470.545000000115</v>
      </c>
      <c r="AF82" s="92">
        <f>AF16+AF24+AF29+AF36+AF43+AF45+AF47+AF49</f>
        <v>0</v>
      </c>
      <c r="AG82" s="93">
        <f>SUM(AG72:AG81)+AG16+AG24+AG29+AG36+AG43+AG45+AG47+AG49+AG51+AG56+AG61+AG66</f>
        <v>-68993.109999999971</v>
      </c>
      <c r="AH82" s="92">
        <f>AH16+AH24+AH29+AH36+AH43+AH45+AH47+AH49</f>
        <v>0</v>
      </c>
      <c r="AI82" s="93">
        <f>SUM(AI72:AI81)+AI16+AI24+AI29+AI36+AI43+AI45+AI47+AI49+AI51+AI56+AI61+AI66</f>
        <v>-656308.91000000027</v>
      </c>
      <c r="AJ82" s="92">
        <f>AJ16+AJ24+AJ29+AJ36+AJ43+AJ45+AJ47+AJ49</f>
        <v>0</v>
      </c>
      <c r="AK82" s="93">
        <f>SUM(AK72:AK81)+AK16+AK24+AK29+AK36+AK43+AK45+AK47+AK49+AK51+AK56+AK61+AK66</f>
        <v>84132.074999999968</v>
      </c>
      <c r="AL82" s="92">
        <f>AL16+AL24+AL29+AL36+AL43+AL45+AL47+AL49</f>
        <v>0</v>
      </c>
      <c r="AM82" s="93">
        <f>SUM(AM72:AM81)+AM16+AM24+AM29+AM36+AM43+AM45+AM47+AM49+AM51+AM56+AM61+AM66</f>
        <v>-174278.84499999986</v>
      </c>
      <c r="AN82" s="92">
        <f>AN16+AN24+AN29+AN36+AN43+AN45+AN47+AN49</f>
        <v>0</v>
      </c>
      <c r="AO82" s="93">
        <f>SUM(AO72:AO81)+AO16+AO24+AO29+AO36+AO43+AO45+AO47+AO49+AO51+AO56+AO61+AO66</f>
        <v>-7837.109999999986</v>
      </c>
      <c r="AP82" s="92">
        <f>AP16+AP24+AP29+AP36+AP43+AP45+AP47+AP49</f>
        <v>0</v>
      </c>
      <c r="AQ82" s="93">
        <f>SUM(AQ72:AQ81)+AQ16+AQ24+AQ29+AQ36+AQ43+AQ45+AQ47+AQ49+AQ51+AQ56+AQ61+AQ66</f>
        <v>4245.9499999999962</v>
      </c>
      <c r="AR82" s="92">
        <f>AR16+AR24+AR29+AR36+AR43+AR45+AR47+AR49</f>
        <v>0</v>
      </c>
      <c r="AS82" s="93">
        <f>SUM(AS72:AS81)+AS16+AS24+AS29+AS36+AS43+AS45+AS47+AS49+AS51+AS56+AS61+AS66</f>
        <v>-91.909999999997922</v>
      </c>
      <c r="AT82" s="92">
        <f>AT16+AT24+AT29+AT36+AT43+AT45+AT47+AT49</f>
        <v>0</v>
      </c>
      <c r="AU82" s="93">
        <f>SUM(AU72:AU81)+AU16+AU24+AU29+AU36+AU43+AU45+AU47+AU49+AU51+AU56+AU61+AU66</f>
        <v>-2767.1200000000849</v>
      </c>
    </row>
    <row r="83" spans="1:79" ht="13.8" thickTop="1" x14ac:dyDescent="0.25">
      <c r="A83" s="4"/>
      <c r="B83" s="3"/>
    </row>
    <row r="84" spans="1:79" x14ac:dyDescent="0.25">
      <c r="A84" s="4"/>
      <c r="B84" s="3"/>
      <c r="I84" s="45"/>
      <c r="K84" s="155">
        <f>+K82-K81</f>
        <v>-6258515.6749999924</v>
      </c>
    </row>
    <row r="85" spans="1:79" x14ac:dyDescent="0.25">
      <c r="A85" s="4" t="s">
        <v>196</v>
      </c>
      <c r="B85" s="3"/>
      <c r="F85" s="31"/>
      <c r="G85" s="31"/>
      <c r="H85" s="31"/>
      <c r="I85" s="31"/>
      <c r="K85"/>
      <c r="L85" s="45"/>
    </row>
    <row r="86" spans="1:79" s="3" customFormat="1" x14ac:dyDescent="0.25">
      <c r="A86" s="183"/>
      <c r="C86" s="10" t="s">
        <v>189</v>
      </c>
      <c r="D86" s="184">
        <f t="shared" ref="D86:E88" si="37">SUM(F86,H86,J86,L86,N86,P86,R86,T86,V86,X86,Z86,AB86,AD86)</f>
        <v>0</v>
      </c>
      <c r="E86" s="184">
        <f t="shared" si="37"/>
        <v>67597.5</v>
      </c>
      <c r="F86" s="184">
        <f>'TIE-OUT'!R86+RECLASS!R86</f>
        <v>0</v>
      </c>
      <c r="G86" s="184">
        <f>'TIE-OUT'!S86+RECLASS!S86</f>
        <v>67597.5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79" s="3" customFormat="1" x14ac:dyDescent="0.25">
      <c r="A87" s="183"/>
      <c r="C87" s="10" t="s">
        <v>75</v>
      </c>
      <c r="D87" s="185">
        <f t="shared" si="37"/>
        <v>0</v>
      </c>
      <c r="E87" s="185">
        <f t="shared" si="37"/>
        <v>0</v>
      </c>
      <c r="F87" s="185">
        <f>'TIE-OUT'!R87+RECLASS!R87</f>
        <v>0</v>
      </c>
      <c r="G87" s="185">
        <f>'TIE-OUT'!S87+RECLASS!S87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79" s="3" customFormat="1" x14ac:dyDescent="0.25">
      <c r="A88" s="183"/>
      <c r="C88" s="10" t="s">
        <v>76</v>
      </c>
      <c r="D88" s="186">
        <f t="shared" si="37"/>
        <v>0</v>
      </c>
      <c r="E88" s="186">
        <f t="shared" si="37"/>
        <v>-48600</v>
      </c>
      <c r="F88" s="186">
        <f>'TIE-OUT'!R88+RECLASS!R88</f>
        <v>0</v>
      </c>
      <c r="G88" s="186">
        <f>'TIE-OUT'!S88+RECLASS!S88</f>
        <v>-48600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79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38">SUM(E86:E88)</f>
        <v>18997.5</v>
      </c>
      <c r="F89" s="196">
        <f t="shared" si="38"/>
        <v>0</v>
      </c>
      <c r="G89" s="196">
        <f t="shared" si="38"/>
        <v>18997.5</v>
      </c>
      <c r="H89" s="196">
        <f t="shared" si="38"/>
        <v>0</v>
      </c>
      <c r="I89" s="196">
        <f t="shared" si="38"/>
        <v>0</v>
      </c>
      <c r="J89" s="196">
        <f t="shared" si="38"/>
        <v>0</v>
      </c>
      <c r="K89" s="196">
        <f t="shared" si="38"/>
        <v>0</v>
      </c>
      <c r="L89" s="196">
        <f t="shared" si="38"/>
        <v>0</v>
      </c>
      <c r="M89" s="196">
        <f t="shared" si="38"/>
        <v>0</v>
      </c>
      <c r="N89" s="196">
        <f t="shared" si="38"/>
        <v>0</v>
      </c>
      <c r="O89" s="196">
        <f t="shared" si="38"/>
        <v>0</v>
      </c>
      <c r="P89" s="196">
        <f t="shared" si="38"/>
        <v>0</v>
      </c>
      <c r="Q89" s="196">
        <f t="shared" si="38"/>
        <v>0</v>
      </c>
      <c r="R89" s="196">
        <f t="shared" si="38"/>
        <v>0</v>
      </c>
      <c r="S89" s="196">
        <f t="shared" si="38"/>
        <v>0</v>
      </c>
      <c r="T89" s="196">
        <f t="shared" si="38"/>
        <v>0</v>
      </c>
      <c r="U89" s="196">
        <f t="shared" si="38"/>
        <v>0</v>
      </c>
      <c r="V89" s="196">
        <f t="shared" si="38"/>
        <v>0</v>
      </c>
      <c r="W89" s="196">
        <f t="shared" si="38"/>
        <v>0</v>
      </c>
      <c r="X89" s="196">
        <f t="shared" si="38"/>
        <v>0</v>
      </c>
      <c r="Y89" s="196">
        <f t="shared" si="38"/>
        <v>0</v>
      </c>
      <c r="Z89" s="196">
        <f t="shared" si="38"/>
        <v>0</v>
      </c>
      <c r="AA89" s="196">
        <f t="shared" si="38"/>
        <v>0</v>
      </c>
      <c r="AB89" s="196">
        <f t="shared" si="38"/>
        <v>0</v>
      </c>
      <c r="AC89" s="196">
        <f t="shared" si="38"/>
        <v>0</v>
      </c>
      <c r="AD89" s="196">
        <f t="shared" si="38"/>
        <v>0</v>
      </c>
      <c r="AE89" s="196">
        <f t="shared" si="38"/>
        <v>0</v>
      </c>
      <c r="AF89" s="196">
        <f t="shared" ref="AF89:AK89" si="39">SUM(AF86:AF88)</f>
        <v>0</v>
      </c>
      <c r="AG89" s="196">
        <f t="shared" si="39"/>
        <v>0</v>
      </c>
      <c r="AH89" s="196">
        <f t="shared" si="39"/>
        <v>0</v>
      </c>
      <c r="AI89" s="196">
        <f t="shared" si="39"/>
        <v>0</v>
      </c>
      <c r="AJ89" s="196">
        <f t="shared" si="39"/>
        <v>0</v>
      </c>
      <c r="AK89" s="196">
        <f t="shared" si="39"/>
        <v>0</v>
      </c>
      <c r="AL89" s="196">
        <f t="shared" ref="AL89:AQ89" si="40">SUM(AL86:AL88)</f>
        <v>0</v>
      </c>
      <c r="AM89" s="196">
        <f t="shared" si="40"/>
        <v>0</v>
      </c>
      <c r="AN89" s="196">
        <f t="shared" si="40"/>
        <v>0</v>
      </c>
      <c r="AO89" s="196">
        <f t="shared" si="40"/>
        <v>0</v>
      </c>
      <c r="AP89" s="196">
        <f t="shared" si="40"/>
        <v>0</v>
      </c>
      <c r="AQ89" s="196">
        <f t="shared" si="4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5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41">+E82+E89</f>
        <v>84403.783999991923</v>
      </c>
      <c r="F91" s="196">
        <f t="shared" si="41"/>
        <v>0</v>
      </c>
      <c r="G91" s="196">
        <f t="shared" si="41"/>
        <v>-10864333.380000001</v>
      </c>
      <c r="H91" s="196">
        <f t="shared" si="41"/>
        <v>0</v>
      </c>
      <c r="I91" s="196">
        <f t="shared" si="41"/>
        <v>17242287.199999999</v>
      </c>
      <c r="J91" s="196">
        <f t="shared" si="41"/>
        <v>0</v>
      </c>
      <c r="K91" s="196">
        <f t="shared" si="41"/>
        <v>-6308515.6749999924</v>
      </c>
      <c r="L91" s="196">
        <f t="shared" si="41"/>
        <v>0</v>
      </c>
      <c r="M91" s="196">
        <f t="shared" si="41"/>
        <v>-115633.51000000804</v>
      </c>
      <c r="N91" s="196">
        <f t="shared" si="41"/>
        <v>0</v>
      </c>
      <c r="O91" s="196">
        <f t="shared" si="41"/>
        <v>2537899.3450000002</v>
      </c>
      <c r="P91" s="196">
        <f t="shared" si="41"/>
        <v>0</v>
      </c>
      <c r="Q91" s="196">
        <f t="shared" si="41"/>
        <v>-1945701.85</v>
      </c>
      <c r="R91" s="196">
        <f t="shared" si="41"/>
        <v>0</v>
      </c>
      <c r="S91" s="196">
        <f t="shared" si="41"/>
        <v>33194.785000000003</v>
      </c>
      <c r="T91" s="196">
        <f t="shared" si="41"/>
        <v>0</v>
      </c>
      <c r="U91" s="196">
        <f t="shared" si="41"/>
        <v>-399186.67599999957</v>
      </c>
      <c r="V91" s="196">
        <f t="shared" si="41"/>
        <v>0</v>
      </c>
      <c r="W91" s="196">
        <f t="shared" si="41"/>
        <v>201870.22999999998</v>
      </c>
      <c r="X91" s="196">
        <f t="shared" si="41"/>
        <v>0</v>
      </c>
      <c r="Y91" s="196">
        <f t="shared" si="41"/>
        <v>668910.92500000005</v>
      </c>
      <c r="Z91" s="196">
        <f t="shared" si="41"/>
        <v>0</v>
      </c>
      <c r="AA91" s="196">
        <f t="shared" si="41"/>
        <v>1415.8799999999114</v>
      </c>
      <c r="AB91" s="196">
        <f t="shared" si="41"/>
        <v>0</v>
      </c>
      <c r="AC91" s="196">
        <f t="shared" si="41"/>
        <v>-83433.96500000004</v>
      </c>
      <c r="AD91" s="196">
        <f t="shared" si="41"/>
        <v>0</v>
      </c>
      <c r="AE91" s="196">
        <f t="shared" si="41"/>
        <v>-62470.545000000115</v>
      </c>
      <c r="AF91" s="196">
        <f t="shared" ref="AF91:AK91" si="42">+AF82+AF89</f>
        <v>0</v>
      </c>
      <c r="AG91" s="196">
        <f t="shared" si="42"/>
        <v>-68993.109999999971</v>
      </c>
      <c r="AH91" s="196">
        <f t="shared" si="42"/>
        <v>0</v>
      </c>
      <c r="AI91" s="196">
        <f t="shared" si="42"/>
        <v>-656308.91000000027</v>
      </c>
      <c r="AJ91" s="196">
        <f t="shared" si="42"/>
        <v>0</v>
      </c>
      <c r="AK91" s="196">
        <f t="shared" si="42"/>
        <v>84132.074999999968</v>
      </c>
      <c r="AL91" s="196">
        <f t="shared" ref="AL91:AQ91" si="43">+AL82+AL89</f>
        <v>0</v>
      </c>
      <c r="AM91" s="196">
        <f t="shared" si="43"/>
        <v>-174278.84499999986</v>
      </c>
      <c r="AN91" s="196">
        <f t="shared" si="43"/>
        <v>0</v>
      </c>
      <c r="AO91" s="196">
        <f t="shared" si="43"/>
        <v>-7837.109999999986</v>
      </c>
      <c r="AP91" s="196">
        <f t="shared" si="43"/>
        <v>0</v>
      </c>
      <c r="AQ91" s="196">
        <f t="shared" si="43"/>
        <v>4245.9499999999962</v>
      </c>
      <c r="AR91" s="196">
        <f>+AR82+AR89</f>
        <v>0</v>
      </c>
      <c r="AS91" s="196">
        <f>+AS82+AS89</f>
        <v>-91.909999999997922</v>
      </c>
      <c r="AT91" s="196">
        <f>+AT82+AT89</f>
        <v>0</v>
      </c>
      <c r="AU91" s="196">
        <f>+AU82+AU89</f>
        <v>-2767.1200000000849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5">
      <c r="A92" s="4"/>
      <c r="B92" s="3"/>
    </row>
    <row r="93" spans="1:79" x14ac:dyDescent="0.25">
      <c r="A93" s="4"/>
      <c r="B93" s="3"/>
    </row>
    <row r="94" spans="1:79" x14ac:dyDescent="0.25">
      <c r="A94" s="4"/>
      <c r="B94" s="3"/>
    </row>
    <row r="95" spans="1:79" x14ac:dyDescent="0.25">
      <c r="A95" s="4"/>
      <c r="B95" s="3"/>
    </row>
    <row r="96" spans="1:7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U187"/>
  <sheetViews>
    <sheetView zoomScale="75" workbookViewId="0">
      <pane xSplit="3" ySplit="9" topLeftCell="Y54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22167959</v>
      </c>
      <c r="E11" s="38">
        <f t="shared" si="0"/>
        <v>41048424</v>
      </c>
      <c r="F11" s="60">
        <f>'TIE-OUT'!P11+RECLASS!P11</f>
        <v>0</v>
      </c>
      <c r="G11" s="38">
        <f>'TIE-OUT'!Q11+RECLASS!Q11</f>
        <v>0</v>
      </c>
      <c r="H11" s="133">
        <f>+Actuals!E4</f>
        <v>21677408</v>
      </c>
      <c r="I11" s="134">
        <f>+Actuals!F4</f>
        <v>42432491.990000002</v>
      </c>
      <c r="J11" s="133">
        <f>+Actuals!G4</f>
        <v>198324</v>
      </c>
      <c r="K11" s="153">
        <f>+Actuals!H4</f>
        <v>-1868158.14</v>
      </c>
      <c r="L11" s="133">
        <f>+Actuals!I4</f>
        <v>61771</v>
      </c>
      <c r="M11" s="134">
        <f>+Actuals!J4</f>
        <v>115192.15</v>
      </c>
      <c r="N11" s="133">
        <f>+Actuals!K4</f>
        <v>-17408</v>
      </c>
      <c r="O11" s="134">
        <f>+Actuals!L4</f>
        <v>-29097.4</v>
      </c>
      <c r="P11" s="133">
        <f>+Actuals!M4</f>
        <v>38192</v>
      </c>
      <c r="Q11" s="134">
        <f>+Actuals!N4</f>
        <v>53304.35</v>
      </c>
      <c r="R11" s="133">
        <f>+Actuals!O4</f>
        <v>468386</v>
      </c>
      <c r="S11" s="134">
        <f>+Actuals!P4</f>
        <v>872722.4</v>
      </c>
      <c r="T11" s="133">
        <f>+Actuals!Q4</f>
        <v>-424857</v>
      </c>
      <c r="U11" s="134">
        <f>+Actuals!R4</f>
        <v>-789120.93</v>
      </c>
      <c r="V11" s="133">
        <f>+Actuals!S4</f>
        <v>-61254</v>
      </c>
      <c r="W11" s="134">
        <f>+Actuals!T4</f>
        <v>-120146.55</v>
      </c>
      <c r="X11" s="133">
        <f>+Actuals!U4</f>
        <v>165263</v>
      </c>
      <c r="Y11" s="134">
        <f>+Actuals!V4</f>
        <v>270206.71999999997</v>
      </c>
      <c r="Z11" s="133">
        <f>+Actuals!W4</f>
        <v>0</v>
      </c>
      <c r="AA11" s="134">
        <f>+Actuals!X4</f>
        <v>0</v>
      </c>
      <c r="AB11" s="133">
        <f>+Actuals!Y4</f>
        <v>-44</v>
      </c>
      <c r="AC11" s="134">
        <f>+Actuals!Z4</f>
        <v>-750.36</v>
      </c>
      <c r="AD11" s="133">
        <f>+Actuals!AA4</f>
        <v>0</v>
      </c>
      <c r="AE11" s="134">
        <f>+Actuals!AB4</f>
        <v>100.47</v>
      </c>
      <c r="AF11" s="133">
        <f>+Actuals!AC4</f>
        <v>0</v>
      </c>
      <c r="AG11" s="134">
        <f>+Actuals!AD4</f>
        <v>0</v>
      </c>
      <c r="AH11" s="133">
        <f>+Actuals!AE4</f>
        <v>-22932</v>
      </c>
      <c r="AI11" s="134">
        <f>+Actuals!AF4</f>
        <v>-42545.279999999999</v>
      </c>
      <c r="AJ11" s="133">
        <f>+Actuals!AG4</f>
        <v>0</v>
      </c>
      <c r="AK11" s="134">
        <f>+Actuals!AH4</f>
        <v>0</v>
      </c>
      <c r="AL11" s="133">
        <f>+Actuals!AI4</f>
        <v>0</v>
      </c>
      <c r="AM11" s="134">
        <f>+Actuals!AJ4</f>
        <v>-1950.11</v>
      </c>
      <c r="AN11" s="133">
        <f>+Actuals!AK4</f>
        <v>85110</v>
      </c>
      <c r="AO11" s="134">
        <f>+Actuals!AL4</f>
        <v>156174.69</v>
      </c>
      <c r="AP11" s="133">
        <f>+Actuals!AM4</f>
        <v>0</v>
      </c>
      <c r="AQ11" s="134">
        <f>+Actuals!AN4</f>
        <v>0</v>
      </c>
      <c r="AR11" s="133">
        <f>+Actuals!AO4</f>
        <v>0</v>
      </c>
      <c r="AS11" s="134">
        <f>+Actuals!AP4</f>
        <v>0</v>
      </c>
      <c r="AT11" s="133">
        <f>+Actuals!AQ4</f>
        <v>0</v>
      </c>
      <c r="AU11" s="134">
        <f>+Actuals!AR4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-2372979.98</v>
      </c>
      <c r="F12" s="60">
        <f>'TIE-OUT'!P12+RECLASS!P12</f>
        <v>0</v>
      </c>
      <c r="G12" s="38">
        <f>'TIE-OUT'!Q12+RECLASS!Q12</f>
        <v>-2372979.98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  <c r="AL12" s="133">
        <f>+Actuals!AI5</f>
        <v>0</v>
      </c>
      <c r="AM12" s="134">
        <f>+Actuals!AJ5</f>
        <v>0</v>
      </c>
      <c r="AN12" s="133">
        <f>+Actuals!AK5</f>
        <v>0</v>
      </c>
      <c r="AO12" s="134">
        <f>+Actuals!AL5</f>
        <v>0</v>
      </c>
      <c r="AP12" s="133">
        <f>+Actuals!AM5</f>
        <v>0</v>
      </c>
      <c r="AQ12" s="134">
        <f>+Actuals!AN5</f>
        <v>0</v>
      </c>
      <c r="AR12" s="133">
        <f>+Actuals!AO5</f>
        <v>0</v>
      </c>
      <c r="AS12" s="134">
        <f>+Actuals!AP5</f>
        <v>0</v>
      </c>
      <c r="AT12" s="133">
        <f>+Actuals!AQ5</f>
        <v>0</v>
      </c>
      <c r="AU12" s="134">
        <f>+Actuals!AR5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  <c r="AL13" s="133">
        <f>+Actuals!AI6</f>
        <v>0</v>
      </c>
      <c r="AM13" s="134">
        <f>+Actuals!AJ6</f>
        <v>0</v>
      </c>
      <c r="AN13" s="133">
        <f>+Actuals!AK6</f>
        <v>0</v>
      </c>
      <c r="AO13" s="134">
        <f>+Actuals!AL6</f>
        <v>0</v>
      </c>
      <c r="AP13" s="133">
        <f>+Actuals!AM6</f>
        <v>0</v>
      </c>
      <c r="AQ13" s="134">
        <f>+Actuals!AN6</f>
        <v>0</v>
      </c>
      <c r="AR13" s="133">
        <f>+Actuals!AO6</f>
        <v>0</v>
      </c>
      <c r="AS13" s="134">
        <f>+Actuals!AP6</f>
        <v>0</v>
      </c>
      <c r="AT13" s="133">
        <f>+Actuals!AQ6</f>
        <v>0</v>
      </c>
      <c r="AU13" s="134">
        <f>+Actuals!AR6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  <c r="AL14" s="133">
        <f>+Actuals!AI7</f>
        <v>0</v>
      </c>
      <c r="AM14" s="134">
        <f>+Actuals!AJ7</f>
        <v>0</v>
      </c>
      <c r="AN14" s="133">
        <f>+Actuals!AK7</f>
        <v>0</v>
      </c>
      <c r="AO14" s="134">
        <f>+Actuals!AL7</f>
        <v>0</v>
      </c>
      <c r="AP14" s="133">
        <f>+Actuals!AM7</f>
        <v>0</v>
      </c>
      <c r="AQ14" s="134">
        <f>+Actuals!AN7</f>
        <v>0</v>
      </c>
      <c r="AR14" s="133">
        <f>+Actuals!AO7</f>
        <v>0</v>
      </c>
      <c r="AS14" s="134">
        <f>+Actuals!AP7</f>
        <v>0</v>
      </c>
      <c r="AT14" s="133">
        <f>+Actuals!AQ7</f>
        <v>0</v>
      </c>
      <c r="AU14" s="134">
        <f>+Actuals!AR7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  <c r="AL15" s="133">
        <f>+Actuals!AI8</f>
        <v>0</v>
      </c>
      <c r="AM15" s="134">
        <f>+Actuals!AJ8</f>
        <v>0</v>
      </c>
      <c r="AN15" s="133">
        <f>+Actuals!AK8</f>
        <v>0</v>
      </c>
      <c r="AO15" s="134">
        <f>+Actuals!AL8</f>
        <v>0</v>
      </c>
      <c r="AP15" s="133">
        <f>+Actuals!AM8</f>
        <v>0</v>
      </c>
      <c r="AQ15" s="134">
        <f>+Actuals!AN8</f>
        <v>0</v>
      </c>
      <c r="AR15" s="133">
        <f>+Actuals!AO8</f>
        <v>0</v>
      </c>
      <c r="AS15" s="134">
        <f>+Actuals!AP8</f>
        <v>0</v>
      </c>
      <c r="AT15" s="133">
        <f>+Actuals!AQ8</f>
        <v>0</v>
      </c>
      <c r="AU15" s="134">
        <f>+Actuals!AR8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22167959</v>
      </c>
      <c r="E16" s="39">
        <f t="shared" si="1"/>
        <v>38675444.020000003</v>
      </c>
      <c r="F16" s="61">
        <f t="shared" si="1"/>
        <v>0</v>
      </c>
      <c r="G16" s="39">
        <f t="shared" si="1"/>
        <v>-2372979.98</v>
      </c>
      <c r="H16" s="61">
        <f t="shared" si="1"/>
        <v>21677408</v>
      </c>
      <c r="I16" s="39">
        <f t="shared" si="1"/>
        <v>42432491.990000002</v>
      </c>
      <c r="J16" s="61">
        <f t="shared" si="1"/>
        <v>198324</v>
      </c>
      <c r="K16" s="154">
        <f t="shared" si="1"/>
        <v>-1868158.14</v>
      </c>
      <c r="L16" s="61">
        <f t="shared" si="1"/>
        <v>61771</v>
      </c>
      <c r="M16" s="39">
        <f t="shared" si="1"/>
        <v>115192.15</v>
      </c>
      <c r="N16" s="61">
        <f t="shared" si="1"/>
        <v>-17408</v>
      </c>
      <c r="O16" s="39">
        <f t="shared" si="1"/>
        <v>-29097.4</v>
      </c>
      <c r="P16" s="61">
        <f t="shared" si="1"/>
        <v>38192</v>
      </c>
      <c r="Q16" s="39">
        <f t="shared" si="1"/>
        <v>53304.35</v>
      </c>
      <c r="R16" s="61">
        <f t="shared" si="1"/>
        <v>468386</v>
      </c>
      <c r="S16" s="39">
        <f t="shared" si="1"/>
        <v>872722.4</v>
      </c>
      <c r="T16" s="61">
        <f t="shared" si="1"/>
        <v>-424857</v>
      </c>
      <c r="U16" s="39">
        <f t="shared" si="1"/>
        <v>-789120.93</v>
      </c>
      <c r="V16" s="61">
        <f t="shared" si="1"/>
        <v>-61254</v>
      </c>
      <c r="W16" s="39">
        <f t="shared" si="1"/>
        <v>-120146.55</v>
      </c>
      <c r="X16" s="61">
        <f t="shared" si="1"/>
        <v>165263</v>
      </c>
      <c r="Y16" s="39">
        <f t="shared" si="1"/>
        <v>270206.71999999997</v>
      </c>
      <c r="Z16" s="61">
        <f t="shared" si="1"/>
        <v>0</v>
      </c>
      <c r="AA16" s="39">
        <f t="shared" si="1"/>
        <v>0</v>
      </c>
      <c r="AB16" s="61">
        <f t="shared" si="1"/>
        <v>-44</v>
      </c>
      <c r="AC16" s="39">
        <f t="shared" si="1"/>
        <v>-750.36</v>
      </c>
      <c r="AD16" s="61">
        <f t="shared" si="1"/>
        <v>0</v>
      </c>
      <c r="AE16" s="39">
        <f t="shared" si="1"/>
        <v>100.47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-22932</v>
      </c>
      <c r="AI16" s="39">
        <f t="shared" si="2"/>
        <v>-42545.279999999999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-1950.11</v>
      </c>
      <c r="AN16" s="61">
        <f t="shared" si="3"/>
        <v>85110</v>
      </c>
      <c r="AO16" s="39">
        <f t="shared" si="3"/>
        <v>156174.69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-5010850</v>
      </c>
      <c r="E19" s="38">
        <f t="shared" si="4"/>
        <v>-8772179.8899999969</v>
      </c>
      <c r="F19" s="64">
        <f>'TIE-OUT'!P19+RECLASS!P19</f>
        <v>0</v>
      </c>
      <c r="G19" s="68">
        <f>'TIE-OUT'!Q19+RECLASS!Q19</f>
        <v>0</v>
      </c>
      <c r="H19" s="133">
        <f>+Actuals!E9</f>
        <v>-5174379</v>
      </c>
      <c r="I19" s="134">
        <f>+Actuals!F9</f>
        <v>-9539124.5800000001</v>
      </c>
      <c r="J19" s="133">
        <f>+Actuals!G9</f>
        <v>360614</v>
      </c>
      <c r="K19" s="153">
        <f>+Actuals!H9</f>
        <v>1104181.6499999999</v>
      </c>
      <c r="L19" s="133">
        <f>+Actuals!I9</f>
        <v>11322539</v>
      </c>
      <c r="M19" s="134">
        <f>+Actuals!J9</f>
        <v>20152686.109999999</v>
      </c>
      <c r="N19" s="133">
        <f>+Actuals!K9</f>
        <v>-11265094</v>
      </c>
      <c r="O19" s="134">
        <f>+Actuals!L9</f>
        <v>-20053767.859999999</v>
      </c>
      <c r="P19" s="133">
        <f>+Actuals!M9</f>
        <v>-36954</v>
      </c>
      <c r="Q19" s="134">
        <f>+Actuals!N9</f>
        <v>-64728.33</v>
      </c>
      <c r="R19" s="133">
        <f>+Actuals!O9</f>
        <v>0</v>
      </c>
      <c r="S19" s="134">
        <f>+Actuals!P9</f>
        <v>0</v>
      </c>
      <c r="T19" s="133">
        <f>+Actuals!Q9</f>
        <v>2921</v>
      </c>
      <c r="U19" s="134">
        <f>+Actuals!R9</f>
        <v>4419.47</v>
      </c>
      <c r="V19" s="133">
        <f>+Actuals!S9</f>
        <v>109</v>
      </c>
      <c r="W19" s="134">
        <f>+Actuals!T9</f>
        <v>168.73</v>
      </c>
      <c r="X19" s="133">
        <f>+Actuals!U9</f>
        <v>-147800</v>
      </c>
      <c r="Y19" s="134">
        <f>+Actuals!V9</f>
        <v>-258732.24</v>
      </c>
      <c r="Z19" s="133">
        <f>+Actuals!W9</f>
        <v>-672</v>
      </c>
      <c r="AA19" s="134">
        <f>+Actuals!X9</f>
        <v>-1016.74</v>
      </c>
      <c r="AB19" s="133">
        <f>+Actuals!Y9</f>
        <v>-9956</v>
      </c>
      <c r="AC19" s="134">
        <f>+Actuals!Z9</f>
        <v>-17001.62</v>
      </c>
      <c r="AD19" s="133">
        <f>+Actuals!AA9</f>
        <v>0</v>
      </c>
      <c r="AE19" s="134">
        <f>+Actuals!AB9</f>
        <v>0</v>
      </c>
      <c r="AF19" s="133">
        <f>+Actuals!AC9</f>
        <v>0</v>
      </c>
      <c r="AG19" s="134">
        <f>+Actuals!AD9</f>
        <v>0</v>
      </c>
      <c r="AH19" s="133">
        <f>+Actuals!AE9</f>
        <v>22932</v>
      </c>
      <c r="AI19" s="134">
        <f>+Actuals!AF9</f>
        <v>39552.89</v>
      </c>
      <c r="AJ19" s="133">
        <f>+Actuals!AG9</f>
        <v>0</v>
      </c>
      <c r="AK19" s="134">
        <f>+Actuals!AH9</f>
        <v>0</v>
      </c>
      <c r="AL19" s="133">
        <f>+Actuals!AI9</f>
        <v>0</v>
      </c>
      <c r="AM19" s="134">
        <f>+Actuals!AJ9</f>
        <v>0</v>
      </c>
      <c r="AN19" s="133">
        <f>+Actuals!AK9</f>
        <v>-85110</v>
      </c>
      <c r="AO19" s="134">
        <f>+Actuals!AL9</f>
        <v>-138817.37</v>
      </c>
      <c r="AP19" s="133">
        <f>+Actuals!AM9</f>
        <v>0</v>
      </c>
      <c r="AQ19" s="134">
        <f>+Actuals!AN9</f>
        <v>0</v>
      </c>
      <c r="AR19" s="133">
        <f>+Actuals!AO9</f>
        <v>0</v>
      </c>
      <c r="AS19" s="134">
        <f>+Actuals!AP9</f>
        <v>0</v>
      </c>
      <c r="AT19" s="133">
        <f>+Actuals!AQ9</f>
        <v>0</v>
      </c>
      <c r="AU19" s="134">
        <f>+Actuals!AR9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593197.94999999995</v>
      </c>
      <c r="F20" s="60">
        <f>'TIE-OUT'!P20+RECLASS!P20</f>
        <v>0</v>
      </c>
      <c r="G20" s="38">
        <f>'TIE-OUT'!Q20+RECLASS!Q20</f>
        <v>498027.94999999995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72">
        <f>+Actuals!L10+95170</f>
        <v>95170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  <c r="AL20" s="133">
        <f>+Actuals!AI10</f>
        <v>0</v>
      </c>
      <c r="AM20" s="134">
        <f>+Actuals!AJ10</f>
        <v>0</v>
      </c>
      <c r="AN20" s="133">
        <f>+Actuals!AK10</f>
        <v>0</v>
      </c>
      <c r="AO20" s="134">
        <f>+Actuals!AL10</f>
        <v>0</v>
      </c>
      <c r="AP20" s="133">
        <f>+Actuals!AM10</f>
        <v>0</v>
      </c>
      <c r="AQ20" s="134">
        <f>+Actuals!AN10</f>
        <v>0</v>
      </c>
      <c r="AR20" s="133">
        <f>+Actuals!AO10</f>
        <v>0</v>
      </c>
      <c r="AS20" s="134">
        <f>+Actuals!AP10</f>
        <v>0</v>
      </c>
      <c r="AT20" s="133">
        <f>+Actuals!AQ10</f>
        <v>0</v>
      </c>
      <c r="AU20" s="134">
        <f>+Actuals!AR10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  <c r="AL21" s="133">
        <f>+Actuals!AI11</f>
        <v>0</v>
      </c>
      <c r="AM21" s="134">
        <f>+Actuals!AJ11</f>
        <v>0</v>
      </c>
      <c r="AN21" s="133">
        <f>+Actuals!AK11</f>
        <v>0</v>
      </c>
      <c r="AO21" s="134">
        <f>+Actuals!AL11</f>
        <v>0</v>
      </c>
      <c r="AP21" s="133">
        <f>+Actuals!AM11</f>
        <v>0</v>
      </c>
      <c r="AQ21" s="134">
        <f>+Actuals!AN11</f>
        <v>0</v>
      </c>
      <c r="AR21" s="133">
        <f>+Actuals!AO11</f>
        <v>0</v>
      </c>
      <c r="AS21" s="134">
        <f>+Actuals!AP11</f>
        <v>0</v>
      </c>
      <c r="AT21" s="133">
        <f>+Actuals!AQ11</f>
        <v>0</v>
      </c>
      <c r="AU21" s="134">
        <f>+Actuals!AR11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  <c r="AL22" s="133">
        <f>+Actuals!AI12</f>
        <v>0</v>
      </c>
      <c r="AM22" s="134">
        <f>+Actuals!AJ12</f>
        <v>0</v>
      </c>
      <c r="AN22" s="133">
        <f>+Actuals!AK12</f>
        <v>0</v>
      </c>
      <c r="AO22" s="134">
        <f>+Actuals!AL12</f>
        <v>0</v>
      </c>
      <c r="AP22" s="133">
        <f>+Actuals!AM12</f>
        <v>0</v>
      </c>
      <c r="AQ22" s="134">
        <f>+Actuals!AN12</f>
        <v>0</v>
      </c>
      <c r="AR22" s="133">
        <f>+Actuals!AO12</f>
        <v>0</v>
      </c>
      <c r="AS22" s="134">
        <f>+Actuals!AP12</f>
        <v>0</v>
      </c>
      <c r="AT22" s="133">
        <f>+Actuals!AQ12</f>
        <v>0</v>
      </c>
      <c r="AU22" s="134">
        <f>+Actuals!AR12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  <c r="AL23" s="133">
        <f>+Actuals!AI13</f>
        <v>0</v>
      </c>
      <c r="AM23" s="134">
        <f>+Actuals!AJ13</f>
        <v>0</v>
      </c>
      <c r="AN23" s="133">
        <f>+Actuals!AK13</f>
        <v>0</v>
      </c>
      <c r="AO23" s="134">
        <f>+Actuals!AL13</f>
        <v>0</v>
      </c>
      <c r="AP23" s="133">
        <f>+Actuals!AM13</f>
        <v>0</v>
      </c>
      <c r="AQ23" s="134">
        <f>+Actuals!AN13</f>
        <v>0</v>
      </c>
      <c r="AR23" s="133">
        <f>+Actuals!AO13</f>
        <v>0</v>
      </c>
      <c r="AS23" s="134">
        <f>+Actuals!AP13</f>
        <v>0</v>
      </c>
      <c r="AT23" s="133">
        <f>+Actuals!AQ13</f>
        <v>0</v>
      </c>
      <c r="AU23" s="134">
        <f>+Actuals!AR13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-5010850</v>
      </c>
      <c r="E24" s="39">
        <f t="shared" si="5"/>
        <v>-8178981.9399999967</v>
      </c>
      <c r="F24" s="61">
        <f t="shared" si="5"/>
        <v>0</v>
      </c>
      <c r="G24" s="39">
        <f t="shared" si="5"/>
        <v>498027.94999999995</v>
      </c>
      <c r="H24" s="61">
        <f t="shared" si="5"/>
        <v>-5174379</v>
      </c>
      <c r="I24" s="39">
        <f t="shared" si="5"/>
        <v>-9539124.5800000001</v>
      </c>
      <c r="J24" s="61">
        <f t="shared" si="5"/>
        <v>360614</v>
      </c>
      <c r="K24" s="154">
        <f t="shared" si="5"/>
        <v>1104181.6499999999</v>
      </c>
      <c r="L24" s="61">
        <f t="shared" si="5"/>
        <v>11322539</v>
      </c>
      <c r="M24" s="39">
        <f t="shared" si="5"/>
        <v>20152686.109999999</v>
      </c>
      <c r="N24" s="61">
        <f t="shared" si="5"/>
        <v>-11265094</v>
      </c>
      <c r="O24" s="39">
        <f t="shared" si="5"/>
        <v>-19958597.859999999</v>
      </c>
      <c r="P24" s="61">
        <f t="shared" si="5"/>
        <v>-36954</v>
      </c>
      <c r="Q24" s="39">
        <f t="shared" si="5"/>
        <v>-64728.33</v>
      </c>
      <c r="R24" s="61">
        <f t="shared" si="5"/>
        <v>0</v>
      </c>
      <c r="S24" s="39">
        <f t="shared" si="5"/>
        <v>0</v>
      </c>
      <c r="T24" s="61">
        <f t="shared" si="5"/>
        <v>2921</v>
      </c>
      <c r="U24" s="39">
        <f t="shared" si="5"/>
        <v>4419.47</v>
      </c>
      <c r="V24" s="61">
        <f t="shared" si="5"/>
        <v>109</v>
      </c>
      <c r="W24" s="39">
        <f t="shared" si="5"/>
        <v>168.73</v>
      </c>
      <c r="X24" s="61">
        <f t="shared" si="5"/>
        <v>-147800</v>
      </c>
      <c r="Y24" s="39">
        <f t="shared" si="5"/>
        <v>-258732.24</v>
      </c>
      <c r="Z24" s="61">
        <f t="shared" si="5"/>
        <v>-672</v>
      </c>
      <c r="AA24" s="39">
        <f t="shared" si="5"/>
        <v>-1016.74</v>
      </c>
      <c r="AB24" s="61">
        <f t="shared" si="5"/>
        <v>-9956</v>
      </c>
      <c r="AC24" s="39">
        <f t="shared" si="5"/>
        <v>-17001.62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22932</v>
      </c>
      <c r="AI24" s="39">
        <f t="shared" si="6"/>
        <v>39552.89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-85110</v>
      </c>
      <c r="AO24" s="39">
        <f t="shared" si="7"/>
        <v>-138817.37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2157267</v>
      </c>
      <c r="E27" s="38">
        <f>SUM(G27,I27,K27,M27,O27,Q27,S27,U27,W27,Y27,AA27,AC27,AE27,AG27,AI27,AK27,AM27,AO27,AQ27,AS27,AU27)</f>
        <v>3774601.7866999954</v>
      </c>
      <c r="F27" s="64">
        <f>'TIE-OUT'!P27+RECLASS!P27</f>
        <v>0</v>
      </c>
      <c r="G27" s="68">
        <f>'TIE-OUT'!Q27+RECLASS!Q27</f>
        <v>0</v>
      </c>
      <c r="H27" s="133">
        <f>+Actuals!E14</f>
        <v>24570425</v>
      </c>
      <c r="I27" s="134">
        <f>+Actuals!F14</f>
        <v>43649329.079999998</v>
      </c>
      <c r="J27" s="133">
        <f>+Actuals!G14</f>
        <v>-5098486</v>
      </c>
      <c r="K27" s="153">
        <f>+Actuals!H14</f>
        <v>-9075304.9299999997</v>
      </c>
      <c r="L27" s="133">
        <f>+Actuals!I14</f>
        <v>-320294</v>
      </c>
      <c r="M27" s="134">
        <f>+Actuals!J14</f>
        <v>-553214.87650000001</v>
      </c>
      <c r="N27" s="133">
        <f>+Actuals!K14</f>
        <v>-16979578</v>
      </c>
      <c r="O27" s="134">
        <f>+Actuals!L14</f>
        <v>-30227983.1888</v>
      </c>
      <c r="P27" s="133">
        <f>+Actuals!M14</f>
        <v>-13466</v>
      </c>
      <c r="Q27" s="134">
        <f>+Actuals!N14</f>
        <v>-24246.310399999995</v>
      </c>
      <c r="R27" s="133">
        <f>+Actuals!O14</f>
        <v>-424857</v>
      </c>
      <c r="S27" s="134">
        <f>+Actuals!P14</f>
        <v>-711890.38919999998</v>
      </c>
      <c r="T27" s="133">
        <f>+Actuals!Q14</f>
        <v>424415</v>
      </c>
      <c r="U27" s="134">
        <f>+Actuals!R14</f>
        <v>708633.62959999999</v>
      </c>
      <c r="V27" s="133">
        <f>+Actuals!S14</f>
        <v>17616</v>
      </c>
      <c r="W27" s="134">
        <f>+Actuals!T14</f>
        <v>31241.975999999999</v>
      </c>
      <c r="X27" s="133">
        <f>+Actuals!U14</f>
        <v>-19497</v>
      </c>
      <c r="Y27" s="134">
        <f>+Actuals!V14</f>
        <v>-32669.173200000001</v>
      </c>
      <c r="Z27" s="133">
        <f>+Actuals!W14</f>
        <v>-3843</v>
      </c>
      <c r="AA27" s="134">
        <f>+Actuals!X14</f>
        <v>-6439.3307999999997</v>
      </c>
      <c r="AB27" s="133">
        <f>+Actuals!Y14</f>
        <v>4832</v>
      </c>
      <c r="AC27" s="134">
        <f>+Actuals!Z14</f>
        <v>-957.82999999995809</v>
      </c>
      <c r="AD27" s="133">
        <f>+Actuals!AA14</f>
        <v>0</v>
      </c>
      <c r="AE27" s="134">
        <f>+Actuals!AB14</f>
        <v>0</v>
      </c>
      <c r="AF27" s="133">
        <f>+Actuals!AC14</f>
        <v>0</v>
      </c>
      <c r="AG27" s="134">
        <f>+Actuals!AD14</f>
        <v>0</v>
      </c>
      <c r="AH27" s="133">
        <f>+Actuals!AE14</f>
        <v>0</v>
      </c>
      <c r="AI27" s="134">
        <f>+Actuals!AF14</f>
        <v>18103.13</v>
      </c>
      <c r="AJ27" s="133">
        <f>+Actuals!AG14</f>
        <v>0</v>
      </c>
      <c r="AK27" s="134">
        <f>+Actuals!AH14</f>
        <v>0</v>
      </c>
      <c r="AL27" s="133">
        <f>+Actuals!AI14</f>
        <v>0</v>
      </c>
      <c r="AM27" s="134">
        <f>+Actuals!AJ14</f>
        <v>0</v>
      </c>
      <c r="AN27" s="133">
        <f>+Actuals!AK14</f>
        <v>0</v>
      </c>
      <c r="AO27" s="134">
        <f>+Actuals!AL14</f>
        <v>0</v>
      </c>
      <c r="AP27" s="133">
        <f>+Actuals!AM14</f>
        <v>0</v>
      </c>
      <c r="AQ27" s="134">
        <f>+Actuals!AN14</f>
        <v>0</v>
      </c>
      <c r="AR27" s="133">
        <f>+Actuals!AO14</f>
        <v>0</v>
      </c>
      <c r="AS27" s="134">
        <f>+Actuals!AP14</f>
        <v>0</v>
      </c>
      <c r="AT27" s="133">
        <f>+Actuals!AQ14</f>
        <v>0</v>
      </c>
      <c r="AU27" s="134">
        <f>+Actuals!AR14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-19314947</v>
      </c>
      <c r="E28" s="38">
        <f>SUM(G28,I28,K28,M28,O28,Q28,S28,U28,W28,Y28,AA28,AC28,AE28,AG28,AI28,AK28,AM28,AO28,AQ28,AS28,AU28)</f>
        <v>-34359402.727500007</v>
      </c>
      <c r="F28" s="81">
        <f>'TIE-OUT'!P28+RECLASS!P28</f>
        <v>0</v>
      </c>
      <c r="G28" s="82">
        <f>'TIE-OUT'!Q28+RECLASS!Q28</f>
        <v>0</v>
      </c>
      <c r="H28" s="133">
        <f>+Actuals!E15</f>
        <v>-41073454</v>
      </c>
      <c r="I28" s="134">
        <f>+Actuals!F15</f>
        <v>-72715813.430000007</v>
      </c>
      <c r="J28" s="133">
        <f>+Actuals!G15</f>
        <v>21754448</v>
      </c>
      <c r="K28" s="153">
        <f>+Actuals!H15</f>
        <v>38350615.682499997</v>
      </c>
      <c r="L28" s="133">
        <f>+Actuals!I15</f>
        <v>-11149483</v>
      </c>
      <c r="M28" s="134">
        <f>+Actuals!J15</f>
        <v>-19847509.419999998</v>
      </c>
      <c r="N28" s="133">
        <f>+Actuals!K15</f>
        <v>11141077</v>
      </c>
      <c r="O28" s="134">
        <f>+Actuals!L15</f>
        <v>19831116.739999998</v>
      </c>
      <c r="P28" s="133">
        <f>+Actuals!M15</f>
        <v>5261</v>
      </c>
      <c r="Q28" s="134">
        <f>+Actuals!N15</f>
        <v>9364.58</v>
      </c>
      <c r="R28" s="133">
        <f>+Actuals!O15</f>
        <v>-43529</v>
      </c>
      <c r="S28" s="134">
        <f>+Actuals!P15</f>
        <v>-77431.12</v>
      </c>
      <c r="T28" s="133">
        <f>+Actuals!Q15</f>
        <v>-2479</v>
      </c>
      <c r="U28" s="134">
        <f>+Actuals!R15</f>
        <v>-4412.62</v>
      </c>
      <c r="V28" s="133">
        <f>+Actuals!S15</f>
        <v>43529</v>
      </c>
      <c r="W28" s="134">
        <f>+Actuals!T15</f>
        <v>77431.12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9683</v>
      </c>
      <c r="AC28" s="134">
        <f>+Actuals!Z15</f>
        <v>17235.740000000002</v>
      </c>
      <c r="AD28" s="133">
        <f>+Actuals!AA15</f>
        <v>0</v>
      </c>
      <c r="AE28" s="134">
        <f>+Actuals!AB15</f>
        <v>0</v>
      </c>
      <c r="AF28" s="133">
        <f>+Actuals!AC15</f>
        <v>0</v>
      </c>
      <c r="AG28" s="134">
        <f>+Actuals!AD15</f>
        <v>0</v>
      </c>
      <c r="AH28" s="133">
        <f>+Actuals!AE15</f>
        <v>0</v>
      </c>
      <c r="AI28" s="134">
        <f>+Actuals!AF15</f>
        <v>0</v>
      </c>
      <c r="AJ28" s="133">
        <f>+Actuals!AG15</f>
        <v>0</v>
      </c>
      <c r="AK28" s="134">
        <f>+Actuals!AH15</f>
        <v>0</v>
      </c>
      <c r="AL28" s="133">
        <f>+Actuals!AI15</f>
        <v>0</v>
      </c>
      <c r="AM28" s="134">
        <f>+Actuals!AJ15</f>
        <v>0</v>
      </c>
      <c r="AN28" s="133">
        <f>+Actuals!AK15</f>
        <v>0</v>
      </c>
      <c r="AO28" s="134">
        <f>+Actuals!AL15</f>
        <v>0</v>
      </c>
      <c r="AP28" s="133">
        <f>+Actuals!AM15</f>
        <v>0</v>
      </c>
      <c r="AQ28" s="134">
        <f>+Actuals!AN15</f>
        <v>0</v>
      </c>
      <c r="AR28" s="133">
        <f>+Actuals!AO15</f>
        <v>0</v>
      </c>
      <c r="AS28" s="134">
        <f>+Actuals!AP15</f>
        <v>0</v>
      </c>
      <c r="AT28" s="133">
        <f>+Actuals!AQ15</f>
        <v>0</v>
      </c>
      <c r="AU28" s="134">
        <f>+Actuals!AR15</f>
        <v>0</v>
      </c>
    </row>
    <row r="29" spans="1:47" x14ac:dyDescent="0.25">
      <c r="A29" s="9"/>
      <c r="B29" s="7" t="s">
        <v>41</v>
      </c>
      <c r="C29" s="18"/>
      <c r="D29" s="61">
        <f t="shared" ref="D29:AE29" si="8">SUM(D27:D28)</f>
        <v>-17157680</v>
      </c>
      <c r="E29" s="39">
        <f t="shared" si="8"/>
        <v>-30584800.940800011</v>
      </c>
      <c r="F29" s="61">
        <f t="shared" si="8"/>
        <v>0</v>
      </c>
      <c r="G29" s="39">
        <f t="shared" si="8"/>
        <v>0</v>
      </c>
      <c r="H29" s="61">
        <f t="shared" si="8"/>
        <v>-16503029</v>
      </c>
      <c r="I29" s="39">
        <f t="shared" si="8"/>
        <v>-29066484.350000009</v>
      </c>
      <c r="J29" s="61">
        <f t="shared" si="8"/>
        <v>16655962</v>
      </c>
      <c r="K29" s="154">
        <f t="shared" si="8"/>
        <v>29275310.752499998</v>
      </c>
      <c r="L29" s="61">
        <f t="shared" si="8"/>
        <v>-11469777</v>
      </c>
      <c r="M29" s="39">
        <f t="shared" si="8"/>
        <v>-20400724.296499997</v>
      </c>
      <c r="N29" s="61">
        <f t="shared" si="8"/>
        <v>-5838501</v>
      </c>
      <c r="O29" s="39">
        <f t="shared" si="8"/>
        <v>-10396866.448800001</v>
      </c>
      <c r="P29" s="61">
        <f t="shared" si="8"/>
        <v>-8205</v>
      </c>
      <c r="Q29" s="39">
        <f t="shared" si="8"/>
        <v>-14881.730399999995</v>
      </c>
      <c r="R29" s="61">
        <f t="shared" si="8"/>
        <v>-468386</v>
      </c>
      <c r="S29" s="39">
        <f t="shared" si="8"/>
        <v>-789321.50919999997</v>
      </c>
      <c r="T29" s="61">
        <f t="shared" si="8"/>
        <v>421936</v>
      </c>
      <c r="U29" s="39">
        <f t="shared" si="8"/>
        <v>704221.00959999999</v>
      </c>
      <c r="V29" s="61">
        <f t="shared" si="8"/>
        <v>61145</v>
      </c>
      <c r="W29" s="39">
        <f t="shared" si="8"/>
        <v>108673.09599999999</v>
      </c>
      <c r="X29" s="61">
        <f t="shared" si="8"/>
        <v>-19497</v>
      </c>
      <c r="Y29" s="39">
        <f t="shared" si="8"/>
        <v>-32669.173200000001</v>
      </c>
      <c r="Z29" s="61">
        <f t="shared" si="8"/>
        <v>-3843</v>
      </c>
      <c r="AA29" s="39">
        <f t="shared" si="8"/>
        <v>-6439.3307999999997</v>
      </c>
      <c r="AB29" s="61">
        <f t="shared" si="8"/>
        <v>14515</v>
      </c>
      <c r="AC29" s="39">
        <f t="shared" si="8"/>
        <v>16277.910000000044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18103.13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571</v>
      </c>
      <c r="E32" s="38">
        <f t="shared" si="11"/>
        <v>979.26899999998841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-86930</v>
      </c>
      <c r="K32" s="153">
        <f>+Actuals!H16</f>
        <v>-149084.95000000001</v>
      </c>
      <c r="L32" s="133">
        <f>+Actuals!I16</f>
        <v>85467</v>
      </c>
      <c r="M32" s="134">
        <f>+Actuals!J16</f>
        <v>146834.856</v>
      </c>
      <c r="N32" s="133">
        <f>+Actuals!K16</f>
        <v>-6967</v>
      </c>
      <c r="O32" s="134">
        <f>+Actuals!L16</f>
        <v>-13075.646000000001</v>
      </c>
      <c r="P32" s="133">
        <f>+Actuals!M16</f>
        <v>6967</v>
      </c>
      <c r="Q32" s="134">
        <f>+Actuals!N16</f>
        <v>11978.4</v>
      </c>
      <c r="R32" s="133">
        <f>+Actuals!O16</f>
        <v>0</v>
      </c>
      <c r="S32" s="134">
        <f>+Actuals!P16</f>
        <v>156.541</v>
      </c>
      <c r="T32" s="133">
        <f>+Actuals!Q16</f>
        <v>0</v>
      </c>
      <c r="U32" s="134">
        <f>+Actuals!R16</f>
        <v>-100.947</v>
      </c>
      <c r="V32" s="133">
        <f>+Actuals!S16</f>
        <v>0</v>
      </c>
      <c r="W32" s="134">
        <f>+Actuals!T16</f>
        <v>-493.03100000000001</v>
      </c>
      <c r="X32" s="133">
        <f>+Actuals!U16</f>
        <v>2034</v>
      </c>
      <c r="Y32" s="134">
        <f>+Actuals!V16</f>
        <v>5422.4089999999997</v>
      </c>
      <c r="Z32" s="133">
        <f>+Actuals!W16</f>
        <v>4515</v>
      </c>
      <c r="AA32" s="134">
        <f>+Actuals!X16</f>
        <v>6861.0780000000004</v>
      </c>
      <c r="AB32" s="133">
        <f>+Actuals!Y16</f>
        <v>-4515</v>
      </c>
      <c r="AC32" s="134">
        <f>+Actuals!Z16</f>
        <v>-7519.4409999999998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  <c r="AL32" s="133">
        <f>+Actuals!AI16</f>
        <v>0</v>
      </c>
      <c r="AM32" s="134">
        <f>+Actuals!AJ16</f>
        <v>0</v>
      </c>
      <c r="AN32" s="133">
        <f>+Actuals!AK16</f>
        <v>0</v>
      </c>
      <c r="AO32" s="134">
        <f>+Actuals!AL16</f>
        <v>0</v>
      </c>
      <c r="AP32" s="133">
        <f>+Actuals!AM16</f>
        <v>0</v>
      </c>
      <c r="AQ32" s="134">
        <f>+Actuals!AN16</f>
        <v>0</v>
      </c>
      <c r="AR32" s="133">
        <f>+Actuals!AO16</f>
        <v>0</v>
      </c>
      <c r="AS32" s="134">
        <f>+Actuals!AP16</f>
        <v>0</v>
      </c>
      <c r="AT32" s="133">
        <f>+Actuals!AQ16</f>
        <v>0</v>
      </c>
      <c r="AU32" s="134">
        <f>+Actuals!AR16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  <c r="AL33" s="133">
        <f>+Actuals!AI17</f>
        <v>0</v>
      </c>
      <c r="AM33" s="134">
        <f>+Actuals!AJ17</f>
        <v>0</v>
      </c>
      <c r="AN33" s="133">
        <f>+Actuals!AK17</f>
        <v>0</v>
      </c>
      <c r="AO33" s="134">
        <f>+Actuals!AL17</f>
        <v>0</v>
      </c>
      <c r="AP33" s="133">
        <f>+Actuals!AM17</f>
        <v>0</v>
      </c>
      <c r="AQ33" s="134">
        <f>+Actuals!AN17</f>
        <v>0</v>
      </c>
      <c r="AR33" s="133">
        <f>+Actuals!AO17</f>
        <v>0</v>
      </c>
      <c r="AS33" s="134">
        <f>+Actuals!AP17</f>
        <v>0</v>
      </c>
      <c r="AT33" s="133">
        <f>+Actuals!AQ17</f>
        <v>0</v>
      </c>
      <c r="AU33" s="134">
        <f>+Actuals!AR17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  <c r="AL34" s="133">
        <f>+Actuals!AI18</f>
        <v>0</v>
      </c>
      <c r="AM34" s="134">
        <f>+Actuals!AJ18</f>
        <v>0</v>
      </c>
      <c r="AN34" s="133">
        <f>+Actuals!AK18</f>
        <v>0</v>
      </c>
      <c r="AO34" s="134">
        <f>+Actuals!AL18</f>
        <v>0</v>
      </c>
      <c r="AP34" s="133">
        <f>+Actuals!AM18</f>
        <v>0</v>
      </c>
      <c r="AQ34" s="134">
        <f>+Actuals!AN18</f>
        <v>0</v>
      </c>
      <c r="AR34" s="133">
        <f>+Actuals!AO18</f>
        <v>0</v>
      </c>
      <c r="AS34" s="134">
        <f>+Actuals!AP18</f>
        <v>0</v>
      </c>
      <c r="AT34" s="133">
        <f>+Actuals!AQ18</f>
        <v>0</v>
      </c>
      <c r="AU34" s="134">
        <f>+Actuals!AR18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  <c r="AL35" s="133">
        <f>+Actuals!AI19</f>
        <v>0</v>
      </c>
      <c r="AM35" s="134">
        <f>+Actuals!AJ19</f>
        <v>0</v>
      </c>
      <c r="AN35" s="133">
        <f>+Actuals!AK19</f>
        <v>0</v>
      </c>
      <c r="AO35" s="134">
        <f>+Actuals!AL19</f>
        <v>0</v>
      </c>
      <c r="AP35" s="133">
        <f>+Actuals!AM19</f>
        <v>0</v>
      </c>
      <c r="AQ35" s="134">
        <f>+Actuals!AN19</f>
        <v>0</v>
      </c>
      <c r="AR35" s="133">
        <f>+Actuals!AO19</f>
        <v>0</v>
      </c>
      <c r="AS35" s="134">
        <f>+Actuals!AP19</f>
        <v>0</v>
      </c>
      <c r="AT35" s="133">
        <f>+Actuals!AQ19</f>
        <v>0</v>
      </c>
      <c r="AU35" s="134">
        <f>+Actuals!AR19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571</v>
      </c>
      <c r="E36" s="39">
        <f t="shared" si="12"/>
        <v>979.26899999998841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-86930</v>
      </c>
      <c r="K36" s="154">
        <f t="shared" si="12"/>
        <v>-149084.95000000001</v>
      </c>
      <c r="L36" s="61">
        <f t="shared" si="12"/>
        <v>85467</v>
      </c>
      <c r="M36" s="39">
        <f t="shared" si="12"/>
        <v>146834.856</v>
      </c>
      <c r="N36" s="61">
        <f t="shared" si="12"/>
        <v>-6967</v>
      </c>
      <c r="O36" s="39">
        <f t="shared" si="12"/>
        <v>-13075.646000000001</v>
      </c>
      <c r="P36" s="61">
        <f t="shared" si="12"/>
        <v>6967</v>
      </c>
      <c r="Q36" s="39">
        <f t="shared" si="12"/>
        <v>11978.4</v>
      </c>
      <c r="R36" s="61">
        <f t="shared" si="12"/>
        <v>0</v>
      </c>
      <c r="S36" s="39">
        <f t="shared" si="12"/>
        <v>156.541</v>
      </c>
      <c r="T36" s="61">
        <f t="shared" si="12"/>
        <v>0</v>
      </c>
      <c r="U36" s="39">
        <f t="shared" si="12"/>
        <v>-100.947</v>
      </c>
      <c r="V36" s="61">
        <f t="shared" si="12"/>
        <v>0</v>
      </c>
      <c r="W36" s="39">
        <f t="shared" si="12"/>
        <v>-493.03100000000001</v>
      </c>
      <c r="X36" s="61">
        <f t="shared" si="12"/>
        <v>2034</v>
      </c>
      <c r="Y36" s="39">
        <f t="shared" si="12"/>
        <v>5422.4089999999997</v>
      </c>
      <c r="Z36" s="61">
        <f t="shared" si="12"/>
        <v>4515</v>
      </c>
      <c r="AA36" s="39">
        <f t="shared" si="12"/>
        <v>6861.0780000000004</v>
      </c>
      <c r="AB36" s="61">
        <f t="shared" si="12"/>
        <v>-4515</v>
      </c>
      <c r="AC36" s="39">
        <f t="shared" si="12"/>
        <v>-7519.4409999999998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  <c r="AL39" s="133">
        <f>+Actuals!AI20</f>
        <v>0</v>
      </c>
      <c r="AM39" s="134">
        <f>+Actuals!AJ20</f>
        <v>0</v>
      </c>
      <c r="AN39" s="133">
        <f>+Actuals!AK20</f>
        <v>0</v>
      </c>
      <c r="AO39" s="134">
        <f>+Actuals!AL20</f>
        <v>0</v>
      </c>
      <c r="AP39" s="133">
        <f>+Actuals!AM20</f>
        <v>0</v>
      </c>
      <c r="AQ39" s="134">
        <f>+Actuals!AN20</f>
        <v>0</v>
      </c>
      <c r="AR39" s="133">
        <f>+Actuals!AO20</f>
        <v>0</v>
      </c>
      <c r="AS39" s="134">
        <f>+Actuals!AP20</f>
        <v>0</v>
      </c>
      <c r="AT39" s="133">
        <f>+Actuals!AQ20</f>
        <v>0</v>
      </c>
      <c r="AU39" s="134">
        <f>+Actuals!AR20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-17127970</v>
      </c>
      <c r="K40" s="153">
        <f>+Actuals!H21</f>
        <v>-37894846.130000003</v>
      </c>
      <c r="L40" s="133">
        <f>+Actuals!I21</f>
        <v>0</v>
      </c>
      <c r="M40" s="134">
        <f>+Actuals!J21</f>
        <v>-3108.62</v>
      </c>
      <c r="N40" s="133">
        <f>+Actuals!K21</f>
        <v>17127970</v>
      </c>
      <c r="O40" s="134">
        <f>+Actuals!L21</f>
        <v>37897954.75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  <c r="AL40" s="133">
        <f>+Actuals!AI21</f>
        <v>0</v>
      </c>
      <c r="AM40" s="134">
        <f>+Actuals!AJ21</f>
        <v>0</v>
      </c>
      <c r="AN40" s="133">
        <f>+Actuals!AK21</f>
        <v>0</v>
      </c>
      <c r="AO40" s="134">
        <f>+Actuals!AL21</f>
        <v>0</v>
      </c>
      <c r="AP40" s="133">
        <f>+Actuals!AM21</f>
        <v>0</v>
      </c>
      <c r="AQ40" s="134">
        <f>+Actuals!AN21</f>
        <v>0</v>
      </c>
      <c r="AR40" s="133">
        <f>+Actuals!AO21</f>
        <v>0</v>
      </c>
      <c r="AS40" s="134">
        <f>+Actuals!AP21</f>
        <v>0</v>
      </c>
      <c r="AT40" s="133">
        <f>+Actuals!AQ21</f>
        <v>0</v>
      </c>
      <c r="AU40" s="134">
        <f>+Actuals!AR21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  <c r="AL41" s="133">
        <f>+Actuals!AI22</f>
        <v>0</v>
      </c>
      <c r="AM41" s="134">
        <f>+Actuals!AJ22</f>
        <v>0</v>
      </c>
      <c r="AN41" s="133">
        <f>+Actuals!AK22</f>
        <v>0</v>
      </c>
      <c r="AO41" s="134">
        <f>+Actuals!AL22</f>
        <v>0</v>
      </c>
      <c r="AP41" s="133">
        <f>+Actuals!AM22</f>
        <v>0</v>
      </c>
      <c r="AQ41" s="134">
        <f>+Actuals!AN22</f>
        <v>0</v>
      </c>
      <c r="AR41" s="133">
        <f>+Actuals!AO22</f>
        <v>0</v>
      </c>
      <c r="AS41" s="134">
        <f>+Actuals!AP22</f>
        <v>0</v>
      </c>
      <c r="AT41" s="133">
        <f>+Actuals!AQ22</f>
        <v>0</v>
      </c>
      <c r="AU41" s="134">
        <f>+Actuals!AR22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-17127970</v>
      </c>
      <c r="K42" s="154">
        <f t="shared" si="16"/>
        <v>-37894846.130000003</v>
      </c>
      <c r="L42" s="61">
        <f t="shared" si="16"/>
        <v>0</v>
      </c>
      <c r="M42" s="39">
        <f t="shared" si="16"/>
        <v>-3108.62</v>
      </c>
      <c r="N42" s="61">
        <f t="shared" si="16"/>
        <v>17127970</v>
      </c>
      <c r="O42" s="39">
        <f t="shared" si="16"/>
        <v>37897954.75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-17127970</v>
      </c>
      <c r="K43" s="154">
        <f t="shared" si="19"/>
        <v>-37894846.130000003</v>
      </c>
      <c r="L43" s="61">
        <f t="shared" si="19"/>
        <v>0</v>
      </c>
      <c r="M43" s="39">
        <f t="shared" si="19"/>
        <v>-3108.62</v>
      </c>
      <c r="N43" s="61">
        <f t="shared" si="19"/>
        <v>17127970</v>
      </c>
      <c r="O43" s="39">
        <f t="shared" si="19"/>
        <v>37897954.75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  <c r="AL45" s="133">
        <f>+Actuals!AI23</f>
        <v>0</v>
      </c>
      <c r="AM45" s="134">
        <f>+Actuals!AJ23</f>
        <v>0</v>
      </c>
      <c r="AN45" s="133">
        <f>+Actuals!AK23</f>
        <v>0</v>
      </c>
      <c r="AO45" s="134">
        <f>+Actuals!AL23</f>
        <v>0</v>
      </c>
      <c r="AP45" s="133">
        <f>+Actuals!AM23</f>
        <v>0</v>
      </c>
      <c r="AQ45" s="134">
        <f>+Actuals!AN23</f>
        <v>0</v>
      </c>
      <c r="AR45" s="133">
        <f>+Actuals!AO23</f>
        <v>0</v>
      </c>
      <c r="AS45" s="134">
        <f>+Actuals!AP23</f>
        <v>0</v>
      </c>
      <c r="AT45" s="133">
        <f>+Actuals!AQ23</f>
        <v>0</v>
      </c>
      <c r="AU45" s="134">
        <f>+Actuals!AR23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6920.119999999999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717.56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f>+Actuals!R24</f>
        <v>0</v>
      </c>
      <c r="V47" s="133">
        <f>+Actuals!S24</f>
        <v>0</v>
      </c>
      <c r="W47" s="205">
        <f>+Actuals!T24-12515</f>
        <v>-12515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  <c r="AL47" s="133">
        <f>+Actuals!AI24</f>
        <v>0</v>
      </c>
      <c r="AM47" s="134">
        <f>+Actuals!AJ24</f>
        <v>0</v>
      </c>
      <c r="AN47" s="133">
        <f>+Actuals!AK24</f>
        <v>0</v>
      </c>
      <c r="AO47" s="134">
        <f>+Actuals!AL24</f>
        <v>0</v>
      </c>
      <c r="AP47" s="133">
        <f>+Actuals!AM24</f>
        <v>0</v>
      </c>
      <c r="AQ47" s="134">
        <f>+Actuals!AN24</f>
        <v>0</v>
      </c>
      <c r="AR47" s="133">
        <f>+Actuals!AO24</f>
        <v>0</v>
      </c>
      <c r="AS47" s="134">
        <f>+Actuals!AP24</f>
        <v>0</v>
      </c>
      <c r="AT47" s="133">
        <f>+Actuals!AQ24</f>
        <v>0</v>
      </c>
      <c r="AU47" s="134">
        <f>+Actuals!AR24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0</v>
      </c>
      <c r="E49" s="38">
        <f t="shared" si="22"/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  <c r="AL49" s="133">
        <f>+Actuals!AI25</f>
        <v>0</v>
      </c>
      <c r="AM49" s="134">
        <f>+Actuals!AJ25</f>
        <v>0</v>
      </c>
      <c r="AN49" s="133">
        <f>+Actuals!AK25</f>
        <v>0</v>
      </c>
      <c r="AO49" s="134">
        <f>+Actuals!AL25</f>
        <v>0</v>
      </c>
      <c r="AP49" s="133">
        <f>+Actuals!AM25</f>
        <v>0</v>
      </c>
      <c r="AQ49" s="134">
        <f>+Actuals!AN25</f>
        <v>0</v>
      </c>
      <c r="AR49" s="133">
        <f>+Actuals!AO25</f>
        <v>0</v>
      </c>
      <c r="AS49" s="134">
        <f>+Actuals!AP25</f>
        <v>0</v>
      </c>
      <c r="AT49" s="133">
        <f>+Actuals!AQ25</f>
        <v>0</v>
      </c>
      <c r="AU49" s="134">
        <f>+Actuals!AR25</f>
        <v>0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0</v>
      </c>
      <c r="E51" s="38">
        <f t="shared" si="22"/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  <c r="AL51" s="133">
        <f>+Actuals!AI26</f>
        <v>0</v>
      </c>
      <c r="AM51" s="134">
        <f>+Actuals!AJ26</f>
        <v>0</v>
      </c>
      <c r="AN51" s="133">
        <f>+Actuals!AK26</f>
        <v>0</v>
      </c>
      <c r="AO51" s="134">
        <f>+Actuals!AL26</f>
        <v>0</v>
      </c>
      <c r="AP51" s="133">
        <f>+Actuals!AM26</f>
        <v>0</v>
      </c>
      <c r="AQ51" s="134">
        <f>+Actuals!AN26</f>
        <v>0</v>
      </c>
      <c r="AR51" s="133">
        <f>+Actuals!AO26</f>
        <v>0</v>
      </c>
      <c r="AS51" s="134">
        <f>+Actuals!AP26</f>
        <v>0</v>
      </c>
      <c r="AT51" s="133">
        <f>+Actuals!AQ26</f>
        <v>0</v>
      </c>
      <c r="AU51" s="134">
        <f>+Actuals!AR26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14466592</v>
      </c>
      <c r="E54" s="38">
        <f>SUM(G54,I54,K54,M54,O54,Q54,S54,U54,W54,Y54,AA54,AC54,AE54,AG54,AI54,AK54,AM54,AO54,AQ54,AS54,AU54)</f>
        <v>14317.26</v>
      </c>
      <c r="F54" s="64">
        <f>'TIE-OUT'!P54+RECLASS!P54</f>
        <v>0</v>
      </c>
      <c r="G54" s="68">
        <f>'TIE-OUT'!Q54+RECLASS!Q54</f>
        <v>0</v>
      </c>
      <c r="H54" s="133">
        <f>+Actuals!E27</f>
        <v>-86943</v>
      </c>
      <c r="I54" s="134">
        <f>+Actuals!F27</f>
        <v>14564.58</v>
      </c>
      <c r="J54" s="133">
        <f>+Actuals!G27</f>
        <v>14550611</v>
      </c>
      <c r="K54" s="153">
        <f>+Actuals!H27</f>
        <v>-247.32</v>
      </c>
      <c r="L54" s="133">
        <f>+Actuals!I27</f>
        <v>2924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  <c r="AL54" s="133">
        <f>+Actuals!AI27</f>
        <v>0</v>
      </c>
      <c r="AM54" s="134">
        <f>+Actuals!AJ27</f>
        <v>0</v>
      </c>
      <c r="AN54" s="133">
        <f>+Actuals!AK27</f>
        <v>0</v>
      </c>
      <c r="AO54" s="134">
        <f>+Actuals!AL27</f>
        <v>0</v>
      </c>
      <c r="AP54" s="133">
        <f>+Actuals!AM27</f>
        <v>0</v>
      </c>
      <c r="AQ54" s="134">
        <f>+Actuals!AN27</f>
        <v>0</v>
      </c>
      <c r="AR54" s="133">
        <f>+Actuals!AO27</f>
        <v>0</v>
      </c>
      <c r="AS54" s="134">
        <f>+Actuals!AP27</f>
        <v>0</v>
      </c>
      <c r="AT54" s="133">
        <f>+Actuals!AQ27</f>
        <v>0</v>
      </c>
      <c r="AU54" s="134">
        <f>+Actuals!AR27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-603096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34">
        <f>+Actuals!J28</f>
        <v>0</v>
      </c>
      <c r="N55" s="133">
        <f>+Actuals!K28</f>
        <v>0</v>
      </c>
      <c r="O55" s="172">
        <f>+Actuals!L28-823333</f>
        <v>-823333</v>
      </c>
      <c r="P55" s="133">
        <f>+Actuals!M28</f>
        <v>0</v>
      </c>
      <c r="Q55" s="134">
        <f>+Actuals!N28</f>
        <v>0</v>
      </c>
      <c r="R55" s="133">
        <f>+Actuals!O28</f>
        <v>0</v>
      </c>
      <c r="S55" s="134">
        <f>+Actuals!P28+220237</f>
        <v>220237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  <c r="AL55" s="133">
        <f>+Actuals!AI28</f>
        <v>0</v>
      </c>
      <c r="AM55" s="134">
        <f>+Actuals!AJ28</f>
        <v>0</v>
      </c>
      <c r="AN55" s="133">
        <f>+Actuals!AK28</f>
        <v>0</v>
      </c>
      <c r="AO55" s="134">
        <f>+Actuals!AL28</f>
        <v>0</v>
      </c>
      <c r="AP55" s="133">
        <f>+Actuals!AM28</f>
        <v>0</v>
      </c>
      <c r="AQ55" s="134">
        <f>+Actuals!AN28</f>
        <v>0</v>
      </c>
      <c r="AR55" s="133">
        <f>+Actuals!AO28</f>
        <v>0</v>
      </c>
      <c r="AS55" s="134">
        <f>+Actuals!AP28</f>
        <v>0</v>
      </c>
      <c r="AT55" s="133">
        <f>+Actuals!AQ28</f>
        <v>0</v>
      </c>
      <c r="AU55" s="134">
        <f>+Actuals!AR28</f>
        <v>0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14466592</v>
      </c>
      <c r="E56" s="39">
        <f t="shared" si="23"/>
        <v>-588778.74</v>
      </c>
      <c r="F56" s="61">
        <f t="shared" si="23"/>
        <v>0</v>
      </c>
      <c r="G56" s="39">
        <f t="shared" si="23"/>
        <v>0</v>
      </c>
      <c r="H56" s="61">
        <f t="shared" si="23"/>
        <v>-86943</v>
      </c>
      <c r="I56" s="39">
        <f t="shared" si="23"/>
        <v>14564.58</v>
      </c>
      <c r="J56" s="61">
        <f t="shared" si="23"/>
        <v>14550611</v>
      </c>
      <c r="K56" s="154">
        <f t="shared" si="23"/>
        <v>-247.32</v>
      </c>
      <c r="L56" s="61">
        <f t="shared" si="23"/>
        <v>2924</v>
      </c>
      <c r="M56" s="39">
        <f t="shared" si="23"/>
        <v>0</v>
      </c>
      <c r="N56" s="61">
        <f t="shared" si="23"/>
        <v>0</v>
      </c>
      <c r="O56" s="39">
        <f t="shared" si="23"/>
        <v>-823333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220237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1632.12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0</v>
      </c>
      <c r="J59" s="133">
        <f>+Actuals!G29</f>
        <v>0</v>
      </c>
      <c r="K59" s="153">
        <f>+Actuals!H29</f>
        <v>350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0</v>
      </c>
      <c r="P59" s="133">
        <f>+Actuals!M29</f>
        <v>0</v>
      </c>
      <c r="Q59" s="134">
        <f>+Actuals!N29</f>
        <v>312.5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969.62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  <c r="AL59" s="133">
        <f>+Actuals!AI29</f>
        <v>0</v>
      </c>
      <c r="AM59" s="134">
        <f>+Actuals!AJ29</f>
        <v>0</v>
      </c>
      <c r="AN59" s="133">
        <f>+Actuals!AK29</f>
        <v>0</v>
      </c>
      <c r="AO59" s="134">
        <f>+Actuals!AL29</f>
        <v>0</v>
      </c>
      <c r="AP59" s="133">
        <f>+Actuals!AM29</f>
        <v>0</v>
      </c>
      <c r="AQ59" s="134">
        <f>+Actuals!AN29</f>
        <v>0</v>
      </c>
      <c r="AR59" s="133">
        <f>+Actuals!AO29</f>
        <v>0</v>
      </c>
      <c r="AS59" s="134">
        <f>+Actuals!AP29</f>
        <v>0</v>
      </c>
      <c r="AT59" s="133">
        <f>+Actuals!AQ29</f>
        <v>0</v>
      </c>
      <c r="AU59" s="134">
        <f>+Actuals!AR29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  <c r="AL60" s="133">
        <f>+Actuals!AI30</f>
        <v>0</v>
      </c>
      <c r="AM60" s="134">
        <f>+Actuals!AJ30</f>
        <v>0</v>
      </c>
      <c r="AN60" s="133">
        <f>+Actuals!AK30</f>
        <v>0</v>
      </c>
      <c r="AO60" s="134">
        <f>+Actuals!AL30</f>
        <v>0</v>
      </c>
      <c r="AP60" s="133">
        <f>+Actuals!AM30</f>
        <v>0</v>
      </c>
      <c r="AQ60" s="134">
        <f>+Actuals!AN30</f>
        <v>0</v>
      </c>
      <c r="AR60" s="133">
        <f>+Actuals!AO30</f>
        <v>0</v>
      </c>
      <c r="AS60" s="134">
        <f>+Actuals!AP30</f>
        <v>0</v>
      </c>
      <c r="AT60" s="133">
        <f>+Actuals!AQ30</f>
        <v>0</v>
      </c>
      <c r="AU60" s="134">
        <f>+Actuals!AR30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1632.12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350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312.5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969.62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-12044314</v>
      </c>
      <c r="E64" s="38">
        <f>SUM(G64,I64,K64,M64,O64,Q64,S64,U64,W64,Y64,AA64,AC64,AE64,AG64,AI64,AK64,AM64,AO64,AQ64,AS64,AU64)</f>
        <v>-755336.52</v>
      </c>
      <c r="F64" s="64">
        <f>'TIE-OUT'!P64+RECLASS!P64</f>
        <v>0</v>
      </c>
      <c r="G64" s="68">
        <f>'TIE-OUT'!Q64+RECLASS!Q64</f>
        <v>0</v>
      </c>
      <c r="H64" s="133">
        <f>+Actuals!E31</f>
        <v>-14463668</v>
      </c>
      <c r="I64" s="134">
        <f>+Actuals!F31</f>
        <v>-738665.93</v>
      </c>
      <c r="J64" s="133">
        <f>+Actuals!G31</f>
        <v>-14605797</v>
      </c>
      <c r="K64" s="153">
        <f>+Actuals!H31</f>
        <v>-23187.96</v>
      </c>
      <c r="L64" s="133">
        <f>+Actuals!I31</f>
        <v>17035029</v>
      </c>
      <c r="M64" s="134">
        <f>+Actuals!J31</f>
        <v>-550.32000000000005</v>
      </c>
      <c r="N64" s="133">
        <f>+Actuals!K31</f>
        <v>-14083</v>
      </c>
      <c r="O64" s="134">
        <f>+Actuals!L31</f>
        <v>1910.92</v>
      </c>
      <c r="P64" s="133">
        <f>+Actuals!M31</f>
        <v>1564</v>
      </c>
      <c r="Q64" s="134">
        <f>+Actuals!N31</f>
        <v>-201.12</v>
      </c>
      <c r="R64" s="133">
        <f>+Actuals!O31</f>
        <v>0</v>
      </c>
      <c r="S64" s="134">
        <f>+Actuals!P31</f>
        <v>0</v>
      </c>
      <c r="T64" s="133">
        <f>+Actuals!Q31</f>
        <v>0</v>
      </c>
      <c r="U64" s="134">
        <f>+Actuals!R31</f>
        <v>1013.51</v>
      </c>
      <c r="V64" s="133">
        <f>+Actuals!S31</f>
        <v>0</v>
      </c>
      <c r="W64" s="134">
        <f>+Actuals!T31</f>
        <v>52.32</v>
      </c>
      <c r="X64" s="133">
        <f>+Actuals!U31</f>
        <v>262</v>
      </c>
      <c r="Y64" s="134">
        <f>+Actuals!V31</f>
        <v>11.51</v>
      </c>
      <c r="Z64" s="133">
        <f>+Actuals!W31</f>
        <v>4515</v>
      </c>
      <c r="AA64" s="134">
        <f>+Actuals!X31</f>
        <v>-90.75</v>
      </c>
      <c r="AB64" s="133">
        <f>+Actuals!Y31</f>
        <v>10000</v>
      </c>
      <c r="AC64" s="134">
        <f>+Actuals!Z31</f>
        <v>100</v>
      </c>
      <c r="AD64" s="133">
        <f>+Actuals!AA31</f>
        <v>0</v>
      </c>
      <c r="AE64" s="134">
        <f>+Actuals!AB31</f>
        <v>0</v>
      </c>
      <c r="AF64" s="133">
        <f>+Actuals!AC31</f>
        <v>0</v>
      </c>
      <c r="AG64" s="134">
        <f>+Actuals!AD31</f>
        <v>0</v>
      </c>
      <c r="AH64" s="133">
        <f>+Actuals!AE31</f>
        <v>0</v>
      </c>
      <c r="AI64" s="134">
        <f>+Actuals!AF31</f>
        <v>-0.78</v>
      </c>
      <c r="AJ64" s="133">
        <f>+Actuals!AG31</f>
        <v>0</v>
      </c>
      <c r="AK64" s="134">
        <f>+Actuals!AH31</f>
        <v>0</v>
      </c>
      <c r="AL64" s="133">
        <f>+Actuals!AI31</f>
        <v>0</v>
      </c>
      <c r="AM64" s="134">
        <f>+Actuals!AJ31</f>
        <v>0</v>
      </c>
      <c r="AN64" s="133">
        <f>+Actuals!AK31</f>
        <v>-12136</v>
      </c>
      <c r="AO64" s="134">
        <f>+Actuals!AL31</f>
        <v>4272.08</v>
      </c>
      <c r="AP64" s="133">
        <f>+Actuals!AM31</f>
        <v>0</v>
      </c>
      <c r="AQ64" s="134">
        <f>+Actuals!AN31</f>
        <v>0</v>
      </c>
      <c r="AR64" s="133">
        <f>+Actuals!AO31</f>
        <v>0</v>
      </c>
      <c r="AS64" s="134">
        <f>+Actuals!AP31</f>
        <v>0</v>
      </c>
      <c r="AT64" s="133">
        <f>+Actuals!AQ31</f>
        <v>0</v>
      </c>
      <c r="AU64" s="134">
        <f>+Actuals!AR31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753929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</f>
        <v>0</v>
      </c>
      <c r="N65" s="133">
        <f>+Actuals!K32</f>
        <v>0</v>
      </c>
      <c r="O65" s="172">
        <f>+Actuals!L32-13672-2152+52776+29709+719803-1807</f>
        <v>784657</v>
      </c>
      <c r="P65" s="133">
        <f>+Actuals!M32</f>
        <v>0</v>
      </c>
      <c r="Q65" s="134">
        <f>+Actuals!N32+100</f>
        <v>100</v>
      </c>
      <c r="R65" s="133">
        <f>+Actuals!O32</f>
        <v>0</v>
      </c>
      <c r="S65" s="134">
        <f>+Actuals!P32</f>
        <v>0</v>
      </c>
      <c r="T65" s="133">
        <f>+Actuals!Q32</f>
        <v>0</v>
      </c>
      <c r="U65" s="165">
        <f>+Actuals!R32-1014</f>
        <v>-1014</v>
      </c>
      <c r="V65" s="133">
        <f>+Actuals!S32</f>
        <v>0</v>
      </c>
      <c r="W65" s="134">
        <f>+Actuals!T32-52</f>
        <v>-52</v>
      </c>
      <c r="X65" s="133">
        <f>+Actuals!U32</f>
        <v>0</v>
      </c>
      <c r="Y65" s="134">
        <f>+Actuals!V32</f>
        <v>0</v>
      </c>
      <c r="Z65" s="133">
        <f>+Actuals!W32</f>
        <v>0</v>
      </c>
      <c r="AA65" s="165">
        <f>+Actuals!X32-11+90-29709</f>
        <v>-29630</v>
      </c>
      <c r="AB65" s="133">
        <f>+Actuals!Y32</f>
        <v>0</v>
      </c>
      <c r="AC65" s="165">
        <f>+Actuals!Z32-132</f>
        <v>-132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  <c r="AL65" s="133">
        <f>+Actuals!AI32</f>
        <v>0</v>
      </c>
      <c r="AM65" s="134">
        <f>+Actuals!AJ32</f>
        <v>0</v>
      </c>
      <c r="AN65" s="133">
        <f>+Actuals!AK32</f>
        <v>0</v>
      </c>
      <c r="AO65" s="134">
        <f>+Actuals!AL32</f>
        <v>0</v>
      </c>
      <c r="AP65" s="133">
        <f>+Actuals!AM32</f>
        <v>0</v>
      </c>
      <c r="AQ65" s="134">
        <f>+Actuals!AN32</f>
        <v>0</v>
      </c>
      <c r="AR65" s="133">
        <f>+Actuals!AO32</f>
        <v>0</v>
      </c>
      <c r="AS65" s="134">
        <f>+Actuals!AP32</f>
        <v>0</v>
      </c>
      <c r="AT65" s="133">
        <f>+Actuals!AQ32</f>
        <v>0</v>
      </c>
      <c r="AU65" s="134">
        <f>+Actuals!AR32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-12044314</v>
      </c>
      <c r="E66" s="39">
        <f t="shared" si="29"/>
        <v>-1407.5200000000186</v>
      </c>
      <c r="F66" s="61">
        <f t="shared" si="29"/>
        <v>0</v>
      </c>
      <c r="G66" s="39">
        <f t="shared" si="29"/>
        <v>0</v>
      </c>
      <c r="H66" s="61">
        <f t="shared" si="29"/>
        <v>-14463668</v>
      </c>
      <c r="I66" s="39">
        <f t="shared" si="29"/>
        <v>-738665.93</v>
      </c>
      <c r="J66" s="61">
        <f t="shared" si="29"/>
        <v>-14605797</v>
      </c>
      <c r="K66" s="154">
        <f t="shared" si="29"/>
        <v>-23187.96</v>
      </c>
      <c r="L66" s="61">
        <f t="shared" si="29"/>
        <v>17035029</v>
      </c>
      <c r="M66" s="39">
        <f t="shared" si="29"/>
        <v>-550.32000000000005</v>
      </c>
      <c r="N66" s="61">
        <f t="shared" si="29"/>
        <v>-14083</v>
      </c>
      <c r="O66" s="39">
        <f t="shared" si="29"/>
        <v>786567.92</v>
      </c>
      <c r="P66" s="61">
        <f t="shared" si="29"/>
        <v>1564</v>
      </c>
      <c r="Q66" s="39">
        <f t="shared" si="29"/>
        <v>-101.12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-0.49000000000000909</v>
      </c>
      <c r="V66" s="61">
        <f t="shared" si="29"/>
        <v>0</v>
      </c>
      <c r="W66" s="39">
        <f t="shared" si="29"/>
        <v>0.32000000000000028</v>
      </c>
      <c r="X66" s="61">
        <f t="shared" si="29"/>
        <v>262</v>
      </c>
      <c r="Y66" s="39">
        <f t="shared" si="29"/>
        <v>11.51</v>
      </c>
      <c r="Z66" s="61">
        <f t="shared" si="29"/>
        <v>4515</v>
      </c>
      <c r="AA66" s="39">
        <f t="shared" si="29"/>
        <v>-29720.75</v>
      </c>
      <c r="AB66" s="61">
        <f t="shared" si="29"/>
        <v>10000</v>
      </c>
      <c r="AC66" s="39">
        <f t="shared" si="29"/>
        <v>-32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-0.78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-12136</v>
      </c>
      <c r="AO66" s="39">
        <f t="shared" si="31"/>
        <v>4272.08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  <c r="AL70" s="133">
        <f>+Actuals!AI33</f>
        <v>0</v>
      </c>
      <c r="AM70" s="134">
        <f>+Actuals!AJ33</f>
        <v>0</v>
      </c>
      <c r="AN70" s="133">
        <f>+Actuals!AK33</f>
        <v>0</v>
      </c>
      <c r="AO70" s="134">
        <f>+Actuals!AL33</f>
        <v>0</v>
      </c>
      <c r="AP70" s="133">
        <f>+Actuals!AM33</f>
        <v>0</v>
      </c>
      <c r="AQ70" s="134">
        <f>+Actuals!AN33</f>
        <v>0</v>
      </c>
      <c r="AR70" s="133">
        <f>+Actuals!AO33</f>
        <v>0</v>
      </c>
      <c r="AS70" s="134">
        <f>+Actuals!AP33</f>
        <v>0</v>
      </c>
      <c r="AT70" s="133">
        <f>+Actuals!AQ33</f>
        <v>0</v>
      </c>
      <c r="AU70" s="134">
        <f>+Actuals!AR33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  <c r="AL71" s="133">
        <f>+Actuals!AI34</f>
        <v>0</v>
      </c>
      <c r="AM71" s="134">
        <f>+Actuals!AJ34</f>
        <v>0</v>
      </c>
      <c r="AN71" s="133">
        <f>+Actuals!AK34</f>
        <v>0</v>
      </c>
      <c r="AO71" s="134">
        <f>+Actuals!AL34</f>
        <v>0</v>
      </c>
      <c r="AP71" s="133">
        <f>+Actuals!AM34</f>
        <v>0</v>
      </c>
      <c r="AQ71" s="134">
        <f>+Actuals!AN34</f>
        <v>0</v>
      </c>
      <c r="AR71" s="133">
        <f>+Actuals!AO34</f>
        <v>0</v>
      </c>
      <c r="AS71" s="134">
        <f>+Actuals!AP34</f>
        <v>0</v>
      </c>
      <c r="AT71" s="133">
        <f>+Actuals!AQ34</f>
        <v>0</v>
      </c>
      <c r="AU71" s="134">
        <f>+Actuals!AR34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  <c r="AL73" s="133">
        <f>+Actuals!AI35</f>
        <v>0</v>
      </c>
      <c r="AM73" s="134">
        <f>+Actuals!AJ35</f>
        <v>0</v>
      </c>
      <c r="AN73" s="133">
        <f>+Actuals!AK35</f>
        <v>0</v>
      </c>
      <c r="AO73" s="134">
        <f>+Actuals!AL35</f>
        <v>0</v>
      </c>
      <c r="AP73" s="133">
        <f>+Actuals!AM35</f>
        <v>0</v>
      </c>
      <c r="AQ73" s="134">
        <f>+Actuals!AN35</f>
        <v>0</v>
      </c>
      <c r="AR73" s="133">
        <f>+Actuals!AO35</f>
        <v>0</v>
      </c>
      <c r="AS73" s="134">
        <f>+Actuals!AP35</f>
        <v>0</v>
      </c>
      <c r="AT73" s="133">
        <f>+Actuals!AQ35</f>
        <v>0</v>
      </c>
      <c r="AU73" s="134">
        <f>+Actuals!AR35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987000</v>
      </c>
      <c r="F74" s="60">
        <f>'TIE-OUT'!P74+RECLASS!P74</f>
        <v>0</v>
      </c>
      <c r="G74" s="60">
        <f>'TIE-OUT'!Q74+RECLASS!Q74</f>
        <v>987000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  <c r="AL74" s="133">
        <f>+Actuals!AI36</f>
        <v>0</v>
      </c>
      <c r="AM74" s="134">
        <f>+Actuals!AJ36</f>
        <v>0</v>
      </c>
      <c r="AN74" s="133">
        <f>+Actuals!AK36</f>
        <v>0</v>
      </c>
      <c r="AO74" s="134">
        <f>+Actuals!AL36</f>
        <v>0</v>
      </c>
      <c r="AP74" s="133">
        <f>+Actuals!AM36</f>
        <v>0</v>
      </c>
      <c r="AQ74" s="134">
        <f>+Actuals!AN36</f>
        <v>0</v>
      </c>
      <c r="AR74" s="133">
        <f>+Actuals!AO36</f>
        <v>0</v>
      </c>
      <c r="AS74" s="134">
        <f>+Actuals!AP36</f>
        <v>0</v>
      </c>
      <c r="AT74" s="133">
        <f>+Actuals!AQ36</f>
        <v>0</v>
      </c>
      <c r="AU74" s="134">
        <f>+Actuals!AR36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  <c r="AL75" s="133">
        <f>+Actuals!AI37</f>
        <v>0</v>
      </c>
      <c r="AM75" s="134">
        <f>+Actuals!AJ37</f>
        <v>0</v>
      </c>
      <c r="AN75" s="133">
        <f>+Actuals!AK37</f>
        <v>0</v>
      </c>
      <c r="AO75" s="134">
        <f>+Actuals!AL37</f>
        <v>0</v>
      </c>
      <c r="AP75" s="133">
        <f>+Actuals!AM37</f>
        <v>0</v>
      </c>
      <c r="AQ75" s="134">
        <f>+Actuals!AN37</f>
        <v>0</v>
      </c>
      <c r="AR75" s="133">
        <f>+Actuals!AO37</f>
        <v>0</v>
      </c>
      <c r="AS75" s="134">
        <f>+Actuals!AP37</f>
        <v>0</v>
      </c>
      <c r="AT75" s="133">
        <f>+Actuals!AQ37</f>
        <v>0</v>
      </c>
      <c r="AU75" s="134">
        <f>+Actuals!AR37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  <c r="AL76" s="133">
        <f>+Actuals!AI38</f>
        <v>0</v>
      </c>
      <c r="AM76" s="134">
        <f>+Actuals!AJ38</f>
        <v>0</v>
      </c>
      <c r="AN76" s="133">
        <f>+Actuals!AK38</f>
        <v>0</v>
      </c>
      <c r="AO76" s="134">
        <f>+Actuals!AL38</f>
        <v>0</v>
      </c>
      <c r="AP76" s="133">
        <f>+Actuals!AM38</f>
        <v>0</v>
      </c>
      <c r="AQ76" s="134">
        <f>+Actuals!AN38</f>
        <v>0</v>
      </c>
      <c r="AR76" s="133">
        <f>+Actuals!AO38</f>
        <v>0</v>
      </c>
      <c r="AS76" s="134">
        <f>+Actuals!AP38</f>
        <v>0</v>
      </c>
      <c r="AT76" s="133">
        <f>+Actuals!AQ38</f>
        <v>0</v>
      </c>
      <c r="AU76" s="134">
        <f>+Actuals!AR38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  <c r="AL77" s="133">
        <f>+Actuals!AI39</f>
        <v>0</v>
      </c>
      <c r="AM77" s="134">
        <f>+Actuals!AJ39</f>
        <v>0</v>
      </c>
      <c r="AN77" s="133">
        <f>+Actuals!AK39</f>
        <v>0</v>
      </c>
      <c r="AO77" s="134">
        <f>+Actuals!AL39</f>
        <v>0</v>
      </c>
      <c r="AP77" s="133">
        <f>+Actuals!AM39</f>
        <v>0</v>
      </c>
      <c r="AQ77" s="134">
        <f>+Actuals!AN39</f>
        <v>0</v>
      </c>
      <c r="AR77" s="133">
        <f>+Actuals!AO39</f>
        <v>0</v>
      </c>
      <c r="AS77" s="134">
        <f>+Actuals!AP39</f>
        <v>0</v>
      </c>
      <c r="AT77" s="133">
        <f>+Actuals!AQ39</f>
        <v>0</v>
      </c>
      <c r="AU77" s="134">
        <f>+Actuals!AR39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  <c r="AL78" s="133">
        <f>+Actuals!AI40</f>
        <v>0</v>
      </c>
      <c r="AM78" s="134">
        <f>+Actuals!AJ40</f>
        <v>0</v>
      </c>
      <c r="AN78" s="133">
        <f>+Actuals!AK40</f>
        <v>0</v>
      </c>
      <c r="AO78" s="134">
        <f>+Actuals!AL40</f>
        <v>0</v>
      </c>
      <c r="AP78" s="133">
        <f>+Actuals!AM40</f>
        <v>0</v>
      </c>
      <c r="AQ78" s="134">
        <f>+Actuals!AN40</f>
        <v>0</v>
      </c>
      <c r="AR78" s="133">
        <f>+Actuals!AO40</f>
        <v>0</v>
      </c>
      <c r="AS78" s="134">
        <f>+Actuals!AP40</f>
        <v>0</v>
      </c>
      <c r="AT78" s="133">
        <f>+Actuals!AQ40</f>
        <v>0</v>
      </c>
      <c r="AU78" s="134">
        <f>+Actuals!AR40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  <c r="AL79" s="133">
        <f>+Actuals!AI41</f>
        <v>0</v>
      </c>
      <c r="AM79" s="134">
        <f>+Actuals!AJ41</f>
        <v>0</v>
      </c>
      <c r="AN79" s="133">
        <f>+Actuals!AK41</f>
        <v>0</v>
      </c>
      <c r="AO79" s="134">
        <f>+Actuals!AL41</f>
        <v>0</v>
      </c>
      <c r="AP79" s="133">
        <f>+Actuals!AM41</f>
        <v>0</v>
      </c>
      <c r="AQ79" s="134">
        <f>+Actuals!AN41</f>
        <v>0</v>
      </c>
      <c r="AR79" s="133">
        <f>+Actuals!AO41</f>
        <v>0</v>
      </c>
      <c r="AS79" s="134">
        <f>+Actuals!AP41</f>
        <v>0</v>
      </c>
      <c r="AT79" s="133">
        <f>+Actuals!AQ41</f>
        <v>0</v>
      </c>
      <c r="AU79" s="134">
        <f>+Actuals!AR41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  <c r="AL80" s="133">
        <f>+Actuals!AI42</f>
        <v>0</v>
      </c>
      <c r="AM80" s="134">
        <f>+Actuals!AJ42</f>
        <v>0</v>
      </c>
      <c r="AN80" s="133">
        <f>+Actuals!AK42</f>
        <v>0</v>
      </c>
      <c r="AO80" s="134">
        <f>+Actuals!AL42</f>
        <v>0</v>
      </c>
      <c r="AP80" s="133">
        <f>+Actuals!AM42</f>
        <v>0</v>
      </c>
      <c r="AQ80" s="134">
        <f>+Actuals!AN42</f>
        <v>0</v>
      </c>
      <c r="AR80" s="133">
        <f>+Actuals!AO42</f>
        <v>0</v>
      </c>
      <c r="AS80" s="134">
        <f>+Actuals!AP42</f>
        <v>0</v>
      </c>
      <c r="AT80" s="133">
        <f>+Actuals!AQ42</f>
        <v>0</v>
      </c>
      <c r="AU80" s="134">
        <f>+Actuals!AR42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-34561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+Actuals!F43-34561</f>
        <v>-34561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  <c r="AL81" s="133">
        <f>+Actuals!AI43</f>
        <v>0</v>
      </c>
      <c r="AM81" s="134">
        <f>+Actuals!AJ43</f>
        <v>0</v>
      </c>
      <c r="AN81" s="133">
        <f>+Actuals!AK43</f>
        <v>0</v>
      </c>
      <c r="AO81" s="134">
        <f>+Actuals!AL43</f>
        <v>0</v>
      </c>
      <c r="AP81" s="133">
        <f>+Actuals!AM43</f>
        <v>0</v>
      </c>
      <c r="AQ81" s="134">
        <f>+Actuals!AN43</f>
        <v>0</v>
      </c>
      <c r="AR81" s="133">
        <f>+Actuals!AO43</f>
        <v>0</v>
      </c>
      <c r="AS81" s="134">
        <f>+Actuals!AP43</f>
        <v>0</v>
      </c>
      <c r="AT81" s="133">
        <f>+Actuals!AQ43</f>
        <v>0</v>
      </c>
      <c r="AU81" s="134">
        <f>+Actuals!AR43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-536554.61180000554</v>
      </c>
      <c r="F82" s="92">
        <f>F16+F24+F29+F36+F43+F45+F47+F49</f>
        <v>0</v>
      </c>
      <c r="G82" s="93">
        <f>SUM(G72:G81)+G16+G24+G29+G36+G43+G45+G47+G49+G51+G56+G61+G66</f>
        <v>-1707952.03</v>
      </c>
      <c r="H82" s="92">
        <f>H16+H24+H29+H36+H43+H45+H47+H49</f>
        <v>0</v>
      </c>
      <c r="I82" s="93">
        <f>SUM(I72:I81)+I16+I24+I29+I36+I43+I45+I47+I49+I51+I56+I61+I66</f>
        <v>3077220.7099999948</v>
      </c>
      <c r="J82" s="92">
        <f>J16+J24+J29+J36+J43+J45+J47+J49</f>
        <v>0</v>
      </c>
      <c r="K82" s="118">
        <f>SUM(K72:K81)+K16+K24+K29+K36+K43+K45+K47+K49+K51+K56+K61+K66</f>
        <v>-9554964.5375000034</v>
      </c>
      <c r="L82" s="92">
        <f>L16+L24+L29+L36+L43+L45+L47+L49</f>
        <v>0</v>
      </c>
      <c r="M82" s="93">
        <f>SUM(M72:M81)+M16+M24+M29+M36+M43+M45+M47+M49+M51+M56+M61+M66</f>
        <v>20047.439500000539</v>
      </c>
      <c r="N82" s="92">
        <f>N16+N24+N29+N36+N43+N45+N47+N49</f>
        <v>0</v>
      </c>
      <c r="O82" s="93">
        <f>SUM(O72:O81)+O16+O24+O29+O36+O43+O45+O47+O49+O51+O56+O61+O66</f>
        <v>7463552.3151999991</v>
      </c>
      <c r="P82" s="92">
        <f>P16+P24+P29+P36+P43+P45+P47+P49</f>
        <v>0</v>
      </c>
      <c r="Q82" s="93">
        <f>SUM(Q72:Q81)+Q16+Q24+Q29+Q36+Q43+Q45+Q47+Q49+Q51+Q56+Q61+Q66</f>
        <v>-14115.930399999997</v>
      </c>
      <c r="R82" s="92">
        <f>R16+R24+R29+R36+R43+R45+R47+R49</f>
        <v>0</v>
      </c>
      <c r="S82" s="93">
        <f>SUM(S72:S81)+S16+S24+S29+S36+S43+S45+S47+S49+S51+S56+S61+S66</f>
        <v>303794.43180000002</v>
      </c>
      <c r="T82" s="92">
        <f>T16+T24+T29+T36+T43+T45+T47+T49</f>
        <v>0</v>
      </c>
      <c r="U82" s="93">
        <f>SUM(U72:U81)+U16+U24+U29+U36+U43+U45+U47+U49+U51+U56+U61+U66</f>
        <v>-80581.887400000094</v>
      </c>
      <c r="V82" s="92">
        <f>V16+V24+V29+V36+V43+V45+V47+V49</f>
        <v>0</v>
      </c>
      <c r="W82" s="93">
        <f>SUM(W72:W81)+W16+W24+W29+W36+W43+W45+W47+W49+W51+W56+W61+W66</f>
        <v>-24312.435000000019</v>
      </c>
      <c r="X82" s="92">
        <f>X16+X24+X29+X36+X43+X45+X47+X49</f>
        <v>0</v>
      </c>
      <c r="Y82" s="93">
        <f>SUM(Y72:Y81)+Y16+Y24+Y29+Y36+Y43+Y45+Y47+Y49+Y51+Y56+Y61+Y66</f>
        <v>-15760.77420000002</v>
      </c>
      <c r="Z82" s="92">
        <f>Z16+Z24+Z29+Z36+Z43+Z45+Z47+Z49</f>
        <v>0</v>
      </c>
      <c r="AA82" s="93">
        <f>SUM(AA72:AA81)+AA16+AA24+AA29+AA36+AA43+AA45+AA47+AA49+AA51+AA56+AA61+AA66</f>
        <v>-29346.122799999997</v>
      </c>
      <c r="AB82" s="92">
        <f>AB16+AB24+AB29+AB36+AB43+AB45+AB47+AB49</f>
        <v>0</v>
      </c>
      <c r="AC82" s="93">
        <f>SUM(AC72:AC81)+AC16+AC24+AC29+AC36+AC43+AC45+AC47+AC49+AC51+AC56+AC61+AC66</f>
        <v>-9025.5109999999549</v>
      </c>
      <c r="AD82" s="92">
        <f>AD16+AD24+AD29+AD36+AD43+AD45+AD47+AD49</f>
        <v>0</v>
      </c>
      <c r="AE82" s="93">
        <f>SUM(AE72:AE81)+AE16+AE24+AE29+AE36+AE43+AE45+AE47+AE49+AE51+AE56+AE61+AE66</f>
        <v>100.47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15109.960000000001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-1950.11</v>
      </c>
      <c r="AN82" s="92">
        <f>AN16+AN24+AN29+AN36+AN43+AN45+AN47+AN49</f>
        <v>0</v>
      </c>
      <c r="AO82" s="93">
        <f>SUM(AO72:AO81)+AO16+AO24+AO29+AO36+AO43+AO45+AO47+AO49+AO51+AO56+AO61+AO66</f>
        <v>21629.400000000009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  <c r="C84" s="111" t="s">
        <v>107</v>
      </c>
    </row>
    <row r="85" spans="1:47" x14ac:dyDescent="0.25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  <c r="AM85" s="31">
        <v>0</v>
      </c>
      <c r="AO85" s="31">
        <v>0</v>
      </c>
      <c r="AQ85" s="31">
        <v>0</v>
      </c>
      <c r="AS85" s="31">
        <v>0</v>
      </c>
      <c r="AU85" s="31">
        <v>0</v>
      </c>
    </row>
    <row r="86" spans="1:47" x14ac:dyDescent="0.25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  <c r="AM86" s="31">
        <f>(AM51-AM85)*0.8929</f>
        <v>0</v>
      </c>
      <c r="AO86" s="31">
        <f>(AO51-AO85)*0.8929</f>
        <v>0</v>
      </c>
      <c r="AQ86" s="31">
        <f>(AQ51-AQ85)*0.8929</f>
        <v>0</v>
      </c>
      <c r="AS86" s="31">
        <f>(AS51-AS85)*0.8929</f>
        <v>0</v>
      </c>
      <c r="AU86" s="31">
        <f>(AU51-AU85)*0.8929</f>
        <v>0</v>
      </c>
    </row>
    <row r="87" spans="1:47" x14ac:dyDescent="0.25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  <c r="AM87" s="31">
        <f>(AM51-AM85)*0.1071</f>
        <v>0</v>
      </c>
      <c r="AO87" s="31">
        <f>(AO51-AO85)*0.1071</f>
        <v>0</v>
      </c>
      <c r="AQ87" s="31">
        <f>(AQ51-AQ85)*0.1071</f>
        <v>0</v>
      </c>
      <c r="AS87" s="31">
        <f>(AS51-AS85)*0.1071</f>
        <v>0</v>
      </c>
      <c r="AU87" s="31">
        <f>(AU51-AU85)*0.1071</f>
        <v>0</v>
      </c>
    </row>
    <row r="88" spans="1:47" ht="13.8" thickBot="1" x14ac:dyDescent="0.3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  <c r="AM88" s="115">
        <f>SUM(AM85:AM87)</f>
        <v>0</v>
      </c>
      <c r="AO88" s="115">
        <f>SUM(AO85:AO87)</f>
        <v>0</v>
      </c>
      <c r="AQ88" s="115">
        <f>SUM(AQ85:AQ87)</f>
        <v>0</v>
      </c>
      <c r="AS88" s="115">
        <f>SUM(AS85:AS87)</f>
        <v>0</v>
      </c>
      <c r="AU88" s="115">
        <f>SUM(AU85:AU87)</f>
        <v>0</v>
      </c>
    </row>
    <row r="89" spans="1:47" ht="13.8" thickTop="1" x14ac:dyDescent="0.25">
      <c r="A89" s="4"/>
      <c r="B89" s="3"/>
      <c r="E89" s="37"/>
    </row>
    <row r="90" spans="1:47" x14ac:dyDescent="0.25">
      <c r="A90" s="4"/>
      <c r="B90" s="3"/>
      <c r="C90" s="3" t="s">
        <v>111</v>
      </c>
      <c r="E90" s="31">
        <f>SUM(F90:AE90)</f>
        <v>14317.26</v>
      </c>
      <c r="I90" s="45">
        <f>I54</f>
        <v>14564.58</v>
      </c>
      <c r="K90" s="155">
        <f>K54</f>
        <v>-247.32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  <c r="AM90" s="45">
        <f>AM54</f>
        <v>0</v>
      </c>
      <c r="AO90" s="45">
        <f>AO54</f>
        <v>0</v>
      </c>
      <c r="AQ90" s="45">
        <f>AQ54</f>
        <v>0</v>
      </c>
      <c r="AS90" s="45">
        <f>AS54</f>
        <v>0</v>
      </c>
      <c r="AU90" s="45">
        <f>AU54</f>
        <v>0</v>
      </c>
    </row>
    <row r="91" spans="1:47" x14ac:dyDescent="0.25">
      <c r="A91" s="4"/>
      <c r="B91" s="3"/>
      <c r="C91" s="116" t="s">
        <v>112</v>
      </c>
      <c r="E91" s="31">
        <f>SUM(F91:AE91)</f>
        <v>-603096</v>
      </c>
      <c r="I91" s="45">
        <f>I55</f>
        <v>0</v>
      </c>
      <c r="K91" s="155">
        <f>K55</f>
        <v>0</v>
      </c>
      <c r="M91" s="45">
        <f>M55</f>
        <v>0</v>
      </c>
      <c r="O91" s="45">
        <f>O55</f>
        <v>-823333</v>
      </c>
      <c r="Q91" s="45">
        <f>Q55</f>
        <v>0</v>
      </c>
      <c r="S91" s="45">
        <f>S55</f>
        <v>220237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  <c r="AM91" s="45">
        <f>AM55</f>
        <v>0</v>
      </c>
      <c r="AO91" s="45">
        <f>AO55</f>
        <v>0</v>
      </c>
      <c r="AQ91" s="45">
        <f>AQ55</f>
        <v>0</v>
      </c>
      <c r="AS91" s="45">
        <f>AS55</f>
        <v>0</v>
      </c>
      <c r="AU91" s="45">
        <f>AU55</f>
        <v>0</v>
      </c>
    </row>
    <row r="92" spans="1:47" ht="13.8" thickBot="1" x14ac:dyDescent="0.3">
      <c r="A92" s="4"/>
      <c r="B92" s="3"/>
      <c r="C92" s="114" t="s">
        <v>113</v>
      </c>
      <c r="E92" s="115">
        <f>SUM(E90:E91)</f>
        <v>-588778.74</v>
      </c>
    </row>
    <row r="93" spans="1:47" ht="13.8" thickTop="1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CA187"/>
  <sheetViews>
    <sheetView zoomScale="75" workbookViewId="0">
      <pane xSplit="3" ySplit="9" topLeftCell="F76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36686916</v>
      </c>
      <c r="E11" s="38">
        <f t="shared" si="0"/>
        <v>75114253.480000004</v>
      </c>
      <c r="F11" s="60">
        <f>('TIE-OUT'!P11+'TIE-OUT'!R11)+(RECLASS!P11+RECLASS!R11)</f>
        <v>0</v>
      </c>
      <c r="G11" s="38">
        <f>('TIE-OUT'!Q11+'TIE-OUT'!S11)+(RECLASS!Q11+RECLASS!S11)</f>
        <v>0</v>
      </c>
      <c r="H11" s="60">
        <f>'TX-EGM-GL'!H11+'TX-HPL-GL '!H11</f>
        <v>35865048</v>
      </c>
      <c r="I11" s="38">
        <f>'TX-EGM-GL'!I11+'TX-HPL-GL '!I11</f>
        <v>74705673.439999998</v>
      </c>
      <c r="J11" s="60">
        <f>'TX-EGM-GL'!J11+'TX-HPL-GL '!J11</f>
        <v>-2154671</v>
      </c>
      <c r="K11" s="38">
        <f>'TX-EGM-GL'!K11+'TX-HPL-GL '!K11</f>
        <v>-5792654.5700000003</v>
      </c>
      <c r="L11" s="60">
        <f>'TX-EGM-GL'!L11+'TX-HPL-GL '!L11</f>
        <v>-1007829</v>
      </c>
      <c r="M11" s="38">
        <f>'TX-EGM-GL'!M11+'TX-HPL-GL '!M11</f>
        <v>-1095189.9200000002</v>
      </c>
      <c r="N11" s="60">
        <f>'TX-EGM-GL'!N11+'TX-HPL-GL '!N11</f>
        <v>658764</v>
      </c>
      <c r="O11" s="38">
        <f>'TX-EGM-GL'!O11+'TX-HPL-GL '!O11</f>
        <v>1363675.81</v>
      </c>
      <c r="P11" s="60">
        <f>'TX-EGM-GL'!P11+'TX-HPL-GL '!P11</f>
        <v>75391</v>
      </c>
      <c r="Q11" s="38">
        <f>'TX-EGM-GL'!Q11+'TX-HPL-GL '!Q11</f>
        <v>155275.54</v>
      </c>
      <c r="R11" s="60">
        <f>'TX-EGM-GL'!R11+'TX-HPL-GL '!R11</f>
        <v>384641</v>
      </c>
      <c r="S11" s="38">
        <f>'TX-EGM-GL'!S11+'TX-HPL-GL '!S11</f>
        <v>690728.8</v>
      </c>
      <c r="T11" s="60">
        <f>'TX-EGM-GL'!T11+'TX-HPL-GL '!T11</f>
        <v>2551990</v>
      </c>
      <c r="U11" s="38">
        <f>'TX-EGM-GL'!U11+'TX-HPL-GL '!U11</f>
        <v>4493994.4400000004</v>
      </c>
      <c r="V11" s="60">
        <f>'TX-EGM-GL'!V11+'TX-HPL-GL '!V11</f>
        <v>57949</v>
      </c>
      <c r="W11" s="38">
        <f>'TX-EGM-GL'!W11+'TX-HPL-GL '!W11</f>
        <v>156605.77000000002</v>
      </c>
      <c r="X11" s="60">
        <f>'TX-EGM-GL'!X11+'TX-HPL-GL '!X11</f>
        <v>162025</v>
      </c>
      <c r="Y11" s="38">
        <f>'TX-EGM-GL'!Y11+'TX-HPL-GL '!Y11</f>
        <v>266147.88999999996</v>
      </c>
      <c r="Z11" s="60">
        <f>'TX-EGM-GL'!Z11+'TX-HPL-GL '!Z11</f>
        <v>8542</v>
      </c>
      <c r="AA11" s="38">
        <f>'TX-EGM-GL'!AA11+'TX-HPL-GL '!AA11</f>
        <v>14471.48</v>
      </c>
      <c r="AB11" s="60">
        <f>'TX-EGM-GL'!AB11+'TX-HPL-GL '!AB11</f>
        <v>-44</v>
      </c>
      <c r="AC11" s="38">
        <f>'TX-EGM-GL'!AC11+'TX-HPL-GL '!AC11</f>
        <v>-750.36</v>
      </c>
      <c r="AD11" s="60">
        <f>'TX-EGM-GL'!AD11+'TX-HPL-GL '!AD11</f>
        <v>0</v>
      </c>
      <c r="AE11" s="38">
        <f>'TX-EGM-GL'!AE11+'TX-HPL-GL '!AE11</f>
        <v>100.47</v>
      </c>
      <c r="AF11" s="60">
        <f>'TX-EGM-GL'!AN11+'TX-HPL-GL '!AN11</f>
        <v>85110</v>
      </c>
      <c r="AG11" s="38">
        <f>'TX-EGM-GL'!AO11+'TX-HPL-GL '!AO11</f>
        <v>156174.69</v>
      </c>
      <c r="AH11" s="60">
        <f>'TX-EGM-GL'!AR11+'TX-HPL-GL '!AR11</f>
        <v>0</v>
      </c>
      <c r="AI11" s="38">
        <f>'TX-EGM-GL'!AS11+'TX-HPL-GL '!AS11</f>
        <v>0</v>
      </c>
      <c r="AJ11" s="60">
        <f>'TX-EGM-GL'!AV11+'TX-HPL-GL '!AV11</f>
        <v>0</v>
      </c>
      <c r="AK11" s="38">
        <f>'TX-EGM-GL'!AW11+'TX-HPL-GL '!AW11</f>
        <v>0</v>
      </c>
      <c r="AL11" s="60">
        <f>'TX-EGM-GL'!AX11+'TX-HPL-GL '!AX11</f>
        <v>0</v>
      </c>
      <c r="AM11" s="38">
        <f>'TX-EGM-GL'!AY11+'TX-HPL-GL '!AY11</f>
        <v>0</v>
      </c>
      <c r="AN11" s="60">
        <f>'TX-EGM-GL'!AZ11+'TX-HPL-GL '!AZ11</f>
        <v>0</v>
      </c>
      <c r="AO11" s="38">
        <f>'TX-EGM-GL'!BA11+'TX-HPL-GL '!BA11</f>
        <v>0</v>
      </c>
      <c r="AP11" s="60">
        <f>'TX-EGM-GL'!BB11+'TX-HPL-GL '!BB11</f>
        <v>0</v>
      </c>
      <c r="AQ11" s="38">
        <f>'TX-EGM-GL'!BC11+'TX-HPL-GL '!BC11</f>
        <v>0</v>
      </c>
      <c r="AR11" s="60">
        <f>'TX-EGM-GL'!BD11+'TX-HPL-GL '!BD11</f>
        <v>0</v>
      </c>
      <c r="AS11" s="38">
        <f>'TX-EGM-GL'!BE11+'TX-HPL-GL '!BE11</f>
        <v>0</v>
      </c>
      <c r="AT11" s="60">
        <f>'TX-EGM-GL'!BF11+'TX-HPL-GL '!BF11</f>
        <v>0</v>
      </c>
      <c r="AU11" s="38">
        <f>'TX-EGM-GL'!BG11+'TX-HPL-GL '!BG11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-11120823.210000001</v>
      </c>
      <c r="F12" s="60">
        <f>('TIE-OUT'!P12+'TIE-OUT'!R12)+(RECLASS!P12+RECLASS!R12)</f>
        <v>0</v>
      </c>
      <c r="G12" s="38">
        <f>('TIE-OUT'!Q12+'TIE-OUT'!S12)+(RECLASS!Q12+RECLASS!S12)</f>
        <v>-11120823.210000001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'TX-EGM-GL'!AN12+'TX-HPL-GL '!AN12</f>
        <v>0</v>
      </c>
      <c r="AG12" s="38">
        <f>'TX-EGM-GL'!AO12+'TX-HPL-GL '!AO12</f>
        <v>0</v>
      </c>
      <c r="AH12" s="60">
        <f>'TX-EGM-GL'!AR12+'TX-HPL-GL '!AR12</f>
        <v>0</v>
      </c>
      <c r="AI12" s="38">
        <f>'TX-EGM-GL'!AS12+'TX-HPL-GL '!AS12</f>
        <v>0</v>
      </c>
      <c r="AJ12" s="60">
        <f>'TX-EGM-GL'!AV12+'TX-HPL-GL '!AV12</f>
        <v>0</v>
      </c>
      <c r="AK12" s="38">
        <f>'TX-EGM-GL'!AW12+'TX-HPL-GL '!AW12</f>
        <v>0</v>
      </c>
      <c r="AL12" s="60">
        <f>'TX-EGM-GL'!AX12+'TX-HPL-GL '!AX12</f>
        <v>0</v>
      </c>
      <c r="AM12" s="38">
        <f>'TX-EGM-GL'!AY12+'TX-HPL-GL '!AY12</f>
        <v>0</v>
      </c>
      <c r="AN12" s="60">
        <f>'TX-EGM-GL'!AZ12+'TX-HPL-GL '!AZ12</f>
        <v>0</v>
      </c>
      <c r="AO12" s="38">
        <f>'TX-EGM-GL'!BA12+'TX-HPL-GL '!BA12</f>
        <v>0</v>
      </c>
      <c r="AP12" s="60">
        <f>'TX-EGM-GL'!BB12+'TX-HPL-GL '!BB12</f>
        <v>0</v>
      </c>
      <c r="AQ12" s="38">
        <f>'TX-EGM-GL'!BC12+'TX-HPL-GL '!BC12</f>
        <v>0</v>
      </c>
      <c r="AR12" s="60">
        <f>'TX-EGM-GL'!BD12+'TX-HPL-GL '!BD12</f>
        <v>0</v>
      </c>
      <c r="AS12" s="38">
        <f>'TX-EGM-GL'!BE12+'TX-HPL-GL '!BE12</f>
        <v>0</v>
      </c>
      <c r="AT12" s="60">
        <f>'TX-EGM-GL'!BF12+'TX-HPL-GL '!BF12</f>
        <v>0</v>
      </c>
      <c r="AU12" s="38">
        <f>'TX-EGM-GL'!BG12+'TX-HPL-GL '!BG12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2871933</v>
      </c>
      <c r="E13" s="38">
        <f t="shared" si="0"/>
        <v>4876788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1181827</v>
      </c>
      <c r="I13" s="38">
        <f>'TX-EGM-GL'!I13+'TX-HPL-GL '!I13</f>
        <v>2001964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-219516</v>
      </c>
      <c r="M13" s="38">
        <f>'TX-EGM-GL'!M13+'TX-HPL-GL '!M13</f>
        <v>-368409</v>
      </c>
      <c r="N13" s="60">
        <f>'TX-EGM-GL'!N13+'TX-HPL-GL '!N13</f>
        <v>0</v>
      </c>
      <c r="O13" s="38">
        <f>'TX-EGM-GL'!O13+'TX-HPL-GL '!O13</f>
        <v>691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-5000</v>
      </c>
      <c r="U13" s="38">
        <f>'TX-EGM-GL'!U13+'TX-HPL-GL '!U13</f>
        <v>-8650</v>
      </c>
      <c r="V13" s="60">
        <f>'TX-EGM-GL'!V13+'TX-HPL-GL '!V13</f>
        <v>0</v>
      </c>
      <c r="W13" s="38">
        <f>'TX-EGM-GL'!W13+'TX-HPL-GL '!W13</f>
        <v>0</v>
      </c>
      <c r="X13" s="60">
        <f>'TX-EGM-GL'!X13+'TX-HPL-GL '!X13</f>
        <v>957311</v>
      </c>
      <c r="Y13" s="38">
        <f>'TX-EGM-GL'!Y13+'TX-HPL-GL '!Y13</f>
        <v>1625596</v>
      </c>
      <c r="Z13" s="60">
        <f>'TX-EGM-GL'!Z13+'TX-HPL-GL '!Z13</f>
        <v>957311</v>
      </c>
      <c r="AA13" s="38">
        <f>'TX-EGM-GL'!AA13+'TX-HPL-GL '!AA13</f>
        <v>1625596</v>
      </c>
      <c r="AB13" s="60">
        <f>'TX-EGM-GL'!AB13+'TX-HPL-GL '!AB13</f>
        <v>-1690106</v>
      </c>
      <c r="AC13" s="38">
        <f>'TX-EGM-GL'!AC13+'TX-HPL-GL '!AC13</f>
        <v>-2874824</v>
      </c>
      <c r="AD13" s="60">
        <f>'TX-EGM-GL'!AD13+'TX-HPL-GL '!AD13</f>
        <v>1690106</v>
      </c>
      <c r="AE13" s="38">
        <f>'TX-EGM-GL'!AE13+'TX-HPL-GL '!AE13</f>
        <v>2874824</v>
      </c>
      <c r="AF13" s="60">
        <f>'TX-EGM-GL'!AN13+'TX-HPL-GL '!AN13</f>
        <v>0</v>
      </c>
      <c r="AG13" s="38">
        <f>'TX-EGM-GL'!AO13+'TX-HPL-GL '!AO13</f>
        <v>0</v>
      </c>
      <c r="AH13" s="60">
        <f>'TX-EGM-GL'!AR13+'TX-HPL-GL '!AR13</f>
        <v>0</v>
      </c>
      <c r="AI13" s="38">
        <f>'TX-EGM-GL'!AS13+'TX-HPL-GL '!AS13</f>
        <v>0</v>
      </c>
      <c r="AJ13" s="60">
        <f>'TX-EGM-GL'!AV13+'TX-HPL-GL '!AV13</f>
        <v>0</v>
      </c>
      <c r="AK13" s="38">
        <f>'TX-EGM-GL'!AW13+'TX-HPL-GL '!AW13</f>
        <v>0</v>
      </c>
      <c r="AL13" s="60">
        <f>'TX-EGM-GL'!AX13+'TX-HPL-GL '!AX13</f>
        <v>0</v>
      </c>
      <c r="AM13" s="38">
        <f>'TX-EGM-GL'!AY13+'TX-HPL-GL '!AY13</f>
        <v>0</v>
      </c>
      <c r="AN13" s="60">
        <f>'TX-EGM-GL'!AZ13+'TX-HPL-GL '!AZ13</f>
        <v>0</v>
      </c>
      <c r="AO13" s="38">
        <f>'TX-EGM-GL'!BA13+'TX-HPL-GL '!BA13</f>
        <v>0</v>
      </c>
      <c r="AP13" s="60">
        <f>'TX-EGM-GL'!BB13+'TX-HPL-GL '!BB13</f>
        <v>0</v>
      </c>
      <c r="AQ13" s="38">
        <f>'TX-EGM-GL'!BC13+'TX-HPL-GL '!BC13</f>
        <v>0</v>
      </c>
      <c r="AR13" s="60">
        <f>'TX-EGM-GL'!BD13+'TX-HPL-GL '!BD13</f>
        <v>0</v>
      </c>
      <c r="AS13" s="38">
        <f>'TX-EGM-GL'!BE13+'TX-HPL-GL '!BE13</f>
        <v>0</v>
      </c>
      <c r="AT13" s="60">
        <f>'TX-EGM-GL'!BF13+'TX-HPL-GL '!BF13</f>
        <v>0</v>
      </c>
      <c r="AU13" s="38">
        <f>'TX-EGM-GL'!BG13+'TX-HPL-GL '!BG13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'TX-EGM-GL'!AN14+'TX-HPL-GL '!AN14</f>
        <v>0</v>
      </c>
      <c r="AG14" s="38">
        <f>'TX-EGM-GL'!AO14+'TX-HPL-GL '!AO14</f>
        <v>0</v>
      </c>
      <c r="AH14" s="60">
        <f>'TX-EGM-GL'!AR14+'TX-HPL-GL '!AR14</f>
        <v>0</v>
      </c>
      <c r="AI14" s="38">
        <f>'TX-EGM-GL'!AS14+'TX-HPL-GL '!AS14</f>
        <v>0</v>
      </c>
      <c r="AJ14" s="60">
        <f>'TX-EGM-GL'!AV14+'TX-HPL-GL '!AV14</f>
        <v>0</v>
      </c>
      <c r="AK14" s="38">
        <f>'TX-EGM-GL'!AW14+'TX-HPL-GL '!AW14</f>
        <v>0</v>
      </c>
      <c r="AL14" s="60">
        <f>'TX-EGM-GL'!AX14+'TX-HPL-GL '!AX14</f>
        <v>0</v>
      </c>
      <c r="AM14" s="38">
        <f>'TX-EGM-GL'!AY14+'TX-HPL-GL '!AY14</f>
        <v>0</v>
      </c>
      <c r="AN14" s="60">
        <f>'TX-EGM-GL'!AZ14+'TX-HPL-GL '!AZ14</f>
        <v>0</v>
      </c>
      <c r="AO14" s="38">
        <f>'TX-EGM-GL'!BA14+'TX-HPL-GL '!BA14</f>
        <v>0</v>
      </c>
      <c r="AP14" s="60">
        <f>'TX-EGM-GL'!BB14+'TX-HPL-GL '!BB14</f>
        <v>0</v>
      </c>
      <c r="AQ14" s="38">
        <f>'TX-EGM-GL'!BC14+'TX-HPL-GL '!BC14</f>
        <v>0</v>
      </c>
      <c r="AR14" s="60">
        <f>'TX-EGM-GL'!BD14+'TX-HPL-GL '!BD14</f>
        <v>0</v>
      </c>
      <c r="AS14" s="38">
        <f>'TX-EGM-GL'!BE14+'TX-HPL-GL '!BE14</f>
        <v>0</v>
      </c>
      <c r="AT14" s="60">
        <f>'TX-EGM-GL'!BF14+'TX-HPL-GL '!BF14</f>
        <v>0</v>
      </c>
      <c r="AU14" s="38">
        <f>'TX-EGM-GL'!BG14+'TX-HPL-GL '!BG14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'TX-EGM-GL'!AN15+'TX-HPL-GL '!AN15</f>
        <v>0</v>
      </c>
      <c r="AG15" s="38">
        <f>'TX-EGM-GL'!AO15+'TX-HPL-GL '!AO15</f>
        <v>0</v>
      </c>
      <c r="AH15" s="60">
        <f>'TX-EGM-GL'!AR15+'TX-HPL-GL '!AR15</f>
        <v>0</v>
      </c>
      <c r="AI15" s="38">
        <f>'TX-EGM-GL'!AS15+'TX-HPL-GL '!AS15</f>
        <v>0</v>
      </c>
      <c r="AJ15" s="60">
        <f>'TX-EGM-GL'!AV15+'TX-HPL-GL '!AV15</f>
        <v>0</v>
      </c>
      <c r="AK15" s="38">
        <f>'TX-EGM-GL'!AW15+'TX-HPL-GL '!AW15</f>
        <v>0</v>
      </c>
      <c r="AL15" s="60">
        <f>'TX-EGM-GL'!AX15+'TX-HPL-GL '!AX15</f>
        <v>0</v>
      </c>
      <c r="AM15" s="38">
        <f>'TX-EGM-GL'!AY15+'TX-HPL-GL '!AY15</f>
        <v>0</v>
      </c>
      <c r="AN15" s="60">
        <f>'TX-EGM-GL'!AZ15+'TX-HPL-GL '!AZ15</f>
        <v>0</v>
      </c>
      <c r="AO15" s="38">
        <f>'TX-EGM-GL'!BA15+'TX-HPL-GL '!BA15</f>
        <v>0</v>
      </c>
      <c r="AP15" s="60">
        <f>'TX-EGM-GL'!BB15+'TX-HPL-GL '!BB15</f>
        <v>0</v>
      </c>
      <c r="AQ15" s="38">
        <f>'TX-EGM-GL'!BC15+'TX-HPL-GL '!BC15</f>
        <v>0</v>
      </c>
      <c r="AR15" s="60">
        <f>'TX-EGM-GL'!BD15+'TX-HPL-GL '!BD15</f>
        <v>0</v>
      </c>
      <c r="AS15" s="38">
        <f>'TX-EGM-GL'!BE15+'TX-HPL-GL '!BE15</f>
        <v>0</v>
      </c>
      <c r="AT15" s="60">
        <f>'TX-EGM-GL'!BF15+'TX-HPL-GL '!BF15</f>
        <v>0</v>
      </c>
      <c r="AU15" s="38">
        <f>'TX-EGM-GL'!BG15+'TX-HPL-GL '!BG15</f>
        <v>0</v>
      </c>
    </row>
    <row r="16" spans="1:47" x14ac:dyDescent="0.25">
      <c r="A16" s="9"/>
      <c r="B16" s="7" t="s">
        <v>34</v>
      </c>
      <c r="C16" s="6"/>
      <c r="D16" s="61">
        <f>SUM(D11:D15)</f>
        <v>39558849</v>
      </c>
      <c r="E16" s="39">
        <f>SUM(E11:E15)</f>
        <v>68870218.270000011</v>
      </c>
      <c r="F16" s="61">
        <f t="shared" ref="F16:AD16" si="1">SUM(F11:F15)</f>
        <v>0</v>
      </c>
      <c r="G16" s="39">
        <f t="shared" si="1"/>
        <v>-11120823.210000001</v>
      </c>
      <c r="H16" s="61">
        <f t="shared" si="1"/>
        <v>37046875</v>
      </c>
      <c r="I16" s="39">
        <f t="shared" si="1"/>
        <v>76707637.439999998</v>
      </c>
      <c r="J16" s="61">
        <f t="shared" si="1"/>
        <v>-2154671</v>
      </c>
      <c r="K16" s="39">
        <f t="shared" si="1"/>
        <v>-5792654.5700000003</v>
      </c>
      <c r="L16" s="61">
        <f t="shared" si="1"/>
        <v>-1227345</v>
      </c>
      <c r="M16" s="39">
        <f t="shared" si="1"/>
        <v>-1463598.9200000002</v>
      </c>
      <c r="N16" s="61">
        <f t="shared" si="1"/>
        <v>658764</v>
      </c>
      <c r="O16" s="39">
        <f t="shared" si="1"/>
        <v>1364366.81</v>
      </c>
      <c r="P16" s="61">
        <f t="shared" si="1"/>
        <v>75391</v>
      </c>
      <c r="Q16" s="39">
        <f t="shared" si="1"/>
        <v>155275.54</v>
      </c>
      <c r="R16" s="61">
        <f t="shared" si="1"/>
        <v>384641</v>
      </c>
      <c r="S16" s="39">
        <f t="shared" si="1"/>
        <v>690728.8</v>
      </c>
      <c r="T16" s="61">
        <f t="shared" si="1"/>
        <v>2546990</v>
      </c>
      <c r="U16" s="39">
        <f t="shared" ref="U16:AE16" si="2">SUM(U11:U15)</f>
        <v>4485344.4400000004</v>
      </c>
      <c r="V16" s="61">
        <f t="shared" si="1"/>
        <v>57949</v>
      </c>
      <c r="W16" s="39">
        <f t="shared" si="2"/>
        <v>156605.77000000002</v>
      </c>
      <c r="X16" s="61">
        <f t="shared" si="1"/>
        <v>1119336</v>
      </c>
      <c r="Y16" s="39">
        <f t="shared" si="2"/>
        <v>1891743.89</v>
      </c>
      <c r="Z16" s="61">
        <f t="shared" si="1"/>
        <v>965853</v>
      </c>
      <c r="AA16" s="39">
        <f t="shared" si="2"/>
        <v>1640067.48</v>
      </c>
      <c r="AB16" s="61">
        <f t="shared" si="1"/>
        <v>-1690150</v>
      </c>
      <c r="AC16" s="39">
        <f t="shared" si="2"/>
        <v>-2875574.36</v>
      </c>
      <c r="AD16" s="61">
        <f t="shared" si="1"/>
        <v>1690106</v>
      </c>
      <c r="AE16" s="39">
        <f t="shared" si="2"/>
        <v>2874924.47</v>
      </c>
      <c r="AF16" s="61">
        <f t="shared" ref="AF16:AK16" si="3">SUM(AF11:AF15)</f>
        <v>85110</v>
      </c>
      <c r="AG16" s="39">
        <f t="shared" si="3"/>
        <v>156174.69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-27216353</v>
      </c>
      <c r="E19" s="38">
        <f t="shared" si="5"/>
        <v>-47453964.909999989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-27308730</v>
      </c>
      <c r="I19" s="38">
        <f>'TX-EGM-GL'!I19+'TX-HPL-GL '!I19</f>
        <v>-38513975.759999998</v>
      </c>
      <c r="J19" s="60">
        <f>'TX-EGM-GL'!J19+'TX-HPL-GL '!J19</f>
        <v>28693101</v>
      </c>
      <c r="K19" s="38">
        <f>'TX-EGM-GL'!K19+'TX-HPL-GL '!K19</f>
        <v>41826772.280000001</v>
      </c>
      <c r="L19" s="60">
        <f>'TX-EGM-GL'!L19+'TX-HPL-GL '!L19</f>
        <v>-16452145</v>
      </c>
      <c r="M19" s="38">
        <f>'TX-EGM-GL'!M19+'TX-HPL-GL '!M19</f>
        <v>-29187656.160000004</v>
      </c>
      <c r="N19" s="60">
        <f>'TX-EGM-GL'!N19+'TX-HPL-GL '!N19</f>
        <v>-11791195</v>
      </c>
      <c r="O19" s="38">
        <f>'TX-EGM-GL'!O19+'TX-HPL-GL '!O19</f>
        <v>-20979307.989999998</v>
      </c>
      <c r="P19" s="60">
        <f>'TX-EGM-GL'!P19+'TX-HPL-GL '!P19</f>
        <v>-25133</v>
      </c>
      <c r="Q19" s="38">
        <f>'TX-EGM-GL'!Q19+'TX-HPL-GL '!Q19</f>
        <v>-47203.91</v>
      </c>
      <c r="R19" s="60">
        <f>'TX-EGM-GL'!R19+'TX-HPL-GL '!R19</f>
        <v>6585</v>
      </c>
      <c r="S19" s="38">
        <f>'TX-EGM-GL'!S19+'TX-HPL-GL '!S19</f>
        <v>13221.6</v>
      </c>
      <c r="T19" s="60">
        <f>'TX-EGM-GL'!T19+'TX-HPL-GL '!T19</f>
        <v>64900</v>
      </c>
      <c r="U19" s="38">
        <f>'TX-EGM-GL'!U19+'TX-HPL-GL '!U19</f>
        <v>124527.16</v>
      </c>
      <c r="V19" s="60">
        <f>'TX-EGM-GL'!V19+'TX-HPL-GL '!V19</f>
        <v>-129742</v>
      </c>
      <c r="W19" s="38">
        <f>'TX-EGM-GL'!W19+'TX-HPL-GL '!W19</f>
        <v>-226747.88999999998</v>
      </c>
      <c r="X19" s="60">
        <f>'TX-EGM-GL'!X19+'TX-HPL-GL '!X19</f>
        <v>-148473</v>
      </c>
      <c r="Y19" s="38">
        <f>'TX-EGM-GL'!Y19+'TX-HPL-GL '!Y19</f>
        <v>-259779.38999999998</v>
      </c>
      <c r="Z19" s="60">
        <f>'TX-EGM-GL'!Z19+'TX-HPL-GL '!Z19</f>
        <v>-48540</v>
      </c>
      <c r="AA19" s="38">
        <f>'TX-EGM-GL'!AA19+'TX-HPL-GL '!AA19</f>
        <v>-81674.320000000007</v>
      </c>
      <c r="AB19" s="60">
        <f>'TX-EGM-GL'!AB19+'TX-HPL-GL '!AB19</f>
        <v>44</v>
      </c>
      <c r="AC19" s="38">
        <f>'TX-EGM-GL'!AC19+'TX-HPL-GL '!AC19</f>
        <v>698.38000000000102</v>
      </c>
      <c r="AD19" s="60">
        <f>'TX-EGM-GL'!AD19+'TX-HPL-GL '!AD19</f>
        <v>0</v>
      </c>
      <c r="AE19" s="38">
        <f>'TX-EGM-GL'!AE19+'TX-HPL-GL '!AE19</f>
        <v>0</v>
      </c>
      <c r="AF19" s="60">
        <f>'TX-EGM-GL'!AN19+'TX-HPL-GL '!AN19</f>
        <v>-91269</v>
      </c>
      <c r="AG19" s="38">
        <f>'TX-EGM-GL'!AO19+'TX-HPL-GL '!AO19</f>
        <v>-149356.54</v>
      </c>
      <c r="AH19" s="60">
        <f>'TX-EGM-GL'!AR19+'TX-HPL-GL '!AR19</f>
        <v>14244</v>
      </c>
      <c r="AI19" s="38">
        <f>'TX-EGM-GL'!AS19+'TX-HPL-GL '!AS19</f>
        <v>26517.63</v>
      </c>
      <c r="AJ19" s="60">
        <f>'TX-EGM-GL'!AV19+'TX-HPL-GL '!AV19</f>
        <v>0</v>
      </c>
      <c r="AK19" s="38">
        <f>'TX-EGM-GL'!AW19+'TX-HPL-GL '!AW19</f>
        <v>0</v>
      </c>
      <c r="AL19" s="60">
        <f>'TX-EGM-GL'!AX19+'TX-HPL-GL '!AX19</f>
        <v>0</v>
      </c>
      <c r="AM19" s="38">
        <f>'TX-EGM-GL'!AY19+'TX-HPL-GL '!AY19</f>
        <v>0</v>
      </c>
      <c r="AN19" s="60">
        <f>'TX-EGM-GL'!AZ19+'TX-HPL-GL '!AZ19</f>
        <v>0</v>
      </c>
      <c r="AO19" s="38">
        <f>'TX-EGM-GL'!BA19+'TX-HPL-GL '!BA19</f>
        <v>0</v>
      </c>
      <c r="AP19" s="60">
        <f>'TX-EGM-GL'!BB19+'TX-HPL-GL '!BB19</f>
        <v>0</v>
      </c>
      <c r="AQ19" s="38">
        <f>'TX-EGM-GL'!BC19+'TX-HPL-GL '!BC19</f>
        <v>0</v>
      </c>
      <c r="AR19" s="60">
        <f>'TX-EGM-GL'!BD19+'TX-HPL-GL '!BD19</f>
        <v>0</v>
      </c>
      <c r="AS19" s="38">
        <f>'TX-EGM-GL'!BE19+'TX-HPL-GL '!BE19</f>
        <v>0</v>
      </c>
      <c r="AT19" s="60">
        <f>'TX-EGM-GL'!BF19+'TX-HPL-GL '!BF19</f>
        <v>0</v>
      </c>
      <c r="AU19" s="38">
        <f>'TX-EGM-GL'!BG19+'TX-HPL-GL '!BG19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1128857.28</v>
      </c>
      <c r="F20" s="60">
        <f>('TIE-OUT'!P20+'TIE-OUT'!R20)+(RECLASS!P20+RECLASS!R20)</f>
        <v>0</v>
      </c>
      <c r="G20" s="38">
        <f>('TIE-OUT'!Q20+'TIE-OUT'!S20)+(RECLASS!Q20+RECLASS!S20)</f>
        <v>1028694.26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-6719.98</v>
      </c>
      <c r="L20" s="60">
        <f>'TX-EGM-GL'!L20+'TX-HPL-GL '!L20</f>
        <v>0</v>
      </c>
      <c r="M20" s="38">
        <f>'TX-EGM-GL'!M20+'TX-HPL-GL '!M20</f>
        <v>11713</v>
      </c>
      <c r="N20" s="60">
        <f>'TX-EGM-GL'!N20+'TX-HPL-GL '!N20</f>
        <v>0</v>
      </c>
      <c r="O20" s="38">
        <f>'TX-EGM-GL'!O20+'TX-HPL-GL '!O20</f>
        <v>95170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'TX-EGM-GL'!AN20+'TX-HPL-GL '!AN20</f>
        <v>0</v>
      </c>
      <c r="AG20" s="38">
        <f>'TX-EGM-GL'!AO20+'TX-HPL-GL '!AO20</f>
        <v>0</v>
      </c>
      <c r="AH20" s="60">
        <f>'TX-EGM-GL'!AR20+'TX-HPL-GL '!AR20</f>
        <v>0</v>
      </c>
      <c r="AI20" s="38">
        <f>'TX-EGM-GL'!AS20+'TX-HPL-GL '!AS20</f>
        <v>0</v>
      </c>
      <c r="AJ20" s="60">
        <f>'TX-EGM-GL'!AV20+'TX-HPL-GL '!AV20</f>
        <v>0</v>
      </c>
      <c r="AK20" s="38">
        <f>'TX-EGM-GL'!AW20+'TX-HPL-GL '!AW20</f>
        <v>0</v>
      </c>
      <c r="AL20" s="60">
        <f>'TX-EGM-GL'!AX20+'TX-HPL-GL '!AX20</f>
        <v>0</v>
      </c>
      <c r="AM20" s="38">
        <f>'TX-EGM-GL'!AY20+'TX-HPL-GL '!AY20</f>
        <v>0</v>
      </c>
      <c r="AN20" s="60">
        <f>'TX-EGM-GL'!AZ20+'TX-HPL-GL '!AZ20</f>
        <v>0</v>
      </c>
      <c r="AO20" s="38">
        <f>'TX-EGM-GL'!BA20+'TX-HPL-GL '!BA20</f>
        <v>0</v>
      </c>
      <c r="AP20" s="60">
        <f>'TX-EGM-GL'!BB20+'TX-HPL-GL '!BB20</f>
        <v>0</v>
      </c>
      <c r="AQ20" s="38">
        <f>'TX-EGM-GL'!BC20+'TX-HPL-GL '!BC20</f>
        <v>0</v>
      </c>
      <c r="AR20" s="60">
        <f>'TX-EGM-GL'!BD20+'TX-HPL-GL '!BD20</f>
        <v>0</v>
      </c>
      <c r="AS20" s="38">
        <f>'TX-EGM-GL'!BE20+'TX-HPL-GL '!BE20</f>
        <v>0</v>
      </c>
      <c r="AT20" s="60">
        <f>'TX-EGM-GL'!BF20+'TX-HPL-GL '!BF20</f>
        <v>0</v>
      </c>
      <c r="AU20" s="38">
        <f>'TX-EGM-GL'!BG20+'TX-HPL-GL '!BG20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5"/>
        <v>-2958981</v>
      </c>
      <c r="E21" s="38">
        <f t="shared" si="5"/>
        <v>-5024106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-1331315</v>
      </c>
      <c r="I21" s="38">
        <f>'TX-EGM-GL'!I21+'TX-HPL-GL '!I21</f>
        <v>-2272147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282462</v>
      </c>
      <c r="M21" s="38">
        <f>'TX-EGM-GL'!M21+'TX-HPL-GL '!M21</f>
        <v>491526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4494</v>
      </c>
      <c r="Q21" s="38">
        <f>'TX-EGM-GL'!Q21+'TX-HPL-GL '!Q21</f>
        <v>7707</v>
      </c>
      <c r="R21" s="60">
        <f>'TX-EGM-GL'!R21+'TX-HPL-GL '!R21</f>
        <v>0</v>
      </c>
      <c r="S21" s="38">
        <f>'TX-EGM-GL'!S21+'TX-HPL-GL '!S21</f>
        <v>0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0</v>
      </c>
      <c r="W21" s="38">
        <f>'TX-EGM-GL'!W21+'TX-HPL-GL '!W21</f>
        <v>0</v>
      </c>
      <c r="X21" s="60">
        <f>'TX-EGM-GL'!X21+'TX-HPL-GL '!X21</f>
        <v>-957311</v>
      </c>
      <c r="Y21" s="38">
        <f>'TX-EGM-GL'!Y21+'TX-HPL-GL '!Y21</f>
        <v>-1625596</v>
      </c>
      <c r="Z21" s="60">
        <f>'TX-EGM-GL'!Z21+'TX-HPL-GL '!Z21</f>
        <v>-957311</v>
      </c>
      <c r="AA21" s="38">
        <f>'TX-EGM-GL'!AA21+'TX-HPL-GL '!AA21</f>
        <v>-1625596</v>
      </c>
      <c r="AB21" s="60">
        <f>'TX-EGM-GL'!AB21+'TX-HPL-GL '!AB21</f>
        <v>1627666</v>
      </c>
      <c r="AC21" s="38">
        <f>'TX-EGM-GL'!AC21+'TX-HPL-GL '!AC21</f>
        <v>2751959</v>
      </c>
      <c r="AD21" s="60">
        <f>'TX-EGM-GL'!AD21+'TX-HPL-GL '!AD21</f>
        <v>-1627666</v>
      </c>
      <c r="AE21" s="38">
        <f>'TX-EGM-GL'!AE21+'TX-HPL-GL '!AE21</f>
        <v>-2751959</v>
      </c>
      <c r="AF21" s="60">
        <f>'TX-EGM-GL'!AN21+'TX-HPL-GL '!AN21</f>
        <v>0</v>
      </c>
      <c r="AG21" s="38">
        <f>'TX-EGM-GL'!AO21+'TX-HPL-GL '!AO21</f>
        <v>0</v>
      </c>
      <c r="AH21" s="60">
        <f>'TX-EGM-GL'!AR21+'TX-HPL-GL '!AR21</f>
        <v>0</v>
      </c>
      <c r="AI21" s="38">
        <f>'TX-EGM-GL'!AS21+'TX-HPL-GL '!AS21</f>
        <v>0</v>
      </c>
      <c r="AJ21" s="60">
        <f>'TX-EGM-GL'!AV21+'TX-HPL-GL '!AV21</f>
        <v>0</v>
      </c>
      <c r="AK21" s="38">
        <f>'TX-EGM-GL'!AW21+'TX-HPL-GL '!AW21</f>
        <v>0</v>
      </c>
      <c r="AL21" s="60">
        <f>'TX-EGM-GL'!AX21+'TX-HPL-GL '!AX21</f>
        <v>0</v>
      </c>
      <c r="AM21" s="38">
        <f>'TX-EGM-GL'!AY21+'TX-HPL-GL '!AY21</f>
        <v>0</v>
      </c>
      <c r="AN21" s="60">
        <f>'TX-EGM-GL'!AZ21+'TX-HPL-GL '!AZ21</f>
        <v>0</v>
      </c>
      <c r="AO21" s="38">
        <f>'TX-EGM-GL'!BA21+'TX-HPL-GL '!BA21</f>
        <v>0</v>
      </c>
      <c r="AP21" s="60">
        <f>'TX-EGM-GL'!BB21+'TX-HPL-GL '!BB21</f>
        <v>0</v>
      </c>
      <c r="AQ21" s="38">
        <f>'TX-EGM-GL'!BC21+'TX-HPL-GL '!BC21</f>
        <v>0</v>
      </c>
      <c r="AR21" s="60">
        <f>'TX-EGM-GL'!BD21+'TX-HPL-GL '!BD21</f>
        <v>0</v>
      </c>
      <c r="AS21" s="38">
        <f>'TX-EGM-GL'!BE21+'TX-HPL-GL '!BE21</f>
        <v>0</v>
      </c>
      <c r="AT21" s="60">
        <f>'TX-EGM-GL'!BF21+'TX-HPL-GL '!BF21</f>
        <v>0</v>
      </c>
      <c r="AU21" s="38">
        <f>'TX-EGM-GL'!BG21+'TX-HPL-GL '!BG21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'TX-EGM-GL'!AN22+'TX-HPL-GL '!AN22</f>
        <v>0</v>
      </c>
      <c r="AG22" s="38">
        <f>'TX-EGM-GL'!AO22+'TX-HPL-GL '!AO22</f>
        <v>0</v>
      </c>
      <c r="AH22" s="60">
        <f>'TX-EGM-GL'!AR22+'TX-HPL-GL '!AR22</f>
        <v>0</v>
      </c>
      <c r="AI22" s="38">
        <f>'TX-EGM-GL'!AS22+'TX-HPL-GL '!AS22</f>
        <v>0</v>
      </c>
      <c r="AJ22" s="60">
        <f>'TX-EGM-GL'!AV22+'TX-HPL-GL '!AV22</f>
        <v>0</v>
      </c>
      <c r="AK22" s="38">
        <f>'TX-EGM-GL'!AW22+'TX-HPL-GL '!AW22</f>
        <v>0</v>
      </c>
      <c r="AL22" s="60">
        <f>'TX-EGM-GL'!AX22+'TX-HPL-GL '!AX22</f>
        <v>0</v>
      </c>
      <c r="AM22" s="38">
        <f>'TX-EGM-GL'!AY22+'TX-HPL-GL '!AY22</f>
        <v>0</v>
      </c>
      <c r="AN22" s="60">
        <f>'TX-EGM-GL'!AZ22+'TX-HPL-GL '!AZ22</f>
        <v>0</v>
      </c>
      <c r="AO22" s="38">
        <f>'TX-EGM-GL'!BA22+'TX-HPL-GL '!BA22</f>
        <v>0</v>
      </c>
      <c r="AP22" s="60">
        <f>'TX-EGM-GL'!BB22+'TX-HPL-GL '!BB22</f>
        <v>0</v>
      </c>
      <c r="AQ22" s="38">
        <f>'TX-EGM-GL'!BC22+'TX-HPL-GL '!BC22</f>
        <v>0</v>
      </c>
      <c r="AR22" s="60">
        <f>'TX-EGM-GL'!BD22+'TX-HPL-GL '!BD22</f>
        <v>0</v>
      </c>
      <c r="AS22" s="38">
        <f>'TX-EGM-GL'!BE22+'TX-HPL-GL '!BE22</f>
        <v>0</v>
      </c>
      <c r="AT22" s="60">
        <f>'TX-EGM-GL'!BF22+'TX-HPL-GL '!BF22</f>
        <v>0</v>
      </c>
      <c r="AU22" s="38">
        <f>'TX-EGM-GL'!BG22+'TX-HPL-GL '!BG22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5"/>
        <v>4992</v>
      </c>
      <c r="E23" s="38">
        <f t="shared" si="5"/>
        <v>9038.4700000000012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0</v>
      </c>
      <c r="I23" s="38">
        <f>'TX-EGM-GL'!I23+'TX-HPL-GL '!I23</f>
        <v>0</v>
      </c>
      <c r="J23" s="60">
        <f>'TX-EGM-GL'!J23+'TX-HPL-GL '!J23</f>
        <v>3148</v>
      </c>
      <c r="K23" s="38">
        <f>'TX-EGM-GL'!K23+'TX-HPL-GL '!K23</f>
        <v>5876</v>
      </c>
      <c r="L23" s="60">
        <f>'TX-EGM-GL'!L23+'TX-HPL-GL '!L23</f>
        <v>1807</v>
      </c>
      <c r="M23" s="38">
        <f>'TX-EGM-GL'!M23+'TX-HPL-GL '!M23</f>
        <v>3099.01</v>
      </c>
      <c r="N23" s="60">
        <f>'TX-EGM-GL'!N23+'TX-HPL-GL '!N23</f>
        <v>2</v>
      </c>
      <c r="O23" s="38">
        <f>'TX-EGM-GL'!O23+'TX-HPL-GL '!O23</f>
        <v>3.43</v>
      </c>
      <c r="P23" s="60">
        <f>'TX-EGM-GL'!P23+'TX-HPL-GL '!P23</f>
        <v>35</v>
      </c>
      <c r="Q23" s="38">
        <f>'TX-EGM-GL'!Q23+'TX-HPL-GL '!Q23</f>
        <v>60.03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'TX-EGM-GL'!AN23+'TX-HPL-GL '!AN23</f>
        <v>0</v>
      </c>
      <c r="AG23" s="38">
        <f>'TX-EGM-GL'!AO23+'TX-HPL-GL '!AO23</f>
        <v>0</v>
      </c>
      <c r="AH23" s="60">
        <f>'TX-EGM-GL'!AR23+'TX-HPL-GL '!AR23</f>
        <v>0</v>
      </c>
      <c r="AI23" s="38">
        <f>'TX-EGM-GL'!AS23+'TX-HPL-GL '!AS23</f>
        <v>0</v>
      </c>
      <c r="AJ23" s="60">
        <f>'TX-EGM-GL'!AV23+'TX-HPL-GL '!AV23</f>
        <v>0</v>
      </c>
      <c r="AK23" s="38">
        <f>'TX-EGM-GL'!AW23+'TX-HPL-GL '!AW23</f>
        <v>0</v>
      </c>
      <c r="AL23" s="60">
        <f>'TX-EGM-GL'!AX23+'TX-HPL-GL '!AX23</f>
        <v>0</v>
      </c>
      <c r="AM23" s="38">
        <f>'TX-EGM-GL'!AY23+'TX-HPL-GL '!AY23</f>
        <v>0</v>
      </c>
      <c r="AN23" s="60">
        <f>'TX-EGM-GL'!AZ23+'TX-HPL-GL '!AZ23</f>
        <v>0</v>
      </c>
      <c r="AO23" s="38">
        <f>'TX-EGM-GL'!BA23+'TX-HPL-GL '!BA23</f>
        <v>0</v>
      </c>
      <c r="AP23" s="60">
        <f>'TX-EGM-GL'!BB23+'TX-HPL-GL '!BB23</f>
        <v>0</v>
      </c>
      <c r="AQ23" s="38">
        <f>'TX-EGM-GL'!BC23+'TX-HPL-GL '!BC23</f>
        <v>0</v>
      </c>
      <c r="AR23" s="60">
        <f>'TX-EGM-GL'!BD23+'TX-HPL-GL '!BD23</f>
        <v>0</v>
      </c>
      <c r="AS23" s="38">
        <f>'TX-EGM-GL'!BE23+'TX-HPL-GL '!BE23</f>
        <v>0</v>
      </c>
      <c r="AT23" s="60">
        <f>'TX-EGM-GL'!BF23+'TX-HPL-GL '!BF23</f>
        <v>0</v>
      </c>
      <c r="AU23" s="38">
        <f>'TX-EGM-GL'!BG23+'TX-HPL-GL '!BG23</f>
        <v>0</v>
      </c>
    </row>
    <row r="24" spans="1:47" x14ac:dyDescent="0.25">
      <c r="A24" s="9"/>
      <c r="B24" s="7" t="s">
        <v>37</v>
      </c>
      <c r="C24" s="6"/>
      <c r="D24" s="61">
        <f>SUM(D19:D23)</f>
        <v>-30170342</v>
      </c>
      <c r="E24" s="39">
        <f>SUM(E19:E23)</f>
        <v>-51340175.159999989</v>
      </c>
      <c r="F24" s="61">
        <f t="shared" ref="F24:AD24" si="6">SUM(F19:F23)</f>
        <v>0</v>
      </c>
      <c r="G24" s="39">
        <f t="shared" si="6"/>
        <v>1028694.26</v>
      </c>
      <c r="H24" s="61">
        <f t="shared" si="6"/>
        <v>-28640045</v>
      </c>
      <c r="I24" s="39">
        <f t="shared" si="6"/>
        <v>-40786122.759999998</v>
      </c>
      <c r="J24" s="61">
        <f t="shared" si="6"/>
        <v>28696249</v>
      </c>
      <c r="K24" s="39">
        <f t="shared" si="6"/>
        <v>41825928.300000004</v>
      </c>
      <c r="L24" s="61">
        <f t="shared" si="6"/>
        <v>-16167876</v>
      </c>
      <c r="M24" s="39">
        <f t="shared" si="6"/>
        <v>-28681318.150000002</v>
      </c>
      <c r="N24" s="61">
        <f t="shared" si="6"/>
        <v>-11791193</v>
      </c>
      <c r="O24" s="39">
        <f t="shared" si="6"/>
        <v>-20884134.559999999</v>
      </c>
      <c r="P24" s="61">
        <f t="shared" si="6"/>
        <v>-20604</v>
      </c>
      <c r="Q24" s="39">
        <f t="shared" si="6"/>
        <v>-39436.880000000005</v>
      </c>
      <c r="R24" s="61">
        <f t="shared" si="6"/>
        <v>6585</v>
      </c>
      <c r="S24" s="39">
        <f t="shared" si="6"/>
        <v>13221.6</v>
      </c>
      <c r="T24" s="61">
        <f t="shared" si="6"/>
        <v>64900</v>
      </c>
      <c r="U24" s="39">
        <f t="shared" ref="U24:AE24" si="7">SUM(U19:U23)</f>
        <v>124527.16</v>
      </c>
      <c r="V24" s="61">
        <f t="shared" si="6"/>
        <v>-129742</v>
      </c>
      <c r="W24" s="39">
        <f t="shared" si="7"/>
        <v>-226747.88999999998</v>
      </c>
      <c r="X24" s="61">
        <f t="shared" si="6"/>
        <v>-1105784</v>
      </c>
      <c r="Y24" s="39">
        <f t="shared" si="7"/>
        <v>-1885375.39</v>
      </c>
      <c r="Z24" s="61">
        <f t="shared" si="6"/>
        <v>-1005851</v>
      </c>
      <c r="AA24" s="39">
        <f t="shared" si="7"/>
        <v>-1707270.32</v>
      </c>
      <c r="AB24" s="61">
        <f t="shared" si="6"/>
        <v>1627710</v>
      </c>
      <c r="AC24" s="39">
        <f t="shared" si="7"/>
        <v>2752657.38</v>
      </c>
      <c r="AD24" s="61">
        <f t="shared" si="6"/>
        <v>-1627666</v>
      </c>
      <c r="AE24" s="39">
        <f t="shared" si="7"/>
        <v>-2751959</v>
      </c>
      <c r="AF24" s="61">
        <f t="shared" ref="AF24:AK24" si="8">SUM(AF19:AF23)</f>
        <v>-91269</v>
      </c>
      <c r="AG24" s="39">
        <f t="shared" si="8"/>
        <v>-149356.54</v>
      </c>
      <c r="AH24" s="61">
        <f t="shared" si="8"/>
        <v>14244</v>
      </c>
      <c r="AI24" s="39">
        <f t="shared" si="8"/>
        <v>26517.63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14309219</v>
      </c>
      <c r="E27" s="38">
        <f>SUM(G27,I27,K27,M27,O27,Q27,S27,U27,W27,Y27,AA27,AC27,AE27,AG27,AI27,AK27,AM27,AO27,AQ27,AS27,AU27)</f>
        <v>25385497.586699992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57775810</v>
      </c>
      <c r="I27" s="38">
        <f>'TX-EGM-GL'!I27+'TX-HPL-GL '!I27</f>
        <v>102333223.02</v>
      </c>
      <c r="J27" s="60">
        <f>'TX-EGM-GL'!J27+'TX-HPL-GL '!J27</f>
        <v>-23497607</v>
      </c>
      <c r="K27" s="38">
        <f>'TX-EGM-GL'!K27+'TX-HPL-GL '!K27</f>
        <v>-41457678.840000004</v>
      </c>
      <c r="L27" s="60">
        <f>'TX-EGM-GL'!L27+'TX-HPL-GL '!L27</f>
        <v>-125078</v>
      </c>
      <c r="M27" s="38">
        <f>'TX-EGM-GL'!M27+'TX-HPL-GL '!M27</f>
        <v>-205730.07650000002</v>
      </c>
      <c r="N27" s="60">
        <f>'TX-EGM-GL'!N27+'TX-HPL-GL '!N27</f>
        <v>-16828274</v>
      </c>
      <c r="O27" s="38">
        <f>'TX-EGM-GL'!O27+'TX-HPL-GL '!O27</f>
        <v>-29958662.068799999</v>
      </c>
      <c r="P27" s="60">
        <f>'TX-EGM-GL'!P27+'TX-HPL-GL '!P27</f>
        <v>-8090</v>
      </c>
      <c r="Q27" s="38">
        <f>'TX-EGM-GL'!Q27+'TX-HPL-GL '!Q27</f>
        <v>-14677.030399999994</v>
      </c>
      <c r="R27" s="60">
        <f>'TX-EGM-GL'!R27+'TX-HPL-GL '!R27</f>
        <v>-454029</v>
      </c>
      <c r="S27" s="38">
        <f>'TX-EGM-GL'!S27+'TX-HPL-GL '!S27</f>
        <v>-763817.38919999998</v>
      </c>
      <c r="T27" s="60">
        <f>'TX-EGM-GL'!T27+'TX-HPL-GL '!T27</f>
        <v>-2447854</v>
      </c>
      <c r="U27" s="38">
        <f>'TX-EGM-GL'!U27+'TX-HPL-GL '!U27</f>
        <v>-4353405.7404000005</v>
      </c>
      <c r="V27" s="60">
        <f>'TX-EGM-GL'!V27+'TX-HPL-GL '!V27</f>
        <v>17616</v>
      </c>
      <c r="W27" s="38">
        <f>'TX-EGM-GL'!W27+'TX-HPL-GL '!W27</f>
        <v>31241.975999999999</v>
      </c>
      <c r="X27" s="60">
        <f>'TX-EGM-GL'!X27+'TX-HPL-GL '!X27</f>
        <v>-19497</v>
      </c>
      <c r="Y27" s="38">
        <f>'TX-EGM-GL'!Y27+'TX-HPL-GL '!Y27</f>
        <v>-32669.173200000001</v>
      </c>
      <c r="Z27" s="60">
        <f>'TX-EGM-GL'!Z27+'TX-HPL-GL '!Z27</f>
        <v>44025</v>
      </c>
      <c r="AA27" s="38">
        <f>'TX-EGM-GL'!AA27+'TX-HPL-GL '!AA27</f>
        <v>78765.709199999998</v>
      </c>
      <c r="AB27" s="60">
        <f>'TX-EGM-GL'!AB27+'TX-HPL-GL '!AB27</f>
        <v>-4878</v>
      </c>
      <c r="AC27" s="38">
        <f>'TX-EGM-GL'!AC27+'TX-HPL-GL '!AC27</f>
        <v>-18241.629999999957</v>
      </c>
      <c r="AD27" s="60">
        <f>'TX-EGM-GL'!AD27+'TX-HPL-GL '!AD27</f>
        <v>0</v>
      </c>
      <c r="AE27" s="38">
        <f>'TX-EGM-GL'!AE27+'TX-HPL-GL '!AE27</f>
        <v>0</v>
      </c>
      <c r="AF27" s="60">
        <f>'TX-EGM-GL'!AN27+'TX-HPL-GL '!AN27</f>
        <v>-142925</v>
      </c>
      <c r="AG27" s="38">
        <f>'TX-EGM-GL'!AO27+'TX-HPL-GL '!AO27</f>
        <v>-252977</v>
      </c>
      <c r="AH27" s="60">
        <f>'TX-EGM-GL'!AR27+'TX-HPL-GL '!AR27</f>
        <v>0</v>
      </c>
      <c r="AI27" s="38">
        <f>'TX-EGM-GL'!AS27+'TX-HPL-GL '!AS27</f>
        <v>125.83</v>
      </c>
      <c r="AJ27" s="60">
        <f>'TX-EGM-GL'!AV27+'TX-HPL-GL '!AV27</f>
        <v>0</v>
      </c>
      <c r="AK27" s="38">
        <f>'TX-EGM-GL'!AW27+'TX-HPL-GL '!AW27</f>
        <v>0</v>
      </c>
      <c r="AL27" s="60">
        <f>'TX-EGM-GL'!AX27+'TX-HPL-GL '!AX27</f>
        <v>0</v>
      </c>
      <c r="AM27" s="38">
        <f>'TX-EGM-GL'!AY27+'TX-HPL-GL '!AY27</f>
        <v>0</v>
      </c>
      <c r="AN27" s="60">
        <f>'TX-EGM-GL'!AZ27+'TX-HPL-GL '!AZ27</f>
        <v>0</v>
      </c>
      <c r="AO27" s="38">
        <f>'TX-EGM-GL'!BA27+'TX-HPL-GL '!BA27</f>
        <v>0</v>
      </c>
      <c r="AP27" s="60">
        <f>'TX-EGM-GL'!BB27+'TX-HPL-GL '!BB27</f>
        <v>0</v>
      </c>
      <c r="AQ27" s="38">
        <f>'TX-EGM-GL'!BC27+'TX-HPL-GL '!BC27</f>
        <v>0</v>
      </c>
      <c r="AR27" s="60">
        <f>'TX-EGM-GL'!BD27+'TX-HPL-GL '!BD27</f>
        <v>0</v>
      </c>
      <c r="AS27" s="38">
        <f>'TX-EGM-GL'!BE27+'TX-HPL-GL '!BE27</f>
        <v>0</v>
      </c>
      <c r="AT27" s="60">
        <f>'TX-EGM-GL'!BF27+'TX-HPL-GL '!BF27</f>
        <v>0</v>
      </c>
      <c r="AU27" s="38">
        <f>'TX-EGM-GL'!BG27+'TX-HPL-GL '!BG27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-25016283</v>
      </c>
      <c r="E28" s="38">
        <f>SUM(G28,I28,K28,M28,O28,Q28,S28,U28,W28,Y28,AA28,AC28,AE28,AG28,AI28,AK28,AM28,AO28,AQ28,AS28,AU28)</f>
        <v>-44388030.197499998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-69616337</v>
      </c>
      <c r="I28" s="38">
        <f>'TX-EGM-GL'!I28+'TX-HPL-GL '!I28</f>
        <v>-123400737.65000001</v>
      </c>
      <c r="J28" s="60">
        <f>'TX-EGM-GL'!J28+'TX-HPL-GL '!J28</f>
        <v>-1351117</v>
      </c>
      <c r="K28" s="38">
        <f>'TX-EGM-GL'!K28+'TX-HPL-GL '!K28</f>
        <v>-2656783.6274999976</v>
      </c>
      <c r="L28" s="60">
        <f>'TX-EGM-GL'!L28+'TX-HPL-GL '!L28</f>
        <v>17419176</v>
      </c>
      <c r="M28" s="38">
        <f>'TX-EGM-GL'!M28+'TX-HPL-GL '!M28</f>
        <v>30883303.720000003</v>
      </c>
      <c r="N28" s="60">
        <f>'TX-EGM-GL'!N28+'TX-HPL-GL '!N28</f>
        <v>28200169</v>
      </c>
      <c r="O28" s="38">
        <f>'TX-EGM-GL'!O28+'TX-HPL-GL '!O28</f>
        <v>50196292.640000001</v>
      </c>
      <c r="P28" s="60">
        <f>'TX-EGM-GL'!P28+'TX-HPL-GL '!P28</f>
        <v>-36021</v>
      </c>
      <c r="Q28" s="38">
        <f>'TX-EGM-GL'!Q28+'TX-HPL-GL '!Q28</f>
        <v>-64647.069999999992</v>
      </c>
      <c r="R28" s="60">
        <f>'TX-EGM-GL'!R28+'TX-HPL-GL '!R28</f>
        <v>-36734</v>
      </c>
      <c r="S28" s="38">
        <f>'TX-EGM-GL'!S28+'TX-HPL-GL '!S28</f>
        <v>-65336.119999999995</v>
      </c>
      <c r="T28" s="60">
        <f>'TX-EGM-GL'!T28+'TX-HPL-GL '!T28</f>
        <v>63194</v>
      </c>
      <c r="U28" s="38">
        <f>'TX-EGM-GL'!U28+'TX-HPL-GL '!U28</f>
        <v>112485.38</v>
      </c>
      <c r="V28" s="60">
        <f>'TX-EGM-GL'!V28+'TX-HPL-GL '!V28</f>
        <v>53529</v>
      </c>
      <c r="W28" s="38">
        <f>'TX-EGM-GL'!W28+'TX-HPL-GL '!W28</f>
        <v>95131.12</v>
      </c>
      <c r="X28" s="60">
        <f>'TX-EGM-GL'!X28+'TX-HPL-GL '!X28</f>
        <v>1600</v>
      </c>
      <c r="Y28" s="38">
        <f>'TX-EGM-GL'!Y28+'TX-HPL-GL '!Y28</f>
        <v>2848</v>
      </c>
      <c r="Z28" s="60">
        <f>'TX-EGM-GL'!Z28+'TX-HPL-GL '!Z28</f>
        <v>-49967</v>
      </c>
      <c r="AA28" s="38">
        <f>'TX-EGM-GL'!AA28+'TX-HPL-GL '!AA28</f>
        <v>-88941.26</v>
      </c>
      <c r="AB28" s="60">
        <f>'TX-EGM-GL'!AB28+'TX-HPL-GL '!AB28</f>
        <v>336225</v>
      </c>
      <c r="AC28" s="38">
        <f>'TX-EGM-GL'!AC28+'TX-HPL-GL '!AC28</f>
        <v>598480.5</v>
      </c>
      <c r="AD28" s="60">
        <f>'TX-EGM-GL'!AD28+'TX-HPL-GL '!AD28</f>
        <v>0</v>
      </c>
      <c r="AE28" s="38">
        <f>'TX-EGM-GL'!AE28+'TX-HPL-GL '!AE28</f>
        <v>0</v>
      </c>
      <c r="AF28" s="60">
        <f>'TX-EGM-GL'!AN28+'TX-HPL-GL '!AN28</f>
        <v>0</v>
      </c>
      <c r="AG28" s="38">
        <f>'TX-EGM-GL'!AO28+'TX-HPL-GL '!AO28</f>
        <v>0</v>
      </c>
      <c r="AH28" s="60">
        <f>'TX-EGM-GL'!AR28+'TX-HPL-GL '!AR28</f>
        <v>0</v>
      </c>
      <c r="AI28" s="38">
        <f>'TX-EGM-GL'!AS28+'TX-HPL-GL '!AS28</f>
        <v>-125.83</v>
      </c>
      <c r="AJ28" s="60">
        <f>'TX-EGM-GL'!AV28+'TX-HPL-GL '!AV28</f>
        <v>0</v>
      </c>
      <c r="AK28" s="38">
        <f>'TX-EGM-GL'!AW28+'TX-HPL-GL '!AW28</f>
        <v>0</v>
      </c>
      <c r="AL28" s="60">
        <f>'TX-EGM-GL'!AX28+'TX-HPL-GL '!AX28</f>
        <v>0</v>
      </c>
      <c r="AM28" s="38">
        <f>'TX-EGM-GL'!AY28+'TX-HPL-GL '!AY28</f>
        <v>0</v>
      </c>
      <c r="AN28" s="60">
        <f>'TX-EGM-GL'!AZ28+'TX-HPL-GL '!AZ28</f>
        <v>0</v>
      </c>
      <c r="AO28" s="38">
        <f>'TX-EGM-GL'!BA28+'TX-HPL-GL '!BA28</f>
        <v>0</v>
      </c>
      <c r="AP28" s="60">
        <f>'TX-EGM-GL'!BB28+'TX-HPL-GL '!BB28</f>
        <v>0</v>
      </c>
      <c r="AQ28" s="38">
        <f>'TX-EGM-GL'!BC28+'TX-HPL-GL '!BC28</f>
        <v>0</v>
      </c>
      <c r="AR28" s="60">
        <f>'TX-EGM-GL'!BD28+'TX-HPL-GL '!BD28</f>
        <v>0</v>
      </c>
      <c r="AS28" s="38">
        <f>'TX-EGM-GL'!BE28+'TX-HPL-GL '!BE28</f>
        <v>0</v>
      </c>
      <c r="AT28" s="60">
        <f>'TX-EGM-GL'!BF28+'TX-HPL-GL '!BF28</f>
        <v>0</v>
      </c>
      <c r="AU28" s="38">
        <f>'TX-EGM-GL'!BG28+'TX-HPL-GL '!BG28</f>
        <v>0</v>
      </c>
    </row>
    <row r="29" spans="1:47" x14ac:dyDescent="0.25">
      <c r="A29" s="9"/>
      <c r="B29" s="7" t="s">
        <v>41</v>
      </c>
      <c r="C29" s="18"/>
      <c r="D29" s="61">
        <f>SUM(D27:D28)</f>
        <v>-10707064</v>
      </c>
      <c r="E29" s="39">
        <f>SUM(E27:E28)</f>
        <v>-19002532.610800005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-11840527</v>
      </c>
      <c r="I29" s="39">
        <f t="shared" si="10"/>
        <v>-21067514.63000001</v>
      </c>
      <c r="J29" s="61">
        <f t="shared" si="10"/>
        <v>-24848724</v>
      </c>
      <c r="K29" s="39">
        <f t="shared" si="10"/>
        <v>-44114462.467500001</v>
      </c>
      <c r="L29" s="61">
        <f t="shared" si="10"/>
        <v>17294098</v>
      </c>
      <c r="M29" s="39">
        <f t="shared" si="10"/>
        <v>30677573.643500004</v>
      </c>
      <c r="N29" s="61">
        <f t="shared" si="10"/>
        <v>11371895</v>
      </c>
      <c r="O29" s="39">
        <f t="shared" si="10"/>
        <v>20237630.571200002</v>
      </c>
      <c r="P29" s="61">
        <f t="shared" si="10"/>
        <v>-44111</v>
      </c>
      <c r="Q29" s="39">
        <f t="shared" si="10"/>
        <v>-79324.100399999981</v>
      </c>
      <c r="R29" s="61">
        <f t="shared" si="10"/>
        <v>-490763</v>
      </c>
      <c r="S29" s="39">
        <f t="shared" si="10"/>
        <v>-829153.50919999997</v>
      </c>
      <c r="T29" s="61">
        <f t="shared" si="10"/>
        <v>-2384660</v>
      </c>
      <c r="U29" s="39">
        <f t="shared" ref="U29:AE29" si="11">SUM(U27:U28)</f>
        <v>-4240920.3604000006</v>
      </c>
      <c r="V29" s="61">
        <f t="shared" si="10"/>
        <v>71145</v>
      </c>
      <c r="W29" s="39">
        <f t="shared" si="11"/>
        <v>126373.09599999999</v>
      </c>
      <c r="X29" s="61">
        <f t="shared" si="10"/>
        <v>-17897</v>
      </c>
      <c r="Y29" s="39">
        <f t="shared" si="11"/>
        <v>-29821.173200000001</v>
      </c>
      <c r="Z29" s="61">
        <f t="shared" si="10"/>
        <v>-5942</v>
      </c>
      <c r="AA29" s="39">
        <f t="shared" si="11"/>
        <v>-10175.550799999997</v>
      </c>
      <c r="AB29" s="61">
        <f t="shared" si="10"/>
        <v>331347</v>
      </c>
      <c r="AC29" s="39">
        <f t="shared" si="11"/>
        <v>580238.87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-142925</v>
      </c>
      <c r="AG29" s="39">
        <f t="shared" si="12"/>
        <v>-252977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-196853</v>
      </c>
      <c r="E32" s="38">
        <f t="shared" si="14"/>
        <v>-289783.00700000016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0</v>
      </c>
      <c r="I32" s="38">
        <f>'TX-EGM-GL'!I32+'TX-HPL-GL '!I32</f>
        <v>0</v>
      </c>
      <c r="J32" s="60">
        <f>'TX-EGM-GL'!J32+'TX-HPL-GL '!J32</f>
        <v>-101027</v>
      </c>
      <c r="K32" s="38">
        <f>'TX-EGM-GL'!K32+'TX-HPL-GL '!K32</f>
        <v>-173260.95</v>
      </c>
      <c r="L32" s="60">
        <f>'TX-EGM-GL'!L32+'TX-HPL-GL '!L32</f>
        <v>299041</v>
      </c>
      <c r="M32" s="38">
        <f>'TX-EGM-GL'!M32+'TX-HPL-GL '!M32</f>
        <v>533660.04599999997</v>
      </c>
      <c r="N32" s="60">
        <f>'TX-EGM-GL'!N32+'TX-HPL-GL '!N32</f>
        <v>-171490</v>
      </c>
      <c r="O32" s="38">
        <f>'TX-EGM-GL'!O32+'TX-HPL-GL '!O32</f>
        <v>-315778.72600000002</v>
      </c>
      <c r="P32" s="60">
        <f>'TX-EGM-GL'!P32+'TX-HPL-GL '!P32</f>
        <v>74632</v>
      </c>
      <c r="Q32" s="38">
        <f>'TX-EGM-GL'!Q32+'TX-HPL-GL '!Q32</f>
        <v>175844.33</v>
      </c>
      <c r="R32" s="60">
        <f>'TX-EGM-GL'!R32+'TX-HPL-GL '!R32</f>
        <v>1545</v>
      </c>
      <c r="S32" s="38">
        <f>'TX-EGM-GL'!S32+'TX-HPL-GL '!S32</f>
        <v>3632.7910000000002</v>
      </c>
      <c r="T32" s="60">
        <f>'TX-EGM-GL'!T32+'TX-HPL-GL '!T32</f>
        <v>-64348</v>
      </c>
      <c r="U32" s="38">
        <f>'TX-EGM-GL'!U32+'TX-HPL-GL '!U32</f>
        <v>-220812.77299999999</v>
      </c>
      <c r="V32" s="60">
        <f>'TX-EGM-GL'!V32+'TX-HPL-GL '!V32</f>
        <v>84625</v>
      </c>
      <c r="W32" s="38">
        <f>'TX-EGM-GL'!W32+'TX-HPL-GL '!W32</f>
        <v>279327.82899999997</v>
      </c>
      <c r="X32" s="60">
        <f>'TX-EGM-GL'!X32+'TX-HPL-GL '!X32</f>
        <v>84606</v>
      </c>
      <c r="Y32" s="38">
        <f>'TX-EGM-GL'!Y32+'TX-HPL-GL '!Y32</f>
        <v>121872.239</v>
      </c>
      <c r="Z32" s="60">
        <f>'TX-EGM-GL'!Z32+'TX-HPL-GL '!Z32</f>
        <v>132793</v>
      </c>
      <c r="AA32" s="38">
        <f>'TX-EGM-GL'!AA32+'TX-HPL-GL '!AA32</f>
        <v>226857.848</v>
      </c>
      <c r="AB32" s="60">
        <f>'TX-EGM-GL'!AB32+'TX-HPL-GL '!AB32</f>
        <v>23280</v>
      </c>
      <c r="AC32" s="38">
        <f>'TX-EGM-GL'!AC32+'TX-HPL-GL '!AC32</f>
        <v>40148.984000000004</v>
      </c>
      <c r="AD32" s="60">
        <f>'TX-EGM-GL'!AD32+'TX-HPL-GL '!AD32</f>
        <v>-580559</v>
      </c>
      <c r="AE32" s="38">
        <f>'TX-EGM-GL'!AE32+'TX-HPL-GL '!AE32</f>
        <v>-995658.68500000006</v>
      </c>
      <c r="AF32" s="60">
        <f>'TX-EGM-GL'!AN32+'TX-HPL-GL '!AN32</f>
        <v>0</v>
      </c>
      <c r="AG32" s="38">
        <f>'TX-EGM-GL'!AO32+'TX-HPL-GL '!AO32</f>
        <v>0</v>
      </c>
      <c r="AH32" s="60">
        <f>'TX-EGM-GL'!AR32+'TX-HPL-GL '!AR32</f>
        <v>20049</v>
      </c>
      <c r="AI32" s="38">
        <f>'TX-EGM-GL'!AS32+'TX-HPL-GL '!AS32</f>
        <v>34384.06</v>
      </c>
      <c r="AJ32" s="60">
        <f>'TX-EGM-GL'!AV32+'TX-HPL-GL '!AV32</f>
        <v>0</v>
      </c>
      <c r="AK32" s="38">
        <f>'TX-EGM-GL'!AW32+'TX-HPL-GL '!AW32</f>
        <v>0</v>
      </c>
      <c r="AL32" s="60">
        <f>'TX-EGM-GL'!AX32+'TX-HPL-GL '!AX32</f>
        <v>0</v>
      </c>
      <c r="AM32" s="38">
        <f>'TX-EGM-GL'!AY32+'TX-HPL-GL '!AY32</f>
        <v>0</v>
      </c>
      <c r="AN32" s="60">
        <f>'TX-EGM-GL'!AZ32+'TX-HPL-GL '!AZ32</f>
        <v>0</v>
      </c>
      <c r="AO32" s="38">
        <f>'TX-EGM-GL'!BA32+'TX-HPL-GL '!BA32</f>
        <v>0</v>
      </c>
      <c r="AP32" s="60">
        <f>'TX-EGM-GL'!BB32+'TX-HPL-GL '!BB32</f>
        <v>0</v>
      </c>
      <c r="AQ32" s="38">
        <f>'TX-EGM-GL'!BC32+'TX-HPL-GL '!BC32</f>
        <v>0</v>
      </c>
      <c r="AR32" s="60">
        <f>'TX-EGM-GL'!BD32+'TX-HPL-GL '!BD32</f>
        <v>0</v>
      </c>
      <c r="AS32" s="38">
        <f>'TX-EGM-GL'!BE32+'TX-HPL-GL '!BE32</f>
        <v>0</v>
      </c>
      <c r="AT32" s="60">
        <f>'TX-EGM-GL'!BF32+'TX-HPL-GL '!BF32</f>
        <v>0</v>
      </c>
      <c r="AU32" s="38">
        <f>'TX-EGM-GL'!BG32+'TX-HPL-GL '!BG32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'TX-EGM-GL'!AN33+'TX-HPL-GL '!AN33</f>
        <v>0</v>
      </c>
      <c r="AG33" s="38">
        <f>'TX-EGM-GL'!AO33+'TX-HPL-GL '!AO33</f>
        <v>0</v>
      </c>
      <c r="AH33" s="60">
        <f>'TX-EGM-GL'!AR33+'TX-HPL-GL '!AR33</f>
        <v>0</v>
      </c>
      <c r="AI33" s="38">
        <f>'TX-EGM-GL'!AS33+'TX-HPL-GL '!AS33</f>
        <v>0</v>
      </c>
      <c r="AJ33" s="60">
        <f>'TX-EGM-GL'!AV33+'TX-HPL-GL '!AV33</f>
        <v>0</v>
      </c>
      <c r="AK33" s="38">
        <f>'TX-EGM-GL'!AW33+'TX-HPL-GL '!AW33</f>
        <v>0</v>
      </c>
      <c r="AL33" s="60">
        <f>'TX-EGM-GL'!AX33+'TX-HPL-GL '!AX33</f>
        <v>0</v>
      </c>
      <c r="AM33" s="38">
        <f>'TX-EGM-GL'!AY33+'TX-HPL-GL '!AY33</f>
        <v>0</v>
      </c>
      <c r="AN33" s="60">
        <f>'TX-EGM-GL'!AZ33+'TX-HPL-GL '!AZ33</f>
        <v>0</v>
      </c>
      <c r="AO33" s="38">
        <f>'TX-EGM-GL'!BA33+'TX-HPL-GL '!BA33</f>
        <v>0</v>
      </c>
      <c r="AP33" s="60">
        <f>'TX-EGM-GL'!BB33+'TX-HPL-GL '!BB33</f>
        <v>0</v>
      </c>
      <c r="AQ33" s="38">
        <f>'TX-EGM-GL'!BC33+'TX-HPL-GL '!BC33</f>
        <v>0</v>
      </c>
      <c r="AR33" s="60">
        <f>'TX-EGM-GL'!BD33+'TX-HPL-GL '!BD33</f>
        <v>0</v>
      </c>
      <c r="AS33" s="38">
        <f>'TX-EGM-GL'!BE33+'TX-HPL-GL '!BE33</f>
        <v>0</v>
      </c>
      <c r="AT33" s="60">
        <f>'TX-EGM-GL'!BF33+'TX-HPL-GL '!BF33</f>
        <v>0</v>
      </c>
      <c r="AU33" s="38">
        <f>'TX-EGM-GL'!BG33+'TX-HPL-GL '!BG33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'TX-EGM-GL'!AN34+'TX-HPL-GL '!AN34</f>
        <v>0</v>
      </c>
      <c r="AG34" s="38">
        <f>'TX-EGM-GL'!AO34+'TX-HPL-GL '!AO34</f>
        <v>0</v>
      </c>
      <c r="AH34" s="60">
        <f>'TX-EGM-GL'!AR34+'TX-HPL-GL '!AR34</f>
        <v>0</v>
      </c>
      <c r="AI34" s="38">
        <f>'TX-EGM-GL'!AS34+'TX-HPL-GL '!AS34</f>
        <v>0</v>
      </c>
      <c r="AJ34" s="60">
        <f>'TX-EGM-GL'!AV34+'TX-HPL-GL '!AV34</f>
        <v>0</v>
      </c>
      <c r="AK34" s="38">
        <f>'TX-EGM-GL'!AW34+'TX-HPL-GL '!AW34</f>
        <v>0</v>
      </c>
      <c r="AL34" s="60">
        <f>'TX-EGM-GL'!AX34+'TX-HPL-GL '!AX34</f>
        <v>0</v>
      </c>
      <c r="AM34" s="38">
        <f>'TX-EGM-GL'!AY34+'TX-HPL-GL '!AY34</f>
        <v>0</v>
      </c>
      <c r="AN34" s="60">
        <f>'TX-EGM-GL'!AZ34+'TX-HPL-GL '!AZ34</f>
        <v>0</v>
      </c>
      <c r="AO34" s="38">
        <f>'TX-EGM-GL'!BA34+'TX-HPL-GL '!BA34</f>
        <v>0</v>
      </c>
      <c r="AP34" s="60">
        <f>'TX-EGM-GL'!BB34+'TX-HPL-GL '!BB34</f>
        <v>0</v>
      </c>
      <c r="AQ34" s="38">
        <f>'TX-EGM-GL'!BC34+'TX-HPL-GL '!BC34</f>
        <v>0</v>
      </c>
      <c r="AR34" s="60">
        <f>'TX-EGM-GL'!BD34+'TX-HPL-GL '!BD34</f>
        <v>0</v>
      </c>
      <c r="AS34" s="38">
        <f>'TX-EGM-GL'!BE34+'TX-HPL-GL '!BE34</f>
        <v>0</v>
      </c>
      <c r="AT34" s="60">
        <f>'TX-EGM-GL'!BF34+'TX-HPL-GL '!BF34</f>
        <v>0</v>
      </c>
      <c r="AU34" s="38">
        <f>'TX-EGM-GL'!BG34+'TX-HPL-GL '!BG34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'TX-EGM-GL'!AN35+'TX-HPL-GL '!AN35</f>
        <v>0</v>
      </c>
      <c r="AG35" s="38">
        <f>'TX-EGM-GL'!AO35+'TX-HPL-GL '!AO35</f>
        <v>0</v>
      </c>
      <c r="AH35" s="60">
        <f>'TX-EGM-GL'!AR35+'TX-HPL-GL '!AR35</f>
        <v>0</v>
      </c>
      <c r="AI35" s="38">
        <f>'TX-EGM-GL'!AS35+'TX-HPL-GL '!AS35</f>
        <v>0</v>
      </c>
      <c r="AJ35" s="60">
        <f>'TX-EGM-GL'!AV35+'TX-HPL-GL '!AV35</f>
        <v>0</v>
      </c>
      <c r="AK35" s="38">
        <f>'TX-EGM-GL'!AW35+'TX-HPL-GL '!AW35</f>
        <v>0</v>
      </c>
      <c r="AL35" s="60">
        <f>'TX-EGM-GL'!AX35+'TX-HPL-GL '!AX35</f>
        <v>0</v>
      </c>
      <c r="AM35" s="38">
        <f>'TX-EGM-GL'!AY35+'TX-HPL-GL '!AY35</f>
        <v>0</v>
      </c>
      <c r="AN35" s="60">
        <f>'TX-EGM-GL'!AZ35+'TX-HPL-GL '!AZ35</f>
        <v>0</v>
      </c>
      <c r="AO35" s="38">
        <f>'TX-EGM-GL'!BA35+'TX-HPL-GL '!BA35</f>
        <v>0</v>
      </c>
      <c r="AP35" s="60">
        <f>'TX-EGM-GL'!BB35+'TX-HPL-GL '!BB35</f>
        <v>0</v>
      </c>
      <c r="AQ35" s="38">
        <f>'TX-EGM-GL'!BC35+'TX-HPL-GL '!BC35</f>
        <v>0</v>
      </c>
      <c r="AR35" s="60">
        <f>'TX-EGM-GL'!BD35+'TX-HPL-GL '!BD35</f>
        <v>0</v>
      </c>
      <c r="AS35" s="38">
        <f>'TX-EGM-GL'!BE35+'TX-HPL-GL '!BE35</f>
        <v>0</v>
      </c>
      <c r="AT35" s="60">
        <f>'TX-EGM-GL'!BF35+'TX-HPL-GL '!BF35</f>
        <v>0</v>
      </c>
      <c r="AU35" s="38">
        <f>'TX-EGM-GL'!BG35+'TX-HPL-GL '!BG35</f>
        <v>0</v>
      </c>
    </row>
    <row r="36" spans="1:47" x14ac:dyDescent="0.25">
      <c r="A36" s="9"/>
      <c r="B36" s="7" t="s">
        <v>47</v>
      </c>
      <c r="C36" s="6"/>
      <c r="D36" s="61">
        <f>SUM(D32:D35)</f>
        <v>-196853</v>
      </c>
      <c r="E36" s="39">
        <f>SUM(E32:E35)</f>
        <v>-289783.00700000016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-101027</v>
      </c>
      <c r="K36" s="39">
        <f t="shared" si="15"/>
        <v>-173260.95</v>
      </c>
      <c r="L36" s="61">
        <f t="shared" si="15"/>
        <v>299041</v>
      </c>
      <c r="M36" s="39">
        <f t="shared" si="15"/>
        <v>533660.04599999997</v>
      </c>
      <c r="N36" s="61">
        <f t="shared" si="15"/>
        <v>-171490</v>
      </c>
      <c r="O36" s="39">
        <f t="shared" si="15"/>
        <v>-315778.72600000002</v>
      </c>
      <c r="P36" s="61">
        <f t="shared" si="15"/>
        <v>74632</v>
      </c>
      <c r="Q36" s="39">
        <f t="shared" si="15"/>
        <v>175844.33</v>
      </c>
      <c r="R36" s="61">
        <f t="shared" si="15"/>
        <v>1545</v>
      </c>
      <c r="S36" s="39">
        <f t="shared" si="15"/>
        <v>3632.7910000000002</v>
      </c>
      <c r="T36" s="61">
        <f t="shared" si="15"/>
        <v>-64348</v>
      </c>
      <c r="U36" s="39">
        <f t="shared" ref="U36:AE36" si="16">SUM(U32:U35)</f>
        <v>-220812.77299999999</v>
      </c>
      <c r="V36" s="61">
        <f t="shared" si="15"/>
        <v>84625</v>
      </c>
      <c r="W36" s="39">
        <f t="shared" si="16"/>
        <v>279327.82899999997</v>
      </c>
      <c r="X36" s="61">
        <f t="shared" si="15"/>
        <v>84606</v>
      </c>
      <c r="Y36" s="39">
        <f t="shared" si="16"/>
        <v>121872.239</v>
      </c>
      <c r="Z36" s="61">
        <f t="shared" si="15"/>
        <v>132793</v>
      </c>
      <c r="AA36" s="39">
        <f t="shared" si="16"/>
        <v>226857.848</v>
      </c>
      <c r="AB36" s="61">
        <f t="shared" si="15"/>
        <v>23280</v>
      </c>
      <c r="AC36" s="39">
        <f t="shared" si="16"/>
        <v>40148.984000000004</v>
      </c>
      <c r="AD36" s="61">
        <f t="shared" si="15"/>
        <v>-580559</v>
      </c>
      <c r="AE36" s="39">
        <f t="shared" si="16"/>
        <v>-995658.68500000006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20049</v>
      </c>
      <c r="AI36" s="39">
        <f t="shared" si="17"/>
        <v>34384.06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2116127</v>
      </c>
      <c r="E39" s="38">
        <f t="shared" si="19"/>
        <v>3377225.4699999997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3288769</v>
      </c>
      <c r="I39" s="38">
        <f>'TX-EGM-GL'!I39+'TX-HPL-GL '!I39</f>
        <v>6011464.0199999996</v>
      </c>
      <c r="J39" s="60">
        <f>'TX-EGM-GL'!J39+'TX-HPL-GL '!J39</f>
        <v>15541320</v>
      </c>
      <c r="K39" s="38">
        <f>'TX-EGM-GL'!K39+'TX-HPL-GL '!K39</f>
        <v>28475738.98</v>
      </c>
      <c r="L39" s="60">
        <f>'TX-EGM-GL'!L39+'TX-HPL-GL '!L39</f>
        <v>-274810</v>
      </c>
      <c r="M39" s="38">
        <f>'TX-EGM-GL'!M39+'TX-HPL-GL '!M39</f>
        <v>-503514.08</v>
      </c>
      <c r="N39" s="60">
        <f>'TX-EGM-GL'!N39+'TX-HPL-GL '!N39</f>
        <v>-16653389</v>
      </c>
      <c r="O39" s="38">
        <f>'TX-EGM-GL'!O39+'TX-HPL-GL '!O39</f>
        <v>-30513367.850000001</v>
      </c>
      <c r="P39" s="60">
        <f>'TX-EGM-GL'!P39+'TX-HPL-GL '!P39</f>
        <v>-9196</v>
      </c>
      <c r="Q39" s="38">
        <f>'TX-EGM-GL'!Q39+'TX-HPL-GL '!Q39</f>
        <v>-16849.46</v>
      </c>
      <c r="R39" s="60">
        <f>'TX-EGM-GL'!R39+'TX-HPL-GL '!R39</f>
        <v>56863</v>
      </c>
      <c r="S39" s="38">
        <f>'TX-EGM-GL'!S39+'TX-HPL-GL '!S39</f>
        <v>116641.3</v>
      </c>
      <c r="T39" s="60">
        <f>'TX-EGM-GL'!T39+'TX-HPL-GL '!T39</f>
        <v>-69962</v>
      </c>
      <c r="U39" s="38">
        <f>'TX-EGM-GL'!U39+'TX-HPL-GL '!U39</f>
        <v>-429341.2</v>
      </c>
      <c r="V39" s="60">
        <f>'TX-EGM-GL'!V39+'TX-HPL-GL '!V39</f>
        <v>4590</v>
      </c>
      <c r="W39" s="38">
        <f>'TX-EGM-GL'!W39+'TX-HPL-GL '!W39</f>
        <v>7818.13</v>
      </c>
      <c r="X39" s="60">
        <f>'TX-EGM-GL'!X39+'TX-HPL-GL '!X39</f>
        <v>4870</v>
      </c>
      <c r="Y39" s="38">
        <f>'TX-EGM-GL'!Y39+'TX-HPL-GL '!Y39</f>
        <v>7823.04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-352845</v>
      </c>
      <c r="AC39" s="38">
        <f>'TX-EGM-GL'!AC39+'TX-HPL-GL '!AC39</f>
        <v>-694923.87</v>
      </c>
      <c r="AD39" s="60">
        <f>'TX-EGM-GL'!AD39+'TX-HPL-GL '!AD39</f>
        <v>580559</v>
      </c>
      <c r="AE39" s="38">
        <f>'TX-EGM-GL'!AE39+'TX-HPL-GL '!AE39</f>
        <v>919721.57</v>
      </c>
      <c r="AF39" s="60">
        <f>'TX-EGM-GL'!AN39+'TX-HPL-GL '!AN39</f>
        <v>0</v>
      </c>
      <c r="AG39" s="38">
        <f>'TX-EGM-GL'!AO39+'TX-HPL-GL '!AO39</f>
        <v>0</v>
      </c>
      <c r="AH39" s="60">
        <f>'TX-EGM-GL'!AR39+'TX-HPL-GL '!AR39</f>
        <v>-642</v>
      </c>
      <c r="AI39" s="38">
        <f>'TX-EGM-GL'!AS39+'TX-HPL-GL '!AS39</f>
        <v>-3985.11</v>
      </c>
      <c r="AJ39" s="60">
        <f>'TX-EGM-GL'!AV39+'TX-HPL-GL '!AV39</f>
        <v>0</v>
      </c>
      <c r="AK39" s="38">
        <f>'TX-EGM-GL'!AW39+'TX-HPL-GL '!AW39</f>
        <v>0</v>
      </c>
      <c r="AL39" s="60">
        <f>'TX-EGM-GL'!AX39+'TX-HPL-GL '!AX39</f>
        <v>0</v>
      </c>
      <c r="AM39" s="38">
        <f>'TX-EGM-GL'!AY39+'TX-HPL-GL '!AY39</f>
        <v>0</v>
      </c>
      <c r="AN39" s="60">
        <f>'TX-EGM-GL'!AZ39+'TX-HPL-GL '!AZ39</f>
        <v>0</v>
      </c>
      <c r="AO39" s="38">
        <f>'TX-EGM-GL'!BA39+'TX-HPL-GL '!BA39</f>
        <v>0</v>
      </c>
      <c r="AP39" s="60">
        <f>'TX-EGM-GL'!BB39+'TX-HPL-GL '!BB39</f>
        <v>0</v>
      </c>
      <c r="AQ39" s="38">
        <f>'TX-EGM-GL'!BC39+'TX-HPL-GL '!BC39</f>
        <v>0</v>
      </c>
      <c r="AR39" s="60">
        <f>'TX-EGM-GL'!BD39+'TX-HPL-GL '!BD39</f>
        <v>0</v>
      </c>
      <c r="AS39" s="38">
        <f>'TX-EGM-GL'!BE39+'TX-HPL-GL '!BE39</f>
        <v>0</v>
      </c>
      <c r="AT39" s="60">
        <f>'TX-EGM-GL'!BF39+'TX-HPL-GL '!BF39</f>
        <v>0</v>
      </c>
      <c r="AU39" s="38">
        <f>'TX-EGM-GL'!BG39+'TX-HPL-GL '!BG39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9"/>
        <v>-460138</v>
      </c>
      <c r="E40" s="38">
        <f t="shared" si="19"/>
        <v>-819045.63999999769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0</v>
      </c>
      <c r="I40" s="38">
        <f>'TX-EGM-GL'!I40+'TX-HPL-GL '!I40</f>
        <v>0</v>
      </c>
      <c r="J40" s="60">
        <f>'TX-EGM-GL'!J40+'TX-HPL-GL '!J40</f>
        <v>-17127970</v>
      </c>
      <c r="K40" s="38">
        <f>'TX-EGM-GL'!K40+'TX-HPL-GL '!K40</f>
        <v>-37894846.130000003</v>
      </c>
      <c r="L40" s="60">
        <f>'TX-EGM-GL'!L40+'TX-HPL-GL '!L40</f>
        <v>0</v>
      </c>
      <c r="M40" s="38">
        <f>'TX-EGM-GL'!M40+'TX-HPL-GL '!M40</f>
        <v>-3108.62</v>
      </c>
      <c r="N40" s="60">
        <f>'TX-EGM-GL'!N40+'TX-HPL-GL '!N40</f>
        <v>16689054</v>
      </c>
      <c r="O40" s="38">
        <f>'TX-EGM-GL'!O40+'TX-HPL-GL '!O40</f>
        <v>37145213.810000002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-28529.54</v>
      </c>
      <c r="V40" s="60">
        <f>'TX-EGM-GL'!V40+'TX-HPL-GL '!V40</f>
        <v>-25739</v>
      </c>
      <c r="W40" s="38">
        <f>'TX-EGM-GL'!W40+'TX-HPL-GL '!W40</f>
        <v>-45815.42</v>
      </c>
      <c r="X40" s="60">
        <f>'TX-EGM-GL'!X40+'TX-HPL-GL '!X40</f>
        <v>2</v>
      </c>
      <c r="Y40" s="38">
        <f>'TX-EGM-GL'!Y40+'TX-HPL-GL '!Y40</f>
        <v>3.56</v>
      </c>
      <c r="Z40" s="60">
        <f>'TX-EGM-GL'!Z40+'TX-HPL-GL '!Z40</f>
        <v>4515</v>
      </c>
      <c r="AA40" s="38">
        <f>'TX-EGM-GL'!AA40+'TX-HPL-GL '!AA40</f>
        <v>8036.7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'TX-EGM-GL'!AN40+'TX-HPL-GL '!AN40</f>
        <v>0</v>
      </c>
      <c r="AG40" s="38">
        <f>'TX-EGM-GL'!AO40+'TX-HPL-GL '!AO40</f>
        <v>0</v>
      </c>
      <c r="AH40" s="60">
        <f>'TX-EGM-GL'!AR40+'TX-HPL-GL '!AR40</f>
        <v>0</v>
      </c>
      <c r="AI40" s="38">
        <f>'TX-EGM-GL'!AS40+'TX-HPL-GL '!AS40</f>
        <v>0</v>
      </c>
      <c r="AJ40" s="60">
        <f>'TX-EGM-GL'!AV40+'TX-HPL-GL '!AV40</f>
        <v>0</v>
      </c>
      <c r="AK40" s="38">
        <f>'TX-EGM-GL'!AW40+'TX-HPL-GL '!AW40</f>
        <v>0</v>
      </c>
      <c r="AL40" s="60">
        <f>'TX-EGM-GL'!AX40+'TX-HPL-GL '!AX40</f>
        <v>0</v>
      </c>
      <c r="AM40" s="38">
        <f>'TX-EGM-GL'!AY40+'TX-HPL-GL '!AY40</f>
        <v>0</v>
      </c>
      <c r="AN40" s="60">
        <f>'TX-EGM-GL'!AZ40+'TX-HPL-GL '!AZ40</f>
        <v>0</v>
      </c>
      <c r="AO40" s="38">
        <f>'TX-EGM-GL'!BA40+'TX-HPL-GL '!BA40</f>
        <v>0</v>
      </c>
      <c r="AP40" s="60">
        <f>'TX-EGM-GL'!BB40+'TX-HPL-GL '!BB40</f>
        <v>0</v>
      </c>
      <c r="AQ40" s="38">
        <f>'TX-EGM-GL'!BC40+'TX-HPL-GL '!BC40</f>
        <v>0</v>
      </c>
      <c r="AR40" s="60">
        <f>'TX-EGM-GL'!BD40+'TX-HPL-GL '!BD40</f>
        <v>0</v>
      </c>
      <c r="AS40" s="38">
        <f>'TX-EGM-GL'!BE40+'TX-HPL-GL '!BE40</f>
        <v>0</v>
      </c>
      <c r="AT40" s="60">
        <f>'TX-EGM-GL'!BF40+'TX-HPL-GL '!BF40</f>
        <v>0</v>
      </c>
      <c r="AU40" s="38">
        <f>'TX-EGM-GL'!BG40+'TX-HPL-GL '!BG40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692867</v>
      </c>
      <c r="F41" s="81">
        <f>('TIE-OUT'!P41+'TIE-OUT'!R41)+(RECLASS!P41+RECLASS!R41)</f>
        <v>0</v>
      </c>
      <c r="G41" s="82">
        <f>('TIE-OUT'!Q41+'TIE-OUT'!S41)+(RECLASS!Q41+RECLASS!S41)</f>
        <v>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692867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'TX-EGM-GL'!AN41+'TX-HPL-GL '!AN41</f>
        <v>0</v>
      </c>
      <c r="AG41" s="38">
        <f>'TX-EGM-GL'!AO41+'TX-HPL-GL '!AO41</f>
        <v>0</v>
      </c>
      <c r="AH41" s="60">
        <f>'TX-EGM-GL'!AR41+'TX-HPL-GL '!AR41</f>
        <v>0</v>
      </c>
      <c r="AI41" s="38">
        <f>'TX-EGM-GL'!AS41+'TX-HPL-GL '!AS41</f>
        <v>0</v>
      </c>
      <c r="AJ41" s="60">
        <f>'TX-EGM-GL'!AV41+'TX-HPL-GL '!AV41</f>
        <v>0</v>
      </c>
      <c r="AK41" s="38">
        <f>'TX-EGM-GL'!AW41+'TX-HPL-GL '!AW41</f>
        <v>0</v>
      </c>
      <c r="AL41" s="60">
        <f>'TX-EGM-GL'!AX41+'TX-HPL-GL '!AX41</f>
        <v>0</v>
      </c>
      <c r="AM41" s="38">
        <f>'TX-EGM-GL'!AY41+'TX-HPL-GL '!AY41</f>
        <v>0</v>
      </c>
      <c r="AN41" s="60">
        <f>'TX-EGM-GL'!AZ41+'TX-HPL-GL '!AZ41</f>
        <v>0</v>
      </c>
      <c r="AO41" s="38">
        <f>'TX-EGM-GL'!BA41+'TX-HPL-GL '!BA41</f>
        <v>0</v>
      </c>
      <c r="AP41" s="60">
        <f>'TX-EGM-GL'!BB41+'TX-HPL-GL '!BB41</f>
        <v>0</v>
      </c>
      <c r="AQ41" s="38">
        <f>'TX-EGM-GL'!BC41+'TX-HPL-GL '!BC41</f>
        <v>0</v>
      </c>
      <c r="AR41" s="60">
        <f>'TX-EGM-GL'!BD41+'TX-HPL-GL '!BD41</f>
        <v>0</v>
      </c>
      <c r="AS41" s="38">
        <f>'TX-EGM-GL'!BE41+'TX-HPL-GL '!BE41</f>
        <v>0</v>
      </c>
      <c r="AT41" s="60">
        <f>'TX-EGM-GL'!BF41+'TX-HPL-GL '!BF41</f>
        <v>0</v>
      </c>
      <c r="AU41" s="38">
        <f>'TX-EGM-GL'!BG41+'TX-HPL-GL '!BG41</f>
        <v>0</v>
      </c>
    </row>
    <row r="42" spans="1:47" x14ac:dyDescent="0.25">
      <c r="A42" s="9"/>
      <c r="B42" s="7"/>
      <c r="C42" s="53" t="s">
        <v>52</v>
      </c>
      <c r="D42" s="61">
        <f>SUM(D40:D41)</f>
        <v>-460138</v>
      </c>
      <c r="E42" s="39">
        <f>SUM(E40:E41)</f>
        <v>-126178.63999999769</v>
      </c>
      <c r="F42" s="61">
        <f t="shared" ref="F42:AD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-17127970</v>
      </c>
      <c r="K42" s="39">
        <f t="shared" si="20"/>
        <v>-37894846.130000003</v>
      </c>
      <c r="L42" s="61">
        <f t="shared" si="20"/>
        <v>0</v>
      </c>
      <c r="M42" s="39">
        <f t="shared" si="20"/>
        <v>-3108.62</v>
      </c>
      <c r="N42" s="61">
        <f t="shared" si="20"/>
        <v>16689054</v>
      </c>
      <c r="O42" s="39">
        <f t="shared" si="20"/>
        <v>37145213.810000002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-28529.54</v>
      </c>
      <c r="V42" s="61">
        <f t="shared" si="20"/>
        <v>-25739</v>
      </c>
      <c r="W42" s="39">
        <f t="shared" si="21"/>
        <v>-45815.42</v>
      </c>
      <c r="X42" s="61">
        <f t="shared" si="20"/>
        <v>2</v>
      </c>
      <c r="Y42" s="39">
        <f t="shared" si="21"/>
        <v>692870.56</v>
      </c>
      <c r="Z42" s="61">
        <f t="shared" si="20"/>
        <v>4515</v>
      </c>
      <c r="AA42" s="39">
        <f t="shared" si="21"/>
        <v>8036.7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1655989</v>
      </c>
      <c r="E43" s="39">
        <f>E42+E39</f>
        <v>3251046.8300000019</v>
      </c>
      <c r="F43" s="61">
        <f t="shared" ref="F43:AD43" si="24">F42+F39</f>
        <v>0</v>
      </c>
      <c r="G43" s="39">
        <f t="shared" si="24"/>
        <v>0</v>
      </c>
      <c r="H43" s="61">
        <f t="shared" si="24"/>
        <v>3288769</v>
      </c>
      <c r="I43" s="39">
        <f t="shared" si="24"/>
        <v>6011464.0199999996</v>
      </c>
      <c r="J43" s="61">
        <f t="shared" si="24"/>
        <v>-1586650</v>
      </c>
      <c r="K43" s="39">
        <f t="shared" si="24"/>
        <v>-9419107.1500000022</v>
      </c>
      <c r="L43" s="61">
        <f t="shared" si="24"/>
        <v>-274810</v>
      </c>
      <c r="M43" s="39">
        <f t="shared" si="24"/>
        <v>-506622.7</v>
      </c>
      <c r="N43" s="61">
        <f t="shared" si="24"/>
        <v>35665</v>
      </c>
      <c r="O43" s="39">
        <f t="shared" si="24"/>
        <v>6631845.9600000009</v>
      </c>
      <c r="P43" s="61">
        <f t="shared" si="24"/>
        <v>-9196</v>
      </c>
      <c r="Q43" s="39">
        <f t="shared" si="24"/>
        <v>-16849.46</v>
      </c>
      <c r="R43" s="61">
        <f t="shared" si="24"/>
        <v>56863</v>
      </c>
      <c r="S43" s="39">
        <f t="shared" si="24"/>
        <v>116641.3</v>
      </c>
      <c r="T43" s="61">
        <f t="shared" si="24"/>
        <v>-69962</v>
      </c>
      <c r="U43" s="39">
        <f t="shared" ref="U43:AE43" si="25">U42+U39</f>
        <v>-457870.74</v>
      </c>
      <c r="V43" s="61">
        <f t="shared" si="24"/>
        <v>-21149</v>
      </c>
      <c r="W43" s="39">
        <f t="shared" si="25"/>
        <v>-37997.29</v>
      </c>
      <c r="X43" s="61">
        <f t="shared" si="24"/>
        <v>4872</v>
      </c>
      <c r="Y43" s="39">
        <f t="shared" si="25"/>
        <v>700693.60000000009</v>
      </c>
      <c r="Z43" s="61">
        <f t="shared" si="24"/>
        <v>4515</v>
      </c>
      <c r="AA43" s="39">
        <f t="shared" si="25"/>
        <v>8036.7</v>
      </c>
      <c r="AB43" s="61">
        <f t="shared" si="24"/>
        <v>-352845</v>
      </c>
      <c r="AC43" s="39">
        <f t="shared" si="25"/>
        <v>-694923.87</v>
      </c>
      <c r="AD43" s="61">
        <f t="shared" si="24"/>
        <v>580559</v>
      </c>
      <c r="AE43" s="39">
        <f t="shared" si="25"/>
        <v>919721.57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-642</v>
      </c>
      <c r="AI43" s="39">
        <f t="shared" si="26"/>
        <v>-3985.11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'TX-EGM-GL'!AN45+'TX-HPL-GL '!AN45</f>
        <v>0</v>
      </c>
      <c r="AG45" s="38">
        <f>'TX-EGM-GL'!AO45+'TX-HPL-GL '!AO45</f>
        <v>0</v>
      </c>
      <c r="AH45" s="60">
        <f>'TX-EGM-GL'!AR45+'TX-HPL-GL '!AR45</f>
        <v>0</v>
      </c>
      <c r="AI45" s="38">
        <f>'TX-EGM-GL'!AS45+'TX-HPL-GL '!AS45</f>
        <v>0</v>
      </c>
      <c r="AJ45" s="60">
        <f>'TX-EGM-GL'!AV45+'TX-HPL-GL '!AV45</f>
        <v>0</v>
      </c>
      <c r="AK45" s="38">
        <f>'TX-EGM-GL'!AW45+'TX-HPL-GL '!AW45</f>
        <v>0</v>
      </c>
      <c r="AL45" s="60">
        <f>'TX-EGM-GL'!AX45+'TX-HPL-GL '!AX45</f>
        <v>0</v>
      </c>
      <c r="AM45" s="38">
        <f>'TX-EGM-GL'!AY45+'TX-HPL-GL '!AY45</f>
        <v>0</v>
      </c>
      <c r="AN45" s="60">
        <f>'TX-EGM-GL'!AZ45+'TX-HPL-GL '!AZ45</f>
        <v>0</v>
      </c>
      <c r="AO45" s="38">
        <f>'TX-EGM-GL'!BA45+'TX-HPL-GL '!BA45</f>
        <v>0</v>
      </c>
      <c r="AP45" s="60">
        <f>'TX-EGM-GL'!BB45+'TX-HPL-GL '!BB45</f>
        <v>0</v>
      </c>
      <c r="AQ45" s="38">
        <f>'TX-EGM-GL'!BC45+'TX-HPL-GL '!BC45</f>
        <v>0</v>
      </c>
      <c r="AR45" s="60">
        <f>'TX-EGM-GL'!BD45+'TX-HPL-GL '!BD45</f>
        <v>0</v>
      </c>
      <c r="AS45" s="38">
        <f>'TX-EGM-GL'!BE45+'TX-HPL-GL '!BE45</f>
        <v>0</v>
      </c>
      <c r="AT45" s="60">
        <f>'TX-EGM-GL'!BF45+'TX-HPL-GL '!BF45</f>
        <v>0</v>
      </c>
      <c r="AU45" s="38">
        <f>'TX-EGM-GL'!BG45+'TX-HPL-GL '!BG45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6920.119999999999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717.56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-12515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'TX-EGM-GL'!AN47+'TX-HPL-GL '!AN47</f>
        <v>0</v>
      </c>
      <c r="AG47" s="38">
        <f>'TX-EGM-GL'!AO47+'TX-HPL-GL '!AO47</f>
        <v>0</v>
      </c>
      <c r="AH47" s="60">
        <f>'TX-EGM-GL'!AR47+'TX-HPL-GL '!AR47</f>
        <v>0</v>
      </c>
      <c r="AI47" s="38">
        <f>'TX-EGM-GL'!AS47+'TX-HPL-GL '!AS47</f>
        <v>0</v>
      </c>
      <c r="AJ47" s="60">
        <f>'TX-EGM-GL'!AV47+'TX-HPL-GL '!AV47</f>
        <v>0</v>
      </c>
      <c r="AK47" s="38">
        <f>'TX-EGM-GL'!AW47+'TX-HPL-GL '!AW47</f>
        <v>0</v>
      </c>
      <c r="AL47" s="60">
        <f>'TX-EGM-GL'!AX47+'TX-HPL-GL '!AX47</f>
        <v>0</v>
      </c>
      <c r="AM47" s="38">
        <f>'TX-EGM-GL'!AY47+'TX-HPL-GL '!AY47</f>
        <v>0</v>
      </c>
      <c r="AN47" s="60">
        <f>'TX-EGM-GL'!AZ47+'TX-HPL-GL '!AZ47</f>
        <v>0</v>
      </c>
      <c r="AO47" s="38">
        <f>'TX-EGM-GL'!BA47+'TX-HPL-GL '!BA47</f>
        <v>0</v>
      </c>
      <c r="AP47" s="60">
        <f>'TX-EGM-GL'!BB47+'TX-HPL-GL '!BB47</f>
        <v>0</v>
      </c>
      <c r="AQ47" s="38">
        <f>'TX-EGM-GL'!BC47+'TX-HPL-GL '!BC47</f>
        <v>0</v>
      </c>
      <c r="AR47" s="60">
        <f>'TX-EGM-GL'!BD47+'TX-HPL-GL '!BD47</f>
        <v>0</v>
      </c>
      <c r="AS47" s="38">
        <f>'TX-EGM-GL'!BE47+'TX-HPL-GL '!BE47</f>
        <v>0</v>
      </c>
      <c r="AT47" s="60">
        <f>'TX-EGM-GL'!BF47+'TX-HPL-GL '!BF47</f>
        <v>0</v>
      </c>
      <c r="AU47" s="38">
        <f>'TX-EGM-GL'!BG47+'TX-HPL-GL '!BG47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-140579</v>
      </c>
      <c r="E49" s="38">
        <f t="shared" si="28"/>
        <v>-240009.62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144928</v>
      </c>
      <c r="I49" s="38">
        <f>'TX-EGM-GL'!I49+'TX-HPL-GL '!I49</f>
        <v>248551.52</v>
      </c>
      <c r="J49" s="60">
        <f>'TX-EGM-GL'!J49+'TX-HPL-GL '!J49</f>
        <v>-5177</v>
      </c>
      <c r="K49" s="38">
        <f>'TX-EGM-GL'!K49+'TX-HPL-GL '!K49</f>
        <v>-46553.195</v>
      </c>
      <c r="L49" s="60">
        <f>'TX-EGM-GL'!L49+'TX-HPL-GL '!L49</f>
        <v>76892</v>
      </c>
      <c r="M49" s="38">
        <f>'TX-EGM-GL'!M49+'TX-HPL-GL '!M49</f>
        <v>-49152.86</v>
      </c>
      <c r="N49" s="60">
        <f>'TX-EGM-GL'!N49+'TX-HPL-GL '!N49</f>
        <v>-103641</v>
      </c>
      <c r="O49" s="38">
        <f>'TX-EGM-GL'!O49+'TX-HPL-GL '!O49</f>
        <v>40555.684999999998</v>
      </c>
      <c r="P49" s="60">
        <f>'TX-EGM-GL'!P49+'TX-HPL-GL '!P49</f>
        <v>-76112</v>
      </c>
      <c r="Q49" s="38">
        <f>'TX-EGM-GL'!Q49+'TX-HPL-GL '!Q49</f>
        <v>-130532.08</v>
      </c>
      <c r="R49" s="60">
        <f>'TX-EGM-GL'!R49+'TX-HPL-GL '!R49</f>
        <v>41129</v>
      </c>
      <c r="S49" s="38">
        <f>'TX-EGM-GL'!S49+'TX-HPL-GL '!S49</f>
        <v>70536.235000000001</v>
      </c>
      <c r="T49" s="60">
        <f>'TX-EGM-GL'!T49+'TX-HPL-GL '!T49</f>
        <v>-92920</v>
      </c>
      <c r="U49" s="38">
        <f>'TX-EGM-GL'!U49+'TX-HPL-GL '!U49</f>
        <v>-159357.79999999999</v>
      </c>
      <c r="V49" s="60">
        <f>'TX-EGM-GL'!V49+'TX-HPL-GL '!V49</f>
        <v>-62828</v>
      </c>
      <c r="W49" s="38">
        <f>'TX-EGM-GL'!W49+'TX-HPL-GL '!W49</f>
        <v>-107750.02</v>
      </c>
      <c r="X49" s="60">
        <f>'TX-EGM-GL'!X49+'TX-HPL-GL '!X49</f>
        <v>-85133</v>
      </c>
      <c r="Y49" s="38">
        <f>'TX-EGM-GL'!Y49+'TX-HPL-GL '!Y49</f>
        <v>-146003.095</v>
      </c>
      <c r="Z49" s="60">
        <f>'TX-EGM-GL'!Z49+'TX-HPL-GL '!Z49</f>
        <v>-91368</v>
      </c>
      <c r="AA49" s="38">
        <f>'TX-EGM-GL'!AA49+'TX-HPL-GL '!AA49</f>
        <v>-156696.12</v>
      </c>
      <c r="AB49" s="60">
        <f>'TX-EGM-GL'!AB49+'TX-HPL-GL '!AB49</f>
        <v>60658</v>
      </c>
      <c r="AC49" s="38">
        <f>'TX-EGM-GL'!AC49+'TX-HPL-GL '!AC49</f>
        <v>104028.47</v>
      </c>
      <c r="AD49" s="60">
        <f>'TX-EGM-GL'!AD49+'TX-HPL-GL '!AD49</f>
        <v>-62440</v>
      </c>
      <c r="AE49" s="38">
        <f>'TX-EGM-GL'!AE49+'TX-HPL-GL '!AE49</f>
        <v>-107084.6</v>
      </c>
      <c r="AF49" s="60">
        <f>'TX-EGM-GL'!AN49+'TX-HPL-GL '!AN49</f>
        <v>149084</v>
      </c>
      <c r="AG49" s="38">
        <f>'TX-EGM-GL'!AO49+'TX-HPL-GL '!AO49</f>
        <v>255679.06</v>
      </c>
      <c r="AH49" s="60">
        <f>'TX-EGM-GL'!AR49+'TX-HPL-GL '!AR49</f>
        <v>-33651</v>
      </c>
      <c r="AI49" s="38">
        <f>'TX-EGM-GL'!AS49+'TX-HPL-GL '!AS49</f>
        <v>-56230.82</v>
      </c>
      <c r="AJ49" s="60">
        <f>'TX-EGM-GL'!AV49+'TX-HPL-GL '!AV49</f>
        <v>0</v>
      </c>
      <c r="AK49" s="38">
        <f>'TX-EGM-GL'!AW49+'TX-HPL-GL '!AW49</f>
        <v>0</v>
      </c>
      <c r="AL49" s="60">
        <f>'TX-EGM-GL'!AX49+'TX-HPL-GL '!AX49</f>
        <v>0</v>
      </c>
      <c r="AM49" s="38">
        <f>'TX-EGM-GL'!AY49+'TX-HPL-GL '!AY49</f>
        <v>0</v>
      </c>
      <c r="AN49" s="60">
        <f>'TX-EGM-GL'!AZ49+'TX-HPL-GL '!AZ49</f>
        <v>0</v>
      </c>
      <c r="AO49" s="38">
        <f>'TX-EGM-GL'!BA49+'TX-HPL-GL '!BA49</f>
        <v>0</v>
      </c>
      <c r="AP49" s="60">
        <f>'TX-EGM-GL'!BB49+'TX-HPL-GL '!BB49</f>
        <v>0</v>
      </c>
      <c r="AQ49" s="38">
        <f>'TX-EGM-GL'!BC49+'TX-HPL-GL '!BC49</f>
        <v>0</v>
      </c>
      <c r="AR49" s="60">
        <f>'TX-EGM-GL'!BD49+'TX-HPL-GL '!BD49</f>
        <v>0</v>
      </c>
      <c r="AS49" s="38">
        <f>'TX-EGM-GL'!BE49+'TX-HPL-GL '!BE49</f>
        <v>0</v>
      </c>
      <c r="AT49" s="60">
        <f>'TX-EGM-GL'!BF49+'TX-HPL-GL '!BF49</f>
        <v>0</v>
      </c>
      <c r="AU49" s="38">
        <f>'TX-EGM-GL'!BG49+'TX-HPL-GL '!BG49</f>
        <v>0</v>
      </c>
    </row>
    <row r="50" spans="1:47" x14ac:dyDescent="0.25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8"/>
        <v>-4992</v>
      </c>
      <c r="E51" s="38">
        <f t="shared" si="28"/>
        <v>-9038.4700000000012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0</v>
      </c>
      <c r="I51" s="38">
        <f>'TX-EGM-GL'!I51+'TX-HPL-GL '!I51</f>
        <v>0</v>
      </c>
      <c r="J51" s="60">
        <f>'TX-EGM-GL'!J51+'TX-HPL-GL '!J51</f>
        <v>-3148</v>
      </c>
      <c r="K51" s="38">
        <f>'TX-EGM-GL'!K51+'TX-HPL-GL '!K51</f>
        <v>-5876</v>
      </c>
      <c r="L51" s="60">
        <f>'TX-EGM-GL'!L51+'TX-HPL-GL '!L51</f>
        <v>-1807</v>
      </c>
      <c r="M51" s="38">
        <f>'TX-EGM-GL'!M51+'TX-HPL-GL '!M51</f>
        <v>-3099.01</v>
      </c>
      <c r="N51" s="60">
        <f>'TX-EGM-GL'!N51+'TX-HPL-GL '!N51</f>
        <v>-2</v>
      </c>
      <c r="O51" s="38">
        <f>'TX-EGM-GL'!O51+'TX-HPL-GL '!O51</f>
        <v>-3.43</v>
      </c>
      <c r="P51" s="60">
        <f>'TX-EGM-GL'!P51+'TX-HPL-GL '!P51</f>
        <v>-35</v>
      </c>
      <c r="Q51" s="38">
        <f>'TX-EGM-GL'!Q51+'TX-HPL-GL '!Q51</f>
        <v>-60.03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'TX-EGM-GL'!AN51+'TX-HPL-GL '!AN51</f>
        <v>0</v>
      </c>
      <c r="AG51" s="38">
        <f>'TX-EGM-GL'!AO51+'TX-HPL-GL '!AO51</f>
        <v>0</v>
      </c>
      <c r="AH51" s="60">
        <f>'TX-EGM-GL'!AR51+'TX-HPL-GL '!AR51</f>
        <v>0</v>
      </c>
      <c r="AI51" s="38">
        <f>'TX-EGM-GL'!AS51+'TX-HPL-GL '!AS51</f>
        <v>0</v>
      </c>
      <c r="AJ51" s="60">
        <f>'TX-EGM-GL'!AV51+'TX-HPL-GL '!AV51</f>
        <v>0</v>
      </c>
      <c r="AK51" s="38">
        <f>'TX-EGM-GL'!AW51+'TX-HPL-GL '!AW51</f>
        <v>0</v>
      </c>
      <c r="AL51" s="60">
        <f>'TX-EGM-GL'!AX51+'TX-HPL-GL '!AX51</f>
        <v>0</v>
      </c>
      <c r="AM51" s="38">
        <f>'TX-EGM-GL'!AY51+'TX-HPL-GL '!AY51</f>
        <v>0</v>
      </c>
      <c r="AN51" s="60">
        <f>'TX-EGM-GL'!AZ51+'TX-HPL-GL '!AZ51</f>
        <v>0</v>
      </c>
      <c r="AO51" s="38">
        <f>'TX-EGM-GL'!BA51+'TX-HPL-GL '!BA51</f>
        <v>0</v>
      </c>
      <c r="AP51" s="60">
        <f>'TX-EGM-GL'!BB51+'TX-HPL-GL '!BB51</f>
        <v>0</v>
      </c>
      <c r="AQ51" s="38">
        <f>'TX-EGM-GL'!BC51+'TX-HPL-GL '!BC51</f>
        <v>0</v>
      </c>
      <c r="AR51" s="60">
        <f>'TX-EGM-GL'!BD51+'TX-HPL-GL '!BD51</f>
        <v>0</v>
      </c>
      <c r="AS51" s="38">
        <f>'TX-EGM-GL'!BE51+'TX-HPL-GL '!BE51</f>
        <v>0</v>
      </c>
      <c r="AT51" s="60">
        <f>'TX-EGM-GL'!BF51+'TX-HPL-GL '!BF51</f>
        <v>0</v>
      </c>
      <c r="AU51" s="38">
        <f>'TX-EGM-GL'!BG51+'TX-HPL-GL '!BG51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36317103</v>
      </c>
      <c r="E54" s="38">
        <f>SUM(G54,I54,K54,M54,O54,Q54,S54,U54,W54,Y54,AA54,AC54,AE54,AG54,AI54,AK54,AM54,AO54,AQ54,AS54,AU54)</f>
        <v>37701.010000000075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-3266641</v>
      </c>
      <c r="I54" s="38">
        <f>'TX-EGM-GL'!I54+'TX-HPL-GL '!I54</f>
        <v>862941.12</v>
      </c>
      <c r="J54" s="60">
        <f>'TX-EGM-GL'!J54+'TX-HPL-GL '!J54</f>
        <v>65995613</v>
      </c>
      <c r="K54" s="38">
        <f>'TX-EGM-GL'!K54+'TX-HPL-GL '!K54</f>
        <v>603042.63</v>
      </c>
      <c r="L54" s="60">
        <f>'TX-EGM-GL'!L54+'TX-HPL-GL '!L54</f>
        <v>-25969367</v>
      </c>
      <c r="M54" s="38">
        <f>'TX-EGM-GL'!M54+'TX-HPL-GL '!M54</f>
        <v>-1309355.42</v>
      </c>
      <c r="N54" s="60">
        <f>'TX-EGM-GL'!N54+'TX-HPL-GL '!N54</f>
        <v>-180934</v>
      </c>
      <c r="O54" s="38">
        <f>'TX-EGM-GL'!O54+'TX-HPL-GL '!O54</f>
        <v>-108995.19</v>
      </c>
      <c r="P54" s="60">
        <f>'TX-EGM-GL'!P54+'TX-HPL-GL '!P54</f>
        <v>54047</v>
      </c>
      <c r="Q54" s="38">
        <f>'TX-EGM-GL'!Q54+'TX-HPL-GL '!Q54</f>
        <v>573.23</v>
      </c>
      <c r="R54" s="60">
        <f>'TX-EGM-GL'!R54+'TX-HPL-GL '!R54</f>
        <v>0</v>
      </c>
      <c r="S54" s="38">
        <f>'TX-EGM-GL'!S54+'TX-HPL-GL '!S54</f>
        <v>770</v>
      </c>
      <c r="T54" s="60">
        <f>'TX-EGM-GL'!T54+'TX-HPL-GL '!T54</f>
        <v>0</v>
      </c>
      <c r="U54" s="38">
        <f>'TX-EGM-GL'!U54+'TX-HPL-GL '!U54</f>
        <v>-9693</v>
      </c>
      <c r="V54" s="60">
        <f>'TX-EGM-GL'!V54+'TX-HPL-GL '!V54</f>
        <v>-24529</v>
      </c>
      <c r="W54" s="38">
        <f>'TX-EGM-GL'!W54+'TX-HPL-GL '!W54</f>
        <v>247.05</v>
      </c>
      <c r="X54" s="60">
        <f>'TX-EGM-GL'!X54+'TX-HPL-GL '!X54</f>
        <v>-673</v>
      </c>
      <c r="Y54" s="38">
        <f>'TX-EGM-GL'!Y54+'TX-HPL-GL '!Y54</f>
        <v>28.57</v>
      </c>
      <c r="Z54" s="60">
        <f>'TX-EGM-GL'!Z54+'TX-HPL-GL '!Z54</f>
        <v>4515</v>
      </c>
      <c r="AA54" s="38">
        <f>'TX-EGM-GL'!AA54+'TX-HPL-GL '!AA54</f>
        <v>-45.15</v>
      </c>
      <c r="AB54" s="60">
        <f>'TX-EGM-GL'!AB54+'TX-HPL-GL '!AB54</f>
        <v>369477</v>
      </c>
      <c r="AC54" s="38">
        <f>'TX-EGM-GL'!AC54+'TX-HPL-GL '!AC54</f>
        <v>997.05</v>
      </c>
      <c r="AD54" s="60">
        <f>'TX-EGM-GL'!AD54+'TX-HPL-GL '!AD54</f>
        <v>-617641</v>
      </c>
      <c r="AE54" s="38">
        <f>'TX-EGM-GL'!AE54+'TX-HPL-GL '!AE54</f>
        <v>-2113.83</v>
      </c>
      <c r="AF54" s="60">
        <f>'TX-EGM-GL'!AN54+'TX-HPL-GL '!AN54</f>
        <v>0</v>
      </c>
      <c r="AG54" s="38">
        <f>'TX-EGM-GL'!AO54+'TX-HPL-GL '!AO54</f>
        <v>0</v>
      </c>
      <c r="AH54" s="60">
        <f>'TX-EGM-GL'!AR54+'TX-HPL-GL '!AR54</f>
        <v>-46764</v>
      </c>
      <c r="AI54" s="38">
        <f>'TX-EGM-GL'!AS54+'TX-HPL-GL '!AS54</f>
        <v>-696.05</v>
      </c>
      <c r="AJ54" s="60">
        <f>'TX-EGM-GL'!AV54+'TX-HPL-GL '!AV54</f>
        <v>0</v>
      </c>
      <c r="AK54" s="38">
        <f>'TX-EGM-GL'!AW54+'TX-HPL-GL '!AW54</f>
        <v>0</v>
      </c>
      <c r="AL54" s="60">
        <f>'TX-EGM-GL'!AX54+'TX-HPL-GL '!AX54</f>
        <v>0</v>
      </c>
      <c r="AM54" s="38">
        <f>'TX-EGM-GL'!AY54+'TX-HPL-GL '!AY54</f>
        <v>0</v>
      </c>
      <c r="AN54" s="60">
        <f>'TX-EGM-GL'!AZ54+'TX-HPL-GL '!AZ54</f>
        <v>0</v>
      </c>
      <c r="AO54" s="38">
        <f>'TX-EGM-GL'!BA54+'TX-HPL-GL '!BA54</f>
        <v>0</v>
      </c>
      <c r="AP54" s="60">
        <f>'TX-EGM-GL'!BB54+'TX-HPL-GL '!BB54</f>
        <v>0</v>
      </c>
      <c r="AQ54" s="38">
        <f>'TX-EGM-GL'!BC54+'TX-HPL-GL '!BC54</f>
        <v>0</v>
      </c>
      <c r="AR54" s="60">
        <f>'TX-EGM-GL'!BD54+'TX-HPL-GL '!BD54</f>
        <v>0</v>
      </c>
      <c r="AS54" s="38">
        <f>'TX-EGM-GL'!BE54+'TX-HPL-GL '!BE54</f>
        <v>0</v>
      </c>
      <c r="AT54" s="60">
        <f>'TX-EGM-GL'!BF54+'TX-HPL-GL '!BF54</f>
        <v>0</v>
      </c>
      <c r="AU54" s="38">
        <f>'TX-EGM-GL'!BG54+'TX-HPL-GL '!BG54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-1393</v>
      </c>
      <c r="E55" s="38">
        <f>SUM(G55,I55,K55,M55,O55,Q55,S55,U55,W55,Y55,AA55,AC55,AE55,AG55,AI55,AK55,AM55,AO55,AQ55,AS55,AU55)</f>
        <v>-603177.62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-823333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220237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'TX-EGM-GL'!AN55+'TX-HPL-GL '!AN55</f>
        <v>0</v>
      </c>
      <c r="AG55" s="38">
        <f>'TX-EGM-GL'!AO55+'TX-HPL-GL '!AO55</f>
        <v>0</v>
      </c>
      <c r="AH55" s="60">
        <f>'TX-EGM-GL'!AR55+'TX-HPL-GL '!AR55</f>
        <v>-1393</v>
      </c>
      <c r="AI55" s="38">
        <f>'TX-EGM-GL'!AS55+'TX-HPL-GL '!AS55</f>
        <v>-81.62</v>
      </c>
      <c r="AJ55" s="60">
        <f>'TX-EGM-GL'!AV55+'TX-HPL-GL '!AV55</f>
        <v>0</v>
      </c>
      <c r="AK55" s="38">
        <f>'TX-EGM-GL'!AW55+'TX-HPL-GL '!AW55</f>
        <v>0</v>
      </c>
      <c r="AL55" s="60">
        <f>'TX-EGM-GL'!AX55+'TX-HPL-GL '!AX55</f>
        <v>0</v>
      </c>
      <c r="AM55" s="38">
        <f>'TX-EGM-GL'!AY55+'TX-HPL-GL '!AY55</f>
        <v>0</v>
      </c>
      <c r="AN55" s="60">
        <f>'TX-EGM-GL'!AZ55+'TX-HPL-GL '!AZ55</f>
        <v>0</v>
      </c>
      <c r="AO55" s="38">
        <f>'TX-EGM-GL'!BA55+'TX-HPL-GL '!BA55</f>
        <v>0</v>
      </c>
      <c r="AP55" s="60">
        <f>'TX-EGM-GL'!BB55+'TX-HPL-GL '!BB55</f>
        <v>0</v>
      </c>
      <c r="AQ55" s="38">
        <f>'TX-EGM-GL'!BC55+'TX-HPL-GL '!BC55</f>
        <v>0</v>
      </c>
      <c r="AR55" s="60">
        <f>'TX-EGM-GL'!BD55+'TX-HPL-GL '!BD55</f>
        <v>0</v>
      </c>
      <c r="AS55" s="38">
        <f>'TX-EGM-GL'!BE55+'TX-HPL-GL '!BE55</f>
        <v>0</v>
      </c>
      <c r="AT55" s="60">
        <f>'TX-EGM-GL'!BF55+'TX-HPL-GL '!BF55</f>
        <v>0</v>
      </c>
      <c r="AU55" s="38">
        <f>'TX-EGM-GL'!BG55+'TX-HPL-GL '!BG55</f>
        <v>0</v>
      </c>
    </row>
    <row r="56" spans="1:47" x14ac:dyDescent="0.25">
      <c r="A56" s="9"/>
      <c r="B56" s="7" t="s">
        <v>61</v>
      </c>
      <c r="C56" s="6"/>
      <c r="D56" s="61">
        <f>SUM(D54:D55)</f>
        <v>36315710</v>
      </c>
      <c r="E56" s="39">
        <f>SUM(E54:E55)</f>
        <v>-565476.60999999987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-3266641</v>
      </c>
      <c r="I56" s="39">
        <f t="shared" si="29"/>
        <v>862941.12</v>
      </c>
      <c r="J56" s="61">
        <f t="shared" si="29"/>
        <v>65995613</v>
      </c>
      <c r="K56" s="39">
        <f t="shared" si="29"/>
        <v>603042.63</v>
      </c>
      <c r="L56" s="61">
        <f t="shared" si="29"/>
        <v>-25969367</v>
      </c>
      <c r="M56" s="39">
        <f t="shared" si="29"/>
        <v>-1309355.42</v>
      </c>
      <c r="N56" s="61">
        <f t="shared" si="29"/>
        <v>-180934</v>
      </c>
      <c r="O56" s="39">
        <f t="shared" si="29"/>
        <v>-932328.19</v>
      </c>
      <c r="P56" s="61">
        <f t="shared" si="29"/>
        <v>54047</v>
      </c>
      <c r="Q56" s="39">
        <f t="shared" si="29"/>
        <v>573.23</v>
      </c>
      <c r="R56" s="61">
        <f t="shared" si="29"/>
        <v>0</v>
      </c>
      <c r="S56" s="39">
        <f t="shared" si="29"/>
        <v>221007</v>
      </c>
      <c r="T56" s="61">
        <f t="shared" si="29"/>
        <v>0</v>
      </c>
      <c r="U56" s="39">
        <f t="shared" ref="U56:AE56" si="30">SUM(U54:U55)</f>
        <v>-9693</v>
      </c>
      <c r="V56" s="61">
        <f t="shared" si="29"/>
        <v>-24529</v>
      </c>
      <c r="W56" s="39">
        <f t="shared" si="30"/>
        <v>247.05</v>
      </c>
      <c r="X56" s="61">
        <f t="shared" si="29"/>
        <v>-673</v>
      </c>
      <c r="Y56" s="39">
        <f t="shared" si="30"/>
        <v>28.57</v>
      </c>
      <c r="Z56" s="61">
        <f t="shared" si="29"/>
        <v>4515</v>
      </c>
      <c r="AA56" s="39">
        <f t="shared" si="30"/>
        <v>-45.15</v>
      </c>
      <c r="AB56" s="61">
        <f t="shared" si="29"/>
        <v>369477</v>
      </c>
      <c r="AC56" s="39">
        <f t="shared" si="30"/>
        <v>997.05</v>
      </c>
      <c r="AD56" s="61">
        <f t="shared" si="29"/>
        <v>-617641</v>
      </c>
      <c r="AE56" s="39">
        <f t="shared" si="30"/>
        <v>-2113.83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-48157</v>
      </c>
      <c r="AI56" s="39">
        <f t="shared" si="31"/>
        <v>-777.67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1632.12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0</v>
      </c>
      <c r="J59" s="60">
        <f>'TX-EGM-GL'!J59+'TX-HPL-GL '!J59</f>
        <v>0</v>
      </c>
      <c r="K59" s="38">
        <f>'TX-EGM-GL'!K59+'TX-HPL-GL '!K59</f>
        <v>350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0</v>
      </c>
      <c r="P59" s="60">
        <f>'TX-EGM-GL'!P59+'TX-HPL-GL '!P59</f>
        <v>0</v>
      </c>
      <c r="Q59" s="38">
        <f>'TX-EGM-GL'!Q59+'TX-HPL-GL '!Q59</f>
        <v>312.5</v>
      </c>
      <c r="R59" s="60">
        <f>'TX-EGM-GL'!R59+'TX-HPL-GL '!R59</f>
        <v>0</v>
      </c>
      <c r="S59" s="38">
        <f>'TX-EGM-GL'!S59+'TX-HPL-GL '!S59</f>
        <v>0</v>
      </c>
      <c r="T59" s="60">
        <f>'TX-EGM-GL'!T59+'TX-HPL-GL '!T59</f>
        <v>0</v>
      </c>
      <c r="U59" s="38">
        <f>'TX-EGM-GL'!U59+'TX-HPL-GL '!U59</f>
        <v>200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969.62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-200</v>
      </c>
      <c r="AF59" s="60">
        <f>'TX-EGM-GL'!AN59+'TX-HPL-GL '!AN59</f>
        <v>0</v>
      </c>
      <c r="AG59" s="38">
        <f>'TX-EGM-GL'!AO59+'TX-HPL-GL '!AO59</f>
        <v>0</v>
      </c>
      <c r="AH59" s="60">
        <f>'TX-EGM-GL'!AR59+'TX-HPL-GL '!AR59</f>
        <v>0</v>
      </c>
      <c r="AI59" s="38">
        <f>'TX-EGM-GL'!AS59+'TX-HPL-GL '!AS59</f>
        <v>0</v>
      </c>
      <c r="AJ59" s="60">
        <f>'TX-EGM-GL'!AV59+'TX-HPL-GL '!AV59</f>
        <v>0</v>
      </c>
      <c r="AK59" s="38">
        <f>'TX-EGM-GL'!AW59+'TX-HPL-GL '!AW59</f>
        <v>0</v>
      </c>
      <c r="AL59" s="60">
        <f>'TX-EGM-GL'!AX59+'TX-HPL-GL '!AX59</f>
        <v>0</v>
      </c>
      <c r="AM59" s="38">
        <f>'TX-EGM-GL'!AY59+'TX-HPL-GL '!AY59</f>
        <v>0</v>
      </c>
      <c r="AN59" s="60">
        <f>'TX-EGM-GL'!AZ59+'TX-HPL-GL '!AZ59</f>
        <v>0</v>
      </c>
      <c r="AO59" s="38">
        <f>'TX-EGM-GL'!BA59+'TX-HPL-GL '!BA59</f>
        <v>0</v>
      </c>
      <c r="AP59" s="60">
        <f>'TX-EGM-GL'!BB59+'TX-HPL-GL '!BB59</f>
        <v>0</v>
      </c>
      <c r="AQ59" s="38">
        <f>'TX-EGM-GL'!BC59+'TX-HPL-GL '!BC59</f>
        <v>0</v>
      </c>
      <c r="AR59" s="60">
        <f>'TX-EGM-GL'!BD59+'TX-HPL-GL '!BD59</f>
        <v>0</v>
      </c>
      <c r="AS59" s="38">
        <f>'TX-EGM-GL'!BE59+'TX-HPL-GL '!BE59</f>
        <v>0</v>
      </c>
      <c r="AT59" s="60">
        <f>'TX-EGM-GL'!BF59+'TX-HPL-GL '!BF59</f>
        <v>0</v>
      </c>
      <c r="AU59" s="38">
        <f>'TX-EGM-GL'!BG59+'TX-HPL-GL '!BG59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'TX-EGM-GL'!AN60+'TX-HPL-GL '!AN60</f>
        <v>0</v>
      </c>
      <c r="AG60" s="38">
        <f>'TX-EGM-GL'!AO60+'TX-HPL-GL '!AO60</f>
        <v>0</v>
      </c>
      <c r="AH60" s="60">
        <f>'TX-EGM-GL'!AR60+'TX-HPL-GL '!AR60</f>
        <v>0</v>
      </c>
      <c r="AI60" s="38">
        <f>'TX-EGM-GL'!AS60+'TX-HPL-GL '!AS60</f>
        <v>0</v>
      </c>
      <c r="AJ60" s="60">
        <f>'TX-EGM-GL'!AV60+'TX-HPL-GL '!AV60</f>
        <v>0</v>
      </c>
      <c r="AK60" s="38">
        <f>'TX-EGM-GL'!AW60+'TX-HPL-GL '!AW60</f>
        <v>0</v>
      </c>
      <c r="AL60" s="60">
        <f>'TX-EGM-GL'!AX60+'TX-HPL-GL '!AX60</f>
        <v>0</v>
      </c>
      <c r="AM60" s="38">
        <f>'TX-EGM-GL'!AY60+'TX-HPL-GL '!AY60</f>
        <v>0</v>
      </c>
      <c r="AN60" s="60">
        <f>'TX-EGM-GL'!AZ60+'TX-HPL-GL '!AZ60</f>
        <v>0</v>
      </c>
      <c r="AO60" s="38">
        <f>'TX-EGM-GL'!BA60+'TX-HPL-GL '!BA60</f>
        <v>0</v>
      </c>
      <c r="AP60" s="60">
        <f>'TX-EGM-GL'!BB60+'TX-HPL-GL '!BB60</f>
        <v>0</v>
      </c>
      <c r="AQ60" s="38">
        <f>'TX-EGM-GL'!BC60+'TX-HPL-GL '!BC60</f>
        <v>0</v>
      </c>
      <c r="AR60" s="60">
        <f>'TX-EGM-GL'!BD60+'TX-HPL-GL '!BD60</f>
        <v>0</v>
      </c>
      <c r="AS60" s="38">
        <f>'TX-EGM-GL'!BE60+'TX-HPL-GL '!BE60</f>
        <v>0</v>
      </c>
      <c r="AT60" s="60">
        <f>'TX-EGM-GL'!BF60+'TX-HPL-GL '!BF60</f>
        <v>0</v>
      </c>
      <c r="AU60" s="38">
        <f>'TX-EGM-GL'!BG60+'TX-HPL-GL '!BG60</f>
        <v>0</v>
      </c>
    </row>
    <row r="61" spans="1:4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1632.12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39">
        <f t="shared" si="33"/>
        <v>350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312.5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200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969.62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-200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-68120894</v>
      </c>
      <c r="E64" s="38">
        <f>SUM(G64,I64,K64,M64,O64,Q64,S64,U64,W64,Y64,AA64,AC64,AE64,AG64,AI64,AK64,AM64,AO64,AQ64,AS64,AU64)</f>
        <v>-1392245.1199999996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-40457043</v>
      </c>
      <c r="I64" s="38">
        <f>'TX-EGM-GL'!I64+'TX-HPL-GL '!I64</f>
        <v>-1581287.8</v>
      </c>
      <c r="J64" s="60">
        <f>'TX-EGM-GL'!J64+'TX-HPL-GL '!J64</f>
        <v>-56440738</v>
      </c>
      <c r="K64" s="38">
        <f>'TX-EGM-GL'!K64+'TX-HPL-GL '!K64</f>
        <v>-608060.37</v>
      </c>
      <c r="L64" s="60">
        <f>'TX-EGM-GL'!L64+'TX-HPL-GL '!L64</f>
        <v>28519169</v>
      </c>
      <c r="M64" s="38">
        <f>'TX-EGM-GL'!M64+'TX-HPL-GL '!M64</f>
        <v>696609.74000000011</v>
      </c>
      <c r="N64" s="60">
        <f>'TX-EGM-GL'!N64+'TX-HPL-GL '!N64</f>
        <v>213538</v>
      </c>
      <c r="O64" s="38">
        <f>'TX-EGM-GL'!O64+'TX-HPL-GL '!O64</f>
        <v>2495.54</v>
      </c>
      <c r="P64" s="60">
        <f>'TX-EGM-GL'!P64+'TX-HPL-GL '!P64</f>
        <v>22911</v>
      </c>
      <c r="Q64" s="38">
        <f>'TX-EGM-GL'!Q64+'TX-HPL-GL '!Q64</f>
        <v>-225.83</v>
      </c>
      <c r="R64" s="60">
        <f>'TX-EGM-GL'!R64+'TX-HPL-GL '!R64</f>
        <v>-58407</v>
      </c>
      <c r="S64" s="38">
        <f>'TX-EGM-GL'!S64+'TX-HPL-GL '!S64</f>
        <v>375</v>
      </c>
      <c r="T64" s="60">
        <f>'TX-EGM-GL'!T64+'TX-HPL-GL '!T64</f>
        <v>86495</v>
      </c>
      <c r="U64" s="38">
        <f>'TX-EGM-GL'!U64+'TX-HPL-GL '!U64</f>
        <v>203.51</v>
      </c>
      <c r="V64" s="60">
        <f>'TX-EGM-GL'!V64+'TX-HPL-GL '!V64</f>
        <v>-2781</v>
      </c>
      <c r="W64" s="38">
        <f>'TX-EGM-GL'!W64+'TX-HPL-GL '!W64</f>
        <v>52.25</v>
      </c>
      <c r="X64" s="60">
        <f>'TX-EGM-GL'!X64+'TX-HPL-GL '!X64</f>
        <v>-6417</v>
      </c>
      <c r="Y64" s="38">
        <f>'TX-EGM-GL'!Y64+'TX-HPL-GL '!Y64</f>
        <v>11.51</v>
      </c>
      <c r="Z64" s="60">
        <f>'TX-EGM-GL'!Z64+'TX-HPL-GL '!Z64</f>
        <v>4515</v>
      </c>
      <c r="AA64" s="38">
        <f>'TX-EGM-GL'!AA64+'TX-HPL-GL '!AA64</f>
        <v>-90.75</v>
      </c>
      <c r="AB64" s="60">
        <f>'TX-EGM-GL'!AB64+'TX-HPL-GL '!AB64</f>
        <v>10000</v>
      </c>
      <c r="AC64" s="38">
        <f>'TX-EGM-GL'!AC64+'TX-HPL-GL '!AC64</f>
        <v>100</v>
      </c>
      <c r="AD64" s="60">
        <f>'TX-EGM-GL'!AD64+'TX-HPL-GL '!AD64</f>
        <v>0</v>
      </c>
      <c r="AE64" s="38">
        <f>'TX-EGM-GL'!AE64+'TX-HPL-GL '!AE64</f>
        <v>0</v>
      </c>
      <c r="AF64" s="60">
        <f>'TX-EGM-GL'!AN64+'TX-HPL-GL '!AN64</f>
        <v>-12136</v>
      </c>
      <c r="AG64" s="38">
        <f>'TX-EGM-GL'!AO64+'TX-HPL-GL '!AO64</f>
        <v>4272.08</v>
      </c>
      <c r="AH64" s="60">
        <f>'TX-EGM-GL'!AR64+'TX-HPL-GL '!AR64</f>
        <v>0</v>
      </c>
      <c r="AI64" s="38">
        <f>'TX-EGM-GL'!AS64+'TX-HPL-GL '!AS64</f>
        <v>0</v>
      </c>
      <c r="AJ64" s="60">
        <f>'TX-EGM-GL'!AV64+'TX-HPL-GL '!AV64</f>
        <v>0</v>
      </c>
      <c r="AK64" s="38">
        <f>'TX-EGM-GL'!AW64+'TX-HPL-GL '!AW64</f>
        <v>0</v>
      </c>
      <c r="AL64" s="60">
        <f>'TX-EGM-GL'!AX64+'TX-HPL-GL '!AX64</f>
        <v>0</v>
      </c>
      <c r="AM64" s="38">
        <f>'TX-EGM-GL'!AY64+'TX-HPL-GL '!AY64</f>
        <v>0</v>
      </c>
      <c r="AN64" s="60">
        <f>'TX-EGM-GL'!AZ64+'TX-HPL-GL '!AZ64</f>
        <v>0</v>
      </c>
      <c r="AO64" s="38">
        <f>'TX-EGM-GL'!BA64+'TX-HPL-GL '!BA64</f>
        <v>0</v>
      </c>
      <c r="AP64" s="60">
        <f>'TX-EGM-GL'!BB64+'TX-HPL-GL '!BB64</f>
        <v>0</v>
      </c>
      <c r="AQ64" s="38">
        <f>'TX-EGM-GL'!BC64+'TX-HPL-GL '!BC64</f>
        <v>0</v>
      </c>
      <c r="AR64" s="60">
        <f>'TX-EGM-GL'!BD64+'TX-HPL-GL '!BD64</f>
        <v>0</v>
      </c>
      <c r="AS64" s="38">
        <f>'TX-EGM-GL'!BE64+'TX-HPL-GL '!BE64</f>
        <v>0</v>
      </c>
      <c r="AT64" s="60">
        <f>'TX-EGM-GL'!BF64+'TX-HPL-GL '!BF64</f>
        <v>0</v>
      </c>
      <c r="AU64" s="38">
        <f>'TX-EGM-GL'!BG64+'TX-HPL-GL '!BG64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1252816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0</v>
      </c>
      <c r="N65" s="60">
        <f>'TX-EGM-GL'!N65+'TX-HPL-GL '!N65</f>
        <v>0</v>
      </c>
      <c r="O65" s="38">
        <f>'TX-EGM-GL'!O65+'TX-HPL-GL '!O65</f>
        <v>1283834</v>
      </c>
      <c r="P65" s="60">
        <f>'TX-EGM-GL'!P65+'TX-HPL-GL '!P65</f>
        <v>0</v>
      </c>
      <c r="Q65" s="38">
        <f>'TX-EGM-GL'!Q65+'TX-HPL-GL '!Q65</f>
        <v>125</v>
      </c>
      <c r="R65" s="60">
        <f>'TX-EGM-GL'!R65+'TX-HPL-GL '!R65</f>
        <v>0</v>
      </c>
      <c r="S65" s="38">
        <f>'TX-EGM-GL'!S65+'TX-HPL-GL '!S65</f>
        <v>0</v>
      </c>
      <c r="T65" s="60">
        <f>'TX-EGM-GL'!T65+'TX-HPL-GL '!T65</f>
        <v>0</v>
      </c>
      <c r="U65" s="38">
        <f>'TX-EGM-GL'!U65+'TX-HPL-GL '!U65</f>
        <v>-1389</v>
      </c>
      <c r="V65" s="60">
        <f>'TX-EGM-GL'!V65+'TX-HPL-GL '!V65</f>
        <v>0</v>
      </c>
      <c r="W65" s="38">
        <f>'TX-EGM-GL'!W65+'TX-HPL-GL '!W65</f>
        <v>-38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-29584</v>
      </c>
      <c r="AB65" s="60">
        <f>'TX-EGM-GL'!AB65+'TX-HPL-GL '!AB65</f>
        <v>0</v>
      </c>
      <c r="AC65" s="38">
        <f>'TX-EGM-GL'!AC65+'TX-HPL-GL '!AC65</f>
        <v>-132</v>
      </c>
      <c r="AD65" s="60">
        <f>'TX-EGM-GL'!AD65+'TX-HPL-GL '!AD65</f>
        <v>0</v>
      </c>
      <c r="AE65" s="38">
        <f>'TX-EGM-GL'!AE65+'TX-HPL-GL '!AE65</f>
        <v>0</v>
      </c>
      <c r="AF65" s="60">
        <f>'TX-EGM-GL'!AN65+'TX-HPL-GL '!AN65</f>
        <v>0</v>
      </c>
      <c r="AG65" s="38">
        <f>'TX-EGM-GL'!AO65+'TX-HPL-GL '!AO65</f>
        <v>0</v>
      </c>
      <c r="AH65" s="60">
        <f>'TX-EGM-GL'!AR65+'TX-HPL-GL '!AR65</f>
        <v>0</v>
      </c>
      <c r="AI65" s="38">
        <f>'TX-EGM-GL'!AS65+'TX-HPL-GL '!AS65</f>
        <v>0</v>
      </c>
      <c r="AJ65" s="60">
        <f>'TX-EGM-GL'!AV65+'TX-HPL-GL '!AV65</f>
        <v>0</v>
      </c>
      <c r="AK65" s="38">
        <f>'TX-EGM-GL'!AW65+'TX-HPL-GL '!AW65</f>
        <v>0</v>
      </c>
      <c r="AL65" s="60">
        <f>'TX-EGM-GL'!AX65+'TX-HPL-GL '!AX65</f>
        <v>0</v>
      </c>
      <c r="AM65" s="38">
        <f>'TX-EGM-GL'!AY65+'TX-HPL-GL '!AY65</f>
        <v>0</v>
      </c>
      <c r="AN65" s="60">
        <f>'TX-EGM-GL'!AZ65+'TX-HPL-GL '!AZ65</f>
        <v>0</v>
      </c>
      <c r="AO65" s="38">
        <f>'TX-EGM-GL'!BA65+'TX-HPL-GL '!BA65</f>
        <v>0</v>
      </c>
      <c r="AP65" s="60">
        <f>'TX-EGM-GL'!BB65+'TX-HPL-GL '!BB65</f>
        <v>0</v>
      </c>
      <c r="AQ65" s="38">
        <f>'TX-EGM-GL'!BC65+'TX-HPL-GL '!BC65</f>
        <v>0</v>
      </c>
      <c r="AR65" s="60">
        <f>'TX-EGM-GL'!BD65+'TX-HPL-GL '!BD65</f>
        <v>0</v>
      </c>
      <c r="AS65" s="38">
        <f>'TX-EGM-GL'!BE65+'TX-HPL-GL '!BE65</f>
        <v>0</v>
      </c>
      <c r="AT65" s="60">
        <f>'TX-EGM-GL'!BF65+'TX-HPL-GL '!BF65</f>
        <v>0</v>
      </c>
      <c r="AU65" s="38">
        <f>'TX-EGM-GL'!BG65+'TX-HPL-GL '!BG65</f>
        <v>0</v>
      </c>
    </row>
    <row r="66" spans="1:47" x14ac:dyDescent="0.25">
      <c r="A66" s="9"/>
      <c r="B66" s="7" t="s">
        <v>68</v>
      </c>
      <c r="C66" s="6"/>
      <c r="D66" s="61">
        <f>SUM(D64:D65)</f>
        <v>-68120894</v>
      </c>
      <c r="E66" s="39">
        <f>SUM(E64:E65)</f>
        <v>-139429.11999999965</v>
      </c>
      <c r="F66" s="61">
        <f t="shared" ref="F66:AD66" si="37">SUM(F64:F65)</f>
        <v>0</v>
      </c>
      <c r="G66" s="39">
        <f t="shared" si="37"/>
        <v>93300</v>
      </c>
      <c r="H66" s="61">
        <f t="shared" si="37"/>
        <v>-40457043</v>
      </c>
      <c r="I66" s="39">
        <f t="shared" si="37"/>
        <v>-1581287.8</v>
      </c>
      <c r="J66" s="61">
        <f t="shared" si="37"/>
        <v>-56440738</v>
      </c>
      <c r="K66" s="39">
        <f t="shared" si="37"/>
        <v>-608060.37</v>
      </c>
      <c r="L66" s="61">
        <f t="shared" si="37"/>
        <v>28519169</v>
      </c>
      <c r="M66" s="39">
        <f t="shared" si="37"/>
        <v>696609.74000000011</v>
      </c>
      <c r="N66" s="61">
        <f t="shared" si="37"/>
        <v>213538</v>
      </c>
      <c r="O66" s="39">
        <f t="shared" si="37"/>
        <v>1286329.54</v>
      </c>
      <c r="P66" s="61">
        <f t="shared" si="37"/>
        <v>22911</v>
      </c>
      <c r="Q66" s="39">
        <f t="shared" si="37"/>
        <v>-100.83000000000001</v>
      </c>
      <c r="R66" s="61">
        <f t="shared" si="37"/>
        <v>-58407</v>
      </c>
      <c r="S66" s="39">
        <f t="shared" si="37"/>
        <v>375</v>
      </c>
      <c r="T66" s="61">
        <f t="shared" si="37"/>
        <v>86495</v>
      </c>
      <c r="U66" s="39">
        <f t="shared" ref="U66:AE66" si="38">SUM(U64:U65)</f>
        <v>-1185.49</v>
      </c>
      <c r="V66" s="61">
        <f t="shared" si="37"/>
        <v>-2781</v>
      </c>
      <c r="W66" s="39">
        <f t="shared" si="38"/>
        <v>14.25</v>
      </c>
      <c r="X66" s="61">
        <f t="shared" si="37"/>
        <v>-6417</v>
      </c>
      <c r="Y66" s="39">
        <f t="shared" si="38"/>
        <v>11.51</v>
      </c>
      <c r="Z66" s="61">
        <f t="shared" si="37"/>
        <v>4515</v>
      </c>
      <c r="AA66" s="39">
        <f t="shared" si="38"/>
        <v>-29674.75</v>
      </c>
      <c r="AB66" s="61">
        <f t="shared" si="37"/>
        <v>10000</v>
      </c>
      <c r="AC66" s="39">
        <f t="shared" si="38"/>
        <v>-32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-12136</v>
      </c>
      <c r="AG66" s="39">
        <f t="shared" si="39"/>
        <v>4272.08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-140015.5</v>
      </c>
      <c r="F70" s="64">
        <f>('TIE-OUT'!P70+'TIE-OUT'!R70)+(RECLASS!P70+RECLASS!R70)</f>
        <v>0</v>
      </c>
      <c r="G70" s="68">
        <f>('TIE-OUT'!Q70+'TIE-OUT'!S70)+(RECLASS!Q70+RECLASS!S70)</f>
        <v>-140015.5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'TX-EGM-GL'!AN70+'TX-HPL-GL '!AN70</f>
        <v>0</v>
      </c>
      <c r="AG70" s="38">
        <f>'TX-EGM-GL'!AO70+'TX-HPL-GL '!AO70</f>
        <v>0</v>
      </c>
      <c r="AH70" s="60">
        <f>'TX-EGM-GL'!AR70+'TX-HPL-GL '!AR70</f>
        <v>0</v>
      </c>
      <c r="AI70" s="38">
        <f>'TX-EGM-GL'!AS70+'TX-HPL-GL '!AS70</f>
        <v>0</v>
      </c>
      <c r="AJ70" s="60">
        <f>'TX-EGM-GL'!AV70+'TX-HPL-GL '!AV70</f>
        <v>0</v>
      </c>
      <c r="AK70" s="38">
        <f>'TX-EGM-GL'!AW70+'TX-HPL-GL '!AW70</f>
        <v>0</v>
      </c>
      <c r="AL70" s="60">
        <f>'TX-EGM-GL'!AX70+'TX-HPL-GL '!AX70</f>
        <v>0</v>
      </c>
      <c r="AM70" s="38">
        <f>'TX-EGM-GL'!AY70+'TX-HPL-GL '!AY70</f>
        <v>0</v>
      </c>
      <c r="AN70" s="60">
        <f>'TX-EGM-GL'!AZ70+'TX-HPL-GL '!AZ70</f>
        <v>0</v>
      </c>
      <c r="AO70" s="38">
        <f>'TX-EGM-GL'!BA70+'TX-HPL-GL '!BA70</f>
        <v>0</v>
      </c>
      <c r="AP70" s="60">
        <f>'TX-EGM-GL'!BB70+'TX-HPL-GL '!BB70</f>
        <v>0</v>
      </c>
      <c r="AQ70" s="38">
        <f>'TX-EGM-GL'!BC70+'TX-HPL-GL '!BC70</f>
        <v>0</v>
      </c>
      <c r="AR70" s="60">
        <f>'TX-EGM-GL'!BD70+'TX-HPL-GL '!BD70</f>
        <v>0</v>
      </c>
      <c r="AS70" s="38">
        <f>'TX-EGM-GL'!BE70+'TX-HPL-GL '!BE70</f>
        <v>0</v>
      </c>
      <c r="AT70" s="60">
        <f>'TX-EGM-GL'!BF70+'TX-HPL-GL '!BF70</f>
        <v>0</v>
      </c>
      <c r="AU70" s="38">
        <f>'TX-EGM-GL'!BG70+'TX-HPL-GL '!BG70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'TX-EGM-GL'!AN71+'TX-HPL-GL '!AN71</f>
        <v>0</v>
      </c>
      <c r="AG71" s="38">
        <f>'TX-EGM-GL'!AO71+'TX-HPL-GL '!AO71</f>
        <v>0</v>
      </c>
      <c r="AH71" s="60">
        <f>'TX-EGM-GL'!AR71+'TX-HPL-GL '!AR71</f>
        <v>0</v>
      </c>
      <c r="AI71" s="38">
        <f>'TX-EGM-GL'!AS71+'TX-HPL-GL '!AS71</f>
        <v>0</v>
      </c>
      <c r="AJ71" s="60">
        <f>'TX-EGM-GL'!AV71+'TX-HPL-GL '!AV71</f>
        <v>0</v>
      </c>
      <c r="AK71" s="38">
        <f>'TX-EGM-GL'!AW71+'TX-HPL-GL '!AW71</f>
        <v>0</v>
      </c>
      <c r="AL71" s="60">
        <f>'TX-EGM-GL'!AX71+'TX-HPL-GL '!AX71</f>
        <v>0</v>
      </c>
      <c r="AM71" s="38">
        <f>'TX-EGM-GL'!AY71+'TX-HPL-GL '!AY71</f>
        <v>0</v>
      </c>
      <c r="AN71" s="60">
        <f>'TX-EGM-GL'!AZ71+'TX-HPL-GL '!AZ71</f>
        <v>0</v>
      </c>
      <c r="AO71" s="38">
        <f>'TX-EGM-GL'!BA71+'TX-HPL-GL '!BA71</f>
        <v>0</v>
      </c>
      <c r="AP71" s="60">
        <f>'TX-EGM-GL'!BB71+'TX-HPL-GL '!BB71</f>
        <v>0</v>
      </c>
      <c r="AQ71" s="38">
        <f>'TX-EGM-GL'!BC71+'TX-HPL-GL '!BC71</f>
        <v>0</v>
      </c>
      <c r="AR71" s="60">
        <f>'TX-EGM-GL'!BD71+'TX-HPL-GL '!BD71</f>
        <v>0</v>
      </c>
      <c r="AS71" s="38">
        <f>'TX-EGM-GL'!BE71+'TX-HPL-GL '!BE71</f>
        <v>0</v>
      </c>
      <c r="AT71" s="60">
        <f>'TX-EGM-GL'!BF71+'TX-HPL-GL '!BF71</f>
        <v>0</v>
      </c>
      <c r="AU71" s="38">
        <f>'TX-EGM-GL'!BG71+'TX-HPL-GL '!BG71</f>
        <v>0</v>
      </c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-140015.5</v>
      </c>
      <c r="F72" s="61">
        <f t="shared" ref="F72:AD72" si="41">SUM(F70:F71)</f>
        <v>0</v>
      </c>
      <c r="G72" s="39">
        <f t="shared" si="41"/>
        <v>-140015.5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0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'TX-EGM-GL'!AN73+'TX-HPL-GL '!AN73</f>
        <v>0</v>
      </c>
      <c r="AG73" s="38">
        <f>'TX-EGM-GL'!AO73+'TX-HPL-GL '!AO73</f>
        <v>0</v>
      </c>
      <c r="AH73" s="60">
        <f>'TX-EGM-GL'!AR73+'TX-HPL-GL '!AR73</f>
        <v>0</v>
      </c>
      <c r="AI73" s="38">
        <f>'TX-EGM-GL'!AS73+'TX-HPL-GL '!AS73</f>
        <v>0</v>
      </c>
      <c r="AJ73" s="60">
        <f>'TX-EGM-GL'!AV73+'TX-HPL-GL '!AV73</f>
        <v>0</v>
      </c>
      <c r="AK73" s="38">
        <f>'TX-EGM-GL'!AW73+'TX-HPL-GL '!AW73</f>
        <v>0</v>
      </c>
      <c r="AL73" s="60">
        <f>'TX-EGM-GL'!AX73+'TX-HPL-GL '!AX73</f>
        <v>0</v>
      </c>
      <c r="AM73" s="38">
        <f>'TX-EGM-GL'!AY73+'TX-HPL-GL '!AY73</f>
        <v>0</v>
      </c>
      <c r="AN73" s="60">
        <f>'TX-EGM-GL'!AZ73+'TX-HPL-GL '!AZ73</f>
        <v>0</v>
      </c>
      <c r="AO73" s="38">
        <f>'TX-EGM-GL'!BA73+'TX-HPL-GL '!BA73</f>
        <v>0</v>
      </c>
      <c r="AP73" s="60">
        <f>'TX-EGM-GL'!BB73+'TX-HPL-GL '!BB73</f>
        <v>0</v>
      </c>
      <c r="AQ73" s="38">
        <f>'TX-EGM-GL'!BC73+'TX-HPL-GL '!BC73</f>
        <v>0</v>
      </c>
      <c r="AR73" s="60">
        <f>'TX-EGM-GL'!BD73+'TX-HPL-GL '!BD73</f>
        <v>0</v>
      </c>
      <c r="AS73" s="38">
        <f>'TX-EGM-GL'!BE73+'TX-HPL-GL '!BE73</f>
        <v>0</v>
      </c>
      <c r="AT73" s="60">
        <f>'TX-EGM-GL'!BF73+'TX-HPL-GL '!BF73</f>
        <v>0</v>
      </c>
      <c r="AU73" s="38">
        <f>'TX-EGM-GL'!BG73+'TX-HPL-GL '!BG73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778725.54</v>
      </c>
      <c r="F74" s="60">
        <f>('TIE-OUT'!P74+'TIE-OUT'!R74)+(RECLASS!P74+RECLASS!R74)</f>
        <v>0</v>
      </c>
      <c r="G74" s="60">
        <f>('TIE-OUT'!Q74+'TIE-OUT'!S74)+(RECLASS!Q74+RECLASS!S74)</f>
        <v>-1685238.46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1916516</v>
      </c>
      <c r="L74" s="60">
        <f>'TX-EGM-GL'!L74+'TX-HPL-GL '!L74</f>
        <v>0</v>
      </c>
      <c r="M74" s="38">
        <f>'TX-EGM-GL'!M74+'TX-HPL-GL '!M74</f>
        <v>0</v>
      </c>
      <c r="N74" s="60">
        <f>'TX-EGM-GL'!N74+'TX-HPL-GL '!N74</f>
        <v>0</v>
      </c>
      <c r="O74" s="38">
        <f>'TX-EGM-GL'!O74+'TX-HPL-GL '!O74</f>
        <v>2572968</v>
      </c>
      <c r="P74" s="60">
        <f>'TX-EGM-GL'!P74+'TX-HPL-GL '!P74</f>
        <v>0</v>
      </c>
      <c r="Q74" s="38">
        <f>'TX-EGM-GL'!Q74+'TX-HPL-GL '!Q74</f>
        <v>-2025520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'TX-EGM-GL'!AN74+'TX-HPL-GL '!AN74</f>
        <v>0</v>
      </c>
      <c r="AG74" s="38">
        <f>'TX-EGM-GL'!AO74+'TX-HPL-GL '!AO74</f>
        <v>0</v>
      </c>
      <c r="AH74" s="60">
        <f>'TX-EGM-GL'!AR74+'TX-HPL-GL '!AR74</f>
        <v>0</v>
      </c>
      <c r="AI74" s="38">
        <f>'TX-EGM-GL'!AS74+'TX-HPL-GL '!AS74</f>
        <v>0</v>
      </c>
      <c r="AJ74" s="60">
        <f>'TX-EGM-GL'!AV74+'TX-HPL-GL '!AV74</f>
        <v>0</v>
      </c>
      <c r="AK74" s="38">
        <f>'TX-EGM-GL'!AW74+'TX-HPL-GL '!AW74</f>
        <v>0</v>
      </c>
      <c r="AL74" s="60">
        <f>'TX-EGM-GL'!AX74+'TX-HPL-GL '!AX74</f>
        <v>0</v>
      </c>
      <c r="AM74" s="38">
        <f>'TX-EGM-GL'!AY74+'TX-HPL-GL '!AY74</f>
        <v>0</v>
      </c>
      <c r="AN74" s="60">
        <f>'TX-EGM-GL'!AZ74+'TX-HPL-GL '!AZ74</f>
        <v>0</v>
      </c>
      <c r="AO74" s="38">
        <f>'TX-EGM-GL'!BA74+'TX-HPL-GL '!BA74</f>
        <v>0</v>
      </c>
      <c r="AP74" s="60">
        <f>'TX-EGM-GL'!BB74+'TX-HPL-GL '!BB74</f>
        <v>0</v>
      </c>
      <c r="AQ74" s="38">
        <f>'TX-EGM-GL'!BC74+'TX-HPL-GL '!BC74</f>
        <v>0</v>
      </c>
      <c r="AR74" s="60">
        <f>'TX-EGM-GL'!BD74+'TX-HPL-GL '!BD74</f>
        <v>0</v>
      </c>
      <c r="AS74" s="38">
        <f>'TX-EGM-GL'!BE74+'TX-HPL-GL '!BE74</f>
        <v>0</v>
      </c>
      <c r="AT74" s="60">
        <f>'TX-EGM-GL'!BF74+'TX-HPL-GL '!BF74</f>
        <v>0</v>
      </c>
      <c r="AU74" s="38">
        <f>'TX-EGM-GL'!BG74+'TX-HPL-GL '!BG74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52800</v>
      </c>
      <c r="F75" s="60">
        <f>('TIE-OUT'!P75+'TIE-OUT'!R75)+(RECLASS!P75+RECLASS!R75)</f>
        <v>0</v>
      </c>
      <c r="G75" s="60">
        <f>('TIE-OUT'!Q75+'TIE-OUT'!S75)+(RECLASS!Q75+RECLASS!S75)</f>
        <v>52800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'TX-EGM-GL'!AN75+'TX-HPL-GL '!AN75</f>
        <v>0</v>
      </c>
      <c r="AG75" s="38">
        <f>'TX-EGM-GL'!AO75+'TX-HPL-GL '!AO75</f>
        <v>0</v>
      </c>
      <c r="AH75" s="60">
        <f>'TX-EGM-GL'!AR75+'TX-HPL-GL '!AR75</f>
        <v>0</v>
      </c>
      <c r="AI75" s="38">
        <f>'TX-EGM-GL'!AS75+'TX-HPL-GL '!AS75</f>
        <v>0</v>
      </c>
      <c r="AJ75" s="60">
        <f>'TX-EGM-GL'!AV75+'TX-HPL-GL '!AV75</f>
        <v>0</v>
      </c>
      <c r="AK75" s="38">
        <f>'TX-EGM-GL'!AW75+'TX-HPL-GL '!AW75</f>
        <v>0</v>
      </c>
      <c r="AL75" s="60">
        <f>'TX-EGM-GL'!AX75+'TX-HPL-GL '!AX75</f>
        <v>0</v>
      </c>
      <c r="AM75" s="38">
        <f>'TX-EGM-GL'!AY75+'TX-HPL-GL '!AY75</f>
        <v>0</v>
      </c>
      <c r="AN75" s="60">
        <f>'TX-EGM-GL'!AZ75+'TX-HPL-GL '!AZ75</f>
        <v>0</v>
      </c>
      <c r="AO75" s="38">
        <f>'TX-EGM-GL'!BA75+'TX-HPL-GL '!BA75</f>
        <v>0</v>
      </c>
      <c r="AP75" s="60">
        <f>'TX-EGM-GL'!BB75+'TX-HPL-GL '!BB75</f>
        <v>0</v>
      </c>
      <c r="AQ75" s="38">
        <f>'TX-EGM-GL'!BC75+'TX-HPL-GL '!BC75</f>
        <v>0</v>
      </c>
      <c r="AR75" s="60">
        <f>'TX-EGM-GL'!BD75+'TX-HPL-GL '!BD75</f>
        <v>0</v>
      </c>
      <c r="AS75" s="38">
        <f>'TX-EGM-GL'!BE75+'TX-HPL-GL '!BE75</f>
        <v>0</v>
      </c>
      <c r="AT75" s="60">
        <f>'TX-EGM-GL'!BF75+'TX-HPL-GL '!BF75</f>
        <v>0</v>
      </c>
      <c r="AU75" s="38">
        <f>'TX-EGM-GL'!BG75+'TX-HPL-GL '!BG75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-60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0</v>
      </c>
      <c r="J76" s="60">
        <f>'TX-EGM-GL'!J76+'TX-HPL-GL '!J76</f>
        <v>0</v>
      </c>
      <c r="K76" s="38">
        <f>'TX-EGM-GL'!K76+'TX-HPL-GL '!K76</f>
        <v>-60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'TX-EGM-GL'!AN76+'TX-HPL-GL '!AN76</f>
        <v>0</v>
      </c>
      <c r="AG76" s="38">
        <f>'TX-EGM-GL'!AO76+'TX-HPL-GL '!AO76</f>
        <v>0</v>
      </c>
      <c r="AH76" s="60">
        <f>'TX-EGM-GL'!AR76+'TX-HPL-GL '!AR76</f>
        <v>0</v>
      </c>
      <c r="AI76" s="38">
        <f>'TX-EGM-GL'!AS76+'TX-HPL-GL '!AS76</f>
        <v>0</v>
      </c>
      <c r="AJ76" s="60">
        <f>'TX-EGM-GL'!AV76+'TX-HPL-GL '!AV76</f>
        <v>0</v>
      </c>
      <c r="AK76" s="38">
        <f>'TX-EGM-GL'!AW76+'TX-HPL-GL '!AW76</f>
        <v>0</v>
      </c>
      <c r="AL76" s="60">
        <f>'TX-EGM-GL'!AX76+'TX-HPL-GL '!AX76</f>
        <v>0</v>
      </c>
      <c r="AM76" s="38">
        <f>'TX-EGM-GL'!AY76+'TX-HPL-GL '!AY76</f>
        <v>0</v>
      </c>
      <c r="AN76" s="60">
        <f>'TX-EGM-GL'!AZ76+'TX-HPL-GL '!AZ76</f>
        <v>0</v>
      </c>
      <c r="AO76" s="38">
        <f>'TX-EGM-GL'!BA76+'TX-HPL-GL '!BA76</f>
        <v>0</v>
      </c>
      <c r="AP76" s="60">
        <f>'TX-EGM-GL'!BB76+'TX-HPL-GL '!BB76</f>
        <v>0</v>
      </c>
      <c r="AQ76" s="38">
        <f>'TX-EGM-GL'!BC76+'TX-HPL-GL '!BC76</f>
        <v>0</v>
      </c>
      <c r="AR76" s="60">
        <f>'TX-EGM-GL'!BD76+'TX-HPL-GL '!BD76</f>
        <v>0</v>
      </c>
      <c r="AS76" s="38">
        <f>'TX-EGM-GL'!BE76+'TX-HPL-GL '!BE76</f>
        <v>0</v>
      </c>
      <c r="AT76" s="60">
        <f>'TX-EGM-GL'!BF76+'TX-HPL-GL '!BF76</f>
        <v>0</v>
      </c>
      <c r="AU76" s="38">
        <f>'TX-EGM-GL'!BG76+'TX-HPL-GL '!BG76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'TX-EGM-GL'!AN77+'TX-HPL-GL '!AN77</f>
        <v>0</v>
      </c>
      <c r="AG77" s="38">
        <f>'TX-EGM-GL'!AO77+'TX-HPL-GL '!AO77</f>
        <v>0</v>
      </c>
      <c r="AH77" s="60">
        <f>'TX-EGM-GL'!AR77+'TX-HPL-GL '!AR77</f>
        <v>0</v>
      </c>
      <c r="AI77" s="38">
        <f>'TX-EGM-GL'!AS77+'TX-HPL-GL '!AS77</f>
        <v>0</v>
      </c>
      <c r="AJ77" s="60">
        <f>'TX-EGM-GL'!AV77+'TX-HPL-GL '!AV77</f>
        <v>0</v>
      </c>
      <c r="AK77" s="38">
        <f>'TX-EGM-GL'!AW77+'TX-HPL-GL '!AW77</f>
        <v>0</v>
      </c>
      <c r="AL77" s="60">
        <f>'TX-EGM-GL'!AX77+'TX-HPL-GL '!AX77</f>
        <v>0</v>
      </c>
      <c r="AM77" s="38">
        <f>'TX-EGM-GL'!AY77+'TX-HPL-GL '!AY77</f>
        <v>0</v>
      </c>
      <c r="AN77" s="60">
        <f>'TX-EGM-GL'!AZ77+'TX-HPL-GL '!AZ77</f>
        <v>0</v>
      </c>
      <c r="AO77" s="38">
        <f>'TX-EGM-GL'!BA77+'TX-HPL-GL '!BA77</f>
        <v>0</v>
      </c>
      <c r="AP77" s="60">
        <f>'TX-EGM-GL'!BB77+'TX-HPL-GL '!BB77</f>
        <v>0</v>
      </c>
      <c r="AQ77" s="38">
        <f>'TX-EGM-GL'!BC77+'TX-HPL-GL '!BC77</f>
        <v>0</v>
      </c>
      <c r="AR77" s="60">
        <f>'TX-EGM-GL'!BD77+'TX-HPL-GL '!BD77</f>
        <v>0</v>
      </c>
      <c r="AS77" s="38">
        <f>'TX-EGM-GL'!BE77+'TX-HPL-GL '!BE77</f>
        <v>0</v>
      </c>
      <c r="AT77" s="60">
        <f>'TX-EGM-GL'!BF77+'TX-HPL-GL '!BF77</f>
        <v>0</v>
      </c>
      <c r="AU77" s="38">
        <f>'TX-EGM-GL'!BG77+'TX-HPL-GL '!BG77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'TX-EGM-GL'!AN78+'TX-HPL-GL '!AN78</f>
        <v>0</v>
      </c>
      <c r="AG78" s="38">
        <f>'TX-EGM-GL'!AO78+'TX-HPL-GL '!AO78</f>
        <v>0</v>
      </c>
      <c r="AH78" s="60">
        <f>'TX-EGM-GL'!AR78+'TX-HPL-GL '!AR78</f>
        <v>0</v>
      </c>
      <c r="AI78" s="38">
        <f>'TX-EGM-GL'!AS78+'TX-HPL-GL '!AS78</f>
        <v>0</v>
      </c>
      <c r="AJ78" s="60">
        <f>'TX-EGM-GL'!AV78+'TX-HPL-GL '!AV78</f>
        <v>0</v>
      </c>
      <c r="AK78" s="38">
        <f>'TX-EGM-GL'!AW78+'TX-HPL-GL '!AW78</f>
        <v>0</v>
      </c>
      <c r="AL78" s="60">
        <f>'TX-EGM-GL'!AX78+'TX-HPL-GL '!AX78</f>
        <v>0</v>
      </c>
      <c r="AM78" s="38">
        <f>'TX-EGM-GL'!AY78+'TX-HPL-GL '!AY78</f>
        <v>0</v>
      </c>
      <c r="AN78" s="60">
        <f>'TX-EGM-GL'!AZ78+'TX-HPL-GL '!AZ78</f>
        <v>0</v>
      </c>
      <c r="AO78" s="38">
        <f>'TX-EGM-GL'!BA78+'TX-HPL-GL '!BA78</f>
        <v>0</v>
      </c>
      <c r="AP78" s="60">
        <f>'TX-EGM-GL'!BB78+'TX-HPL-GL '!BB78</f>
        <v>0</v>
      </c>
      <c r="AQ78" s="38">
        <f>'TX-EGM-GL'!BC78+'TX-HPL-GL '!BC78</f>
        <v>0</v>
      </c>
      <c r="AR78" s="60">
        <f>'TX-EGM-GL'!BD78+'TX-HPL-GL '!BD78</f>
        <v>0</v>
      </c>
      <c r="AS78" s="38">
        <f>'TX-EGM-GL'!BE78+'TX-HPL-GL '!BE78</f>
        <v>0</v>
      </c>
      <c r="AT78" s="60">
        <f>'TX-EGM-GL'!BF78+'TX-HPL-GL '!BF78</f>
        <v>0</v>
      </c>
      <c r="AU78" s="38">
        <f>'TX-EGM-GL'!BG78+'TX-HPL-GL '!BG78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'TX-EGM-GL'!AN79+'TX-HPL-GL '!AN79</f>
        <v>0</v>
      </c>
      <c r="AG79" s="38">
        <f>'TX-EGM-GL'!AO79+'TX-HPL-GL '!AO79</f>
        <v>0</v>
      </c>
      <c r="AH79" s="60">
        <f>'TX-EGM-GL'!AR79+'TX-HPL-GL '!AR79</f>
        <v>0</v>
      </c>
      <c r="AI79" s="38">
        <f>'TX-EGM-GL'!AS79+'TX-HPL-GL '!AS79</f>
        <v>0</v>
      </c>
      <c r="AJ79" s="60">
        <f>'TX-EGM-GL'!AV79+'TX-HPL-GL '!AV79</f>
        <v>0</v>
      </c>
      <c r="AK79" s="38">
        <f>'TX-EGM-GL'!AW79+'TX-HPL-GL '!AW79</f>
        <v>0</v>
      </c>
      <c r="AL79" s="60">
        <f>'TX-EGM-GL'!AX79+'TX-HPL-GL '!AX79</f>
        <v>0</v>
      </c>
      <c r="AM79" s="38">
        <f>'TX-EGM-GL'!AY79+'TX-HPL-GL '!AY79</f>
        <v>0</v>
      </c>
      <c r="AN79" s="60">
        <f>'TX-EGM-GL'!AZ79+'TX-HPL-GL '!AZ79</f>
        <v>0</v>
      </c>
      <c r="AO79" s="38">
        <f>'TX-EGM-GL'!BA79+'TX-HPL-GL '!BA79</f>
        <v>0</v>
      </c>
      <c r="AP79" s="60">
        <f>'TX-EGM-GL'!BB79+'TX-HPL-GL '!BB79</f>
        <v>0</v>
      </c>
      <c r="AQ79" s="38">
        <f>'TX-EGM-GL'!BC79+'TX-HPL-GL '!BC79</f>
        <v>0</v>
      </c>
      <c r="AR79" s="60">
        <f>'TX-EGM-GL'!BD79+'TX-HPL-GL '!BD79</f>
        <v>0</v>
      </c>
      <c r="AS79" s="38">
        <f>'TX-EGM-GL'!BE79+'TX-HPL-GL '!BE79</f>
        <v>0</v>
      </c>
      <c r="AT79" s="60">
        <f>'TX-EGM-GL'!BF79+'TX-HPL-GL '!BF79</f>
        <v>0</v>
      </c>
      <c r="AU79" s="38">
        <f>'TX-EGM-GL'!BG79+'TX-HPL-GL '!BG79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'TX-EGM-GL'!AN80+'TX-HPL-GL '!AN80</f>
        <v>0</v>
      </c>
      <c r="AG80" s="38">
        <f>'TX-EGM-GL'!AO80+'TX-HPL-GL '!AO80</f>
        <v>0</v>
      </c>
      <c r="AH80" s="60">
        <f>'TX-EGM-GL'!AR80+'TX-HPL-GL '!AR80</f>
        <v>0</v>
      </c>
      <c r="AI80" s="38">
        <f>'TX-EGM-GL'!AS80+'TX-HPL-GL '!AS80</f>
        <v>0</v>
      </c>
      <c r="AJ80" s="60">
        <f>'TX-EGM-GL'!AV80+'TX-HPL-GL '!AV80</f>
        <v>0</v>
      </c>
      <c r="AK80" s="38">
        <f>'TX-EGM-GL'!AW80+'TX-HPL-GL '!AW80</f>
        <v>0</v>
      </c>
      <c r="AL80" s="60">
        <f>'TX-EGM-GL'!AX80+'TX-HPL-GL '!AX80</f>
        <v>0</v>
      </c>
      <c r="AM80" s="38">
        <f>'TX-EGM-GL'!AY80+'TX-HPL-GL '!AY80</f>
        <v>0</v>
      </c>
      <c r="AN80" s="60">
        <f>'TX-EGM-GL'!AZ80+'TX-HPL-GL '!AZ80</f>
        <v>0</v>
      </c>
      <c r="AO80" s="38">
        <f>'TX-EGM-GL'!BA80+'TX-HPL-GL '!BA80</f>
        <v>0</v>
      </c>
      <c r="AP80" s="60">
        <f>'TX-EGM-GL'!BB80+'TX-HPL-GL '!BB80</f>
        <v>0</v>
      </c>
      <c r="AQ80" s="38">
        <f>'TX-EGM-GL'!BC80+'TX-HPL-GL '!BC80</f>
        <v>0</v>
      </c>
      <c r="AR80" s="60">
        <f>'TX-EGM-GL'!BD80+'TX-HPL-GL '!BD80</f>
        <v>0</v>
      </c>
      <c r="AS80" s="38">
        <f>'TX-EGM-GL'!BE80+'TX-HPL-GL '!BE80</f>
        <v>0</v>
      </c>
      <c r="AT80" s="60">
        <f>'TX-EGM-GL'!BF80+'TX-HPL-GL '!BF80</f>
        <v>0</v>
      </c>
      <c r="AU80" s="38">
        <f>'TX-EGM-GL'!BG80+'TX-HPL-GL '!BG80</f>
        <v>0</v>
      </c>
    </row>
    <row r="81" spans="1:79" x14ac:dyDescent="0.25">
      <c r="A81" s="9">
        <v>40</v>
      </c>
      <c r="B81" s="3"/>
      <c r="C81" s="10" t="s">
        <v>82</v>
      </c>
      <c r="D81" s="60">
        <f t="shared" si="45"/>
        <v>-25993375</v>
      </c>
      <c r="E81" s="38">
        <f t="shared" si="46"/>
        <v>-85161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-25993375</v>
      </c>
      <c r="I81" s="38">
        <f>'TX-EGM-GL'!I81+'TX-HPL-GL '!I81</f>
        <v>-85161</v>
      </c>
      <c r="J81" s="60">
        <f>'TX-EGM-GL'!J81+'TX-HPL-GL '!J81</f>
        <v>0</v>
      </c>
      <c r="K81" s="38">
        <f>'TX-EGM-GL'!K81+'TX-HPL-GL '!K81</f>
        <v>-50000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50000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'TX-EGM-GL'!AN81+'TX-HPL-GL '!AN81</f>
        <v>0</v>
      </c>
      <c r="AG81" s="38">
        <f>'TX-EGM-GL'!AO81+'TX-HPL-GL '!AO81</f>
        <v>0</v>
      </c>
      <c r="AH81" s="60">
        <f>'TX-EGM-GL'!AR81+'TX-HPL-GL '!AR81</f>
        <v>0</v>
      </c>
      <c r="AI81" s="38">
        <f>'TX-EGM-GL'!AS81+'TX-HPL-GL '!AS81</f>
        <v>0</v>
      </c>
      <c r="AJ81" s="60">
        <f>'TX-EGM-GL'!AV81+'TX-HPL-GL '!AV81</f>
        <v>0</v>
      </c>
      <c r="AK81" s="38">
        <f>'TX-EGM-GL'!AW81+'TX-HPL-GL '!AW81</f>
        <v>0</v>
      </c>
      <c r="AL81" s="60">
        <f>'TX-EGM-GL'!AX81+'TX-HPL-GL '!AX81</f>
        <v>0</v>
      </c>
      <c r="AM81" s="38">
        <f>'TX-EGM-GL'!AY81+'TX-HPL-GL '!AY81</f>
        <v>0</v>
      </c>
      <c r="AN81" s="60">
        <f>'TX-EGM-GL'!AZ81+'TX-HPL-GL '!AZ81</f>
        <v>0</v>
      </c>
      <c r="AO81" s="38">
        <f>'TX-EGM-GL'!BA81+'TX-HPL-GL '!BA81</f>
        <v>0</v>
      </c>
      <c r="AP81" s="60">
        <f>'TX-EGM-GL'!BB81+'TX-HPL-GL '!BB81</f>
        <v>0</v>
      </c>
      <c r="AQ81" s="38">
        <f>'TX-EGM-GL'!BC81+'TX-HPL-GL '!BC81</f>
        <v>0</v>
      </c>
      <c r="AR81" s="60">
        <f>'TX-EGM-GL'!BD81+'TX-HPL-GL '!BD81</f>
        <v>0</v>
      </c>
      <c r="AS81" s="38">
        <f>'TX-EGM-GL'!BE81+'TX-HPL-GL '!BE81</f>
        <v>0</v>
      </c>
      <c r="AT81" s="60">
        <f>'TX-EGM-GL'!BF81+'TX-HPL-GL '!BF81</f>
        <v>0</v>
      </c>
      <c r="AU81" s="38">
        <f>'TX-EGM-GL'!BG81+'TX-HPL-GL '!BG81</f>
        <v>0</v>
      </c>
    </row>
    <row r="82" spans="1:7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329661.78220002516</v>
      </c>
      <c r="F82" s="92">
        <f>F16+F24+F29+F36+F43+F45+F47+F49</f>
        <v>0</v>
      </c>
      <c r="G82" s="93">
        <f>SUM(G72:G81)+G16+G24+G29+G36+G43+G45+G47+G49+G51+G56+G61+G66</f>
        <v>-12591282.910000002</v>
      </c>
      <c r="H82" s="92">
        <f>H16+H24+H29+H36+H43+H45+H47+H49</f>
        <v>0</v>
      </c>
      <c r="I82" s="93">
        <f>SUM(I72:I81)+I16+I24+I29+I36+I43+I45+I47+I49+I51+I56+I61+I66</f>
        <v>20319507.909999989</v>
      </c>
      <c r="J82" s="92">
        <f>J16+J24+J29+J36+J43+J45+J47+J49</f>
        <v>0</v>
      </c>
      <c r="K82" s="93">
        <f>SUM(K72:K81)+K16+K24+K29+K36+K43+K45+K47+K49+K51+K56+K61+K66</f>
        <v>-15863480.212499997</v>
      </c>
      <c r="L82" s="92">
        <f>L16+L24+L29+L36+L43+L45+L47+L49</f>
        <v>0</v>
      </c>
      <c r="M82" s="93">
        <f>SUM(M72:M81)+M16+M24+M29+M36+M43+M45+M47+M49+M51+M56+M61+M66</f>
        <v>-95586.070499999681</v>
      </c>
      <c r="N82" s="92">
        <f>N16+N24+N29+N36+N43+N45+N47+N49</f>
        <v>0</v>
      </c>
      <c r="O82" s="93">
        <f>SUM(O72:O81)+O16+O24+O29+O36+O43+O45+O47+O49+O51+O56+O61+O66</f>
        <v>10001451.660200004</v>
      </c>
      <c r="P82" s="92">
        <f>P16+P24+P29+P36+P43+P45+P47+P49</f>
        <v>0</v>
      </c>
      <c r="Q82" s="93">
        <f>SUM(Q72:Q81)+Q16+Q24+Q29+Q36+Q43+Q45+Q47+Q49+Q51+Q56+Q61+Q66</f>
        <v>-1959817.7803999998</v>
      </c>
      <c r="R82" s="92">
        <f>R16+R24+R29+R36+R43+R45+R47+R49</f>
        <v>0</v>
      </c>
      <c r="S82" s="93">
        <f>SUM(S72:S81)+S16+S24+S29+S36+S43+S45+S47+S49+S51+S56+S61+S66</f>
        <v>336989.21680000005</v>
      </c>
      <c r="T82" s="92">
        <f>T16+T24+T29+T36+T43+T45+T47+T49</f>
        <v>0</v>
      </c>
      <c r="U82" s="93">
        <f>SUM(U72:U81)+U16+U24+U29+U36+U43+U45+U47+U49+U51+U56+U61+U66</f>
        <v>-479768.56339999998</v>
      </c>
      <c r="V82" s="92">
        <f>V16+V24+V29+V36+V43+V45+V47+V49</f>
        <v>0</v>
      </c>
      <c r="W82" s="93">
        <f>SUM(W72:W81)+W16+W24+W29+W36+W43+W45+W47+W49+W51+W56+W61+W66</f>
        <v>177557.79499999998</v>
      </c>
      <c r="X82" s="92">
        <f>X16+X24+X29+X36+X43+X45+X47+X49</f>
        <v>0</v>
      </c>
      <c r="Y82" s="93">
        <f>SUM(Y72:Y81)+Y16+Y24+Y29+Y36+Y43+Y45+Y47+Y49+Y51+Y56+Y61+Y66</f>
        <v>653150.15080000006</v>
      </c>
      <c r="Z82" s="92">
        <f>Z16+Z24+Z29+Z36+Z43+Z45+Z47+Z49</f>
        <v>0</v>
      </c>
      <c r="AA82" s="93">
        <f>SUM(AA72:AA81)+AA16+AA24+AA29+AA36+AA43+AA45+AA47+AA49+AA51+AA56+AA61+AA66</f>
        <v>-27930.242800000065</v>
      </c>
      <c r="AB82" s="92">
        <f>AB16+AB24+AB29+AB36+AB43+AB45+AB47+AB49</f>
        <v>0</v>
      </c>
      <c r="AC82" s="93">
        <f>SUM(AC72:AC81)+AC16+AC24+AC29+AC36+AC43+AC45+AC47+AC49+AC51+AC56+AC61+AC66</f>
        <v>-92459.475999999981</v>
      </c>
      <c r="AD82" s="92">
        <f>AD16+AD24+AD29+AD36+AD43+AD45+AD47+AD49</f>
        <v>0</v>
      </c>
      <c r="AE82" s="93">
        <f>SUM(AE72:AE81)+AE16+AE24+AE29+AE36+AE43+AE45+AE47+AE49+AE51+AE56+AE61+AE66</f>
        <v>-62370.07499999991</v>
      </c>
      <c r="AF82" s="92">
        <f>AF16+AF24+AF29+AF36+AF43+AF45+AF47+AF49</f>
        <v>0</v>
      </c>
      <c r="AG82" s="93">
        <f>SUM(AG72:AG81)+AG16+AG24+AG29+AG36+AG43+AG45+AG47+AG49+AG51+AG56+AG61+AG66</f>
        <v>13792.289999999992</v>
      </c>
      <c r="AH82" s="92">
        <f>AH16+AH24+AH29+AH36+AH43+AH45+AH47+AH49</f>
        <v>0</v>
      </c>
      <c r="AI82" s="93">
        <f>SUM(AI72:AI81)+AI16+AI24+AI29+AI36+AI43+AI45+AI47+AI49+AI51+AI56+AI61+AI66</f>
        <v>-91.909999999997922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79" ht="13.8" thickTop="1" x14ac:dyDescent="0.25">
      <c r="A83" s="4"/>
      <c r="B83" s="3"/>
    </row>
    <row r="84" spans="1:79" x14ac:dyDescent="0.25">
      <c r="A84" s="4"/>
      <c r="B84" s="3"/>
    </row>
    <row r="85" spans="1:79" x14ac:dyDescent="0.25">
      <c r="A85" s="4" t="s">
        <v>196</v>
      </c>
      <c r="B85" s="3"/>
      <c r="F85" s="31"/>
      <c r="G85" s="31"/>
      <c r="H85" s="31"/>
      <c r="I85" s="31"/>
      <c r="L85" s="45"/>
    </row>
    <row r="86" spans="1:79" s="3" customFormat="1" x14ac:dyDescent="0.25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67597.5</v>
      </c>
      <c r="F86" s="184">
        <f>('TIE-OUT'!P86+'TIE-OUT'!R86)+(RECLASS!P86+RECLASS!R86)</f>
        <v>0</v>
      </c>
      <c r="G86" s="184">
        <f>('TIE-OUT'!Q86+'TIE-OUT'!S86)+(RECLASS!Q86+RECLASS!S86)</f>
        <v>67597.5</v>
      </c>
      <c r="H86" s="184">
        <f>'TX-EGM-GL'!H86+'TX-HPL-GL '!H86</f>
        <v>0</v>
      </c>
      <c r="I86" s="184">
        <f>'TX-EGM-GL'!I86+'TX-HPL-GL '!I86</f>
        <v>0</v>
      </c>
      <c r="J86" s="184">
        <f>'TX-EGM-GL'!J86+'TX-HPL-GL '!J86</f>
        <v>0</v>
      </c>
      <c r="K86" s="184">
        <f>'TX-EGM-GL'!K86+'TX-HPL-GL '!K86</f>
        <v>0</v>
      </c>
      <c r="L86" s="184">
        <f>'TX-EGM-GL'!L86+'TX-HPL-GL '!L86</f>
        <v>0</v>
      </c>
      <c r="M86" s="184">
        <f>'TX-EGM-GL'!M86+'TX-HPL-GL '!M86</f>
        <v>0</v>
      </c>
      <c r="N86" s="184">
        <f>'TX-EGM-GL'!N86+'TX-HPL-GL '!N86</f>
        <v>0</v>
      </c>
      <c r="O86" s="184">
        <f>'TX-EGM-GL'!O86+'TX-HPL-GL '!O86</f>
        <v>0</v>
      </c>
      <c r="P86" s="184">
        <f>'TX-EGM-GL'!P86+'TX-HPL-GL '!P86</f>
        <v>0</v>
      </c>
      <c r="Q86" s="184">
        <f>'TX-EGM-GL'!Q86+'TX-HPL-GL '!Q86</f>
        <v>0</v>
      </c>
      <c r="R86" s="184">
        <f>'TX-EGM-GL'!R86+'TX-HPL-GL '!R86</f>
        <v>0</v>
      </c>
      <c r="S86" s="184">
        <f>'TX-EGM-GL'!S86+'TX-HPL-GL '!S86</f>
        <v>0</v>
      </c>
      <c r="T86" s="184">
        <f>'TX-EGM-GL'!T86+'TX-HPL-GL '!T86</f>
        <v>0</v>
      </c>
      <c r="U86" s="184">
        <f>'TX-EGM-GL'!U86+'TX-HPL-GL '!U86</f>
        <v>0</v>
      </c>
      <c r="V86" s="184">
        <f>'TX-EGM-GL'!V86+'TX-HPL-GL '!V86</f>
        <v>0</v>
      </c>
      <c r="W86" s="184">
        <f>'TX-EGM-GL'!W86+'TX-HPL-GL '!W86</f>
        <v>0</v>
      </c>
      <c r="X86" s="184">
        <f>'TX-EGM-GL'!X86+'TX-HPL-GL '!X86</f>
        <v>0</v>
      </c>
      <c r="Y86" s="184">
        <f>'TX-EGM-GL'!Y86+'TX-HPL-GL '!Y86</f>
        <v>0</v>
      </c>
      <c r="Z86" s="184">
        <f>'TX-EGM-GL'!Z86+'TX-HPL-GL '!Z86</f>
        <v>0</v>
      </c>
      <c r="AA86" s="184">
        <f>'TX-EGM-GL'!AA86+'TX-HPL-GL '!AA86</f>
        <v>0</v>
      </c>
      <c r="AB86" s="184">
        <f>'TX-EGM-GL'!AB86+'TX-HPL-GL '!AB86</f>
        <v>0</v>
      </c>
      <c r="AC86" s="184">
        <f>'TX-EGM-GL'!AC86+'TX-HPL-GL '!AC86</f>
        <v>0</v>
      </c>
      <c r="AD86" s="184">
        <f>'TX-EGM-GL'!AD86+'TX-HPL-GL '!AD86</f>
        <v>0</v>
      </c>
      <c r="AE86" s="184">
        <f>'TX-EGM-GL'!AE86+'TX-HPL-GL '!AE86</f>
        <v>0</v>
      </c>
      <c r="AF86" s="184">
        <f>'TX-EGM-GL'!AN86+'TX-HPL-GL '!AN86</f>
        <v>0</v>
      </c>
      <c r="AG86" s="184">
        <f>'TX-EGM-GL'!AO86+'TX-HPL-GL '!AO86</f>
        <v>0</v>
      </c>
      <c r="AH86" s="184">
        <f>'TX-EGM-GL'!AR86+'TX-HPL-GL '!AR86</f>
        <v>0</v>
      </c>
      <c r="AI86" s="184">
        <f>'TX-EGM-GL'!AS86+'TX-HPL-GL '!AS86</f>
        <v>0</v>
      </c>
      <c r="AJ86" s="184">
        <f>'TX-EGM-GL'!AV86+'TX-HPL-GL '!AV86</f>
        <v>0</v>
      </c>
      <c r="AK86" s="184">
        <f>'TX-EGM-GL'!AW86+'TX-HPL-GL '!AW86</f>
        <v>0</v>
      </c>
      <c r="AL86" s="184">
        <f>'TX-EGM-GL'!AX86+'TX-HPL-GL '!AX86</f>
        <v>0</v>
      </c>
      <c r="AM86" s="184">
        <f>'TX-EGM-GL'!AY86+'TX-HPL-GL '!AY86</f>
        <v>0</v>
      </c>
      <c r="AN86" s="184">
        <f>'TX-EGM-GL'!AZ86+'TX-HPL-GL '!AZ86</f>
        <v>0</v>
      </c>
      <c r="AO86" s="184">
        <f>'TX-EGM-GL'!BA86+'TX-HPL-GL '!BA86</f>
        <v>0</v>
      </c>
      <c r="AP86" s="184">
        <f>'TX-EGM-GL'!BB86+'TX-HPL-GL '!BB86</f>
        <v>0</v>
      </c>
      <c r="AQ86" s="184">
        <f>'TX-EGM-GL'!BC86+'TX-HPL-GL '!BC86</f>
        <v>0</v>
      </c>
      <c r="AR86" s="184">
        <f>'TX-EGM-GL'!BD86+'TX-HPL-GL '!BD86</f>
        <v>0</v>
      </c>
      <c r="AS86" s="184">
        <f>'TX-EGM-GL'!BE86+'TX-HPL-GL '!BE86</f>
        <v>0</v>
      </c>
      <c r="AT86" s="184">
        <f>'TX-EGM-GL'!BF86+'TX-HPL-GL '!BF86</f>
        <v>0</v>
      </c>
      <c r="AU86" s="184">
        <f>'TX-EGM-GL'!BG86+'TX-HPL-GL '!BG86</f>
        <v>0</v>
      </c>
    </row>
    <row r="87" spans="1:79" s="3" customFormat="1" x14ac:dyDescent="0.25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('TIE-OUT'!P87+'TIE-OUT'!R87)+(RECLASS!P87+RECLASS!R87)</f>
        <v>0</v>
      </c>
      <c r="G87" s="185">
        <f>('TIE-OUT'!Q87+'TIE-OUT'!S87)+(RECLASS!Q87+RECLASS!S87)</f>
        <v>0</v>
      </c>
      <c r="H87" s="185">
        <f>'TX-EGM-GL'!H87+'TX-HPL-GL '!H87</f>
        <v>0</v>
      </c>
      <c r="I87" s="185">
        <f>'TX-EGM-GL'!I87+'TX-HPL-GL '!I87</f>
        <v>0</v>
      </c>
      <c r="J87" s="185">
        <f>'TX-EGM-GL'!J87+'TX-HPL-GL '!J87</f>
        <v>0</v>
      </c>
      <c r="K87" s="185">
        <f>'TX-EGM-GL'!K87+'TX-HPL-GL '!K87</f>
        <v>0</v>
      </c>
      <c r="L87" s="185">
        <f>'TX-EGM-GL'!L87+'TX-HPL-GL '!L87</f>
        <v>0</v>
      </c>
      <c r="M87" s="185">
        <f>'TX-EGM-GL'!M87+'TX-HPL-GL '!M87</f>
        <v>0</v>
      </c>
      <c r="N87" s="185">
        <f>'TX-EGM-GL'!N87+'TX-HPL-GL '!N87</f>
        <v>0</v>
      </c>
      <c r="O87" s="185">
        <f>'TX-EGM-GL'!O87+'TX-HPL-GL '!O87</f>
        <v>0</v>
      </c>
      <c r="P87" s="185">
        <f>'TX-EGM-GL'!P87+'TX-HPL-GL '!P87</f>
        <v>0</v>
      </c>
      <c r="Q87" s="185">
        <f>'TX-EGM-GL'!Q87+'TX-HPL-GL '!Q87</f>
        <v>0</v>
      </c>
      <c r="R87" s="185">
        <f>'TX-EGM-GL'!R87+'TX-HPL-GL '!R87</f>
        <v>0</v>
      </c>
      <c r="S87" s="185">
        <f>'TX-EGM-GL'!S87+'TX-HPL-GL '!S87</f>
        <v>0</v>
      </c>
      <c r="T87" s="185">
        <f>'TX-EGM-GL'!T87+'TX-HPL-GL '!T87</f>
        <v>0</v>
      </c>
      <c r="U87" s="185">
        <f>'TX-EGM-GL'!U87+'TX-HPL-GL '!U87</f>
        <v>0</v>
      </c>
      <c r="V87" s="185">
        <f>'TX-EGM-GL'!V87+'TX-HPL-GL '!V87</f>
        <v>0</v>
      </c>
      <c r="W87" s="185">
        <f>'TX-EGM-GL'!W87+'TX-HPL-GL '!W87</f>
        <v>0</v>
      </c>
      <c r="X87" s="185">
        <f>'TX-EGM-GL'!X87+'TX-HPL-GL '!X87</f>
        <v>0</v>
      </c>
      <c r="Y87" s="185">
        <f>'TX-EGM-GL'!Y87+'TX-HPL-GL '!Y87</f>
        <v>0</v>
      </c>
      <c r="Z87" s="185">
        <f>'TX-EGM-GL'!Z87+'TX-HPL-GL '!Z87</f>
        <v>0</v>
      </c>
      <c r="AA87" s="185">
        <f>'TX-EGM-GL'!AA87+'TX-HPL-GL '!AA87</f>
        <v>0</v>
      </c>
      <c r="AB87" s="185">
        <f>'TX-EGM-GL'!AB87+'TX-HPL-GL '!AB87</f>
        <v>0</v>
      </c>
      <c r="AC87" s="185">
        <f>'TX-EGM-GL'!AC87+'TX-HPL-GL '!AC87</f>
        <v>0</v>
      </c>
      <c r="AD87" s="185">
        <f>'TX-EGM-GL'!AD87+'TX-HPL-GL '!AD87</f>
        <v>0</v>
      </c>
      <c r="AE87" s="185">
        <f>'TX-EGM-GL'!AE87+'TX-HPL-GL '!AE87</f>
        <v>0</v>
      </c>
      <c r="AF87" s="185">
        <f>'TX-EGM-GL'!AN87+'TX-HPL-GL '!AN87</f>
        <v>0</v>
      </c>
      <c r="AG87" s="185">
        <f>'TX-EGM-GL'!AO87+'TX-HPL-GL '!AO87</f>
        <v>0</v>
      </c>
      <c r="AH87" s="185">
        <f>'TX-EGM-GL'!AR87+'TX-HPL-GL '!AR87</f>
        <v>0</v>
      </c>
      <c r="AI87" s="185">
        <f>'TX-EGM-GL'!AS87+'TX-HPL-GL '!AS87</f>
        <v>0</v>
      </c>
      <c r="AJ87" s="185">
        <f>'TX-EGM-GL'!AV87+'TX-HPL-GL '!AV87</f>
        <v>0</v>
      </c>
      <c r="AK87" s="185">
        <f>'TX-EGM-GL'!AW87+'TX-HPL-GL '!AW87</f>
        <v>0</v>
      </c>
      <c r="AL87" s="185">
        <f>'TX-EGM-GL'!AX87+'TX-HPL-GL '!AX87</f>
        <v>0</v>
      </c>
      <c r="AM87" s="185">
        <f>'TX-EGM-GL'!AY87+'TX-HPL-GL '!AY87</f>
        <v>0</v>
      </c>
      <c r="AN87" s="185">
        <f>'TX-EGM-GL'!AZ87+'TX-HPL-GL '!AZ87</f>
        <v>0</v>
      </c>
      <c r="AO87" s="185">
        <f>'TX-EGM-GL'!BA87+'TX-HPL-GL '!BA87</f>
        <v>0</v>
      </c>
      <c r="AP87" s="185">
        <f>'TX-EGM-GL'!BB87+'TX-HPL-GL '!BB87</f>
        <v>0</v>
      </c>
      <c r="AQ87" s="185">
        <f>'TX-EGM-GL'!BC87+'TX-HPL-GL '!BC87</f>
        <v>0</v>
      </c>
      <c r="AR87" s="185">
        <f>'TX-EGM-GL'!BD87+'TX-HPL-GL '!BD87</f>
        <v>0</v>
      </c>
      <c r="AS87" s="185">
        <f>'TX-EGM-GL'!BE87+'TX-HPL-GL '!BE87</f>
        <v>0</v>
      </c>
      <c r="AT87" s="185">
        <f>'TX-EGM-GL'!BF87+'TX-HPL-GL '!BF87</f>
        <v>0</v>
      </c>
      <c r="AU87" s="185">
        <f>'TX-EGM-GL'!BG87+'TX-HPL-GL '!BG87</f>
        <v>0</v>
      </c>
    </row>
    <row r="88" spans="1:79" s="3" customFormat="1" x14ac:dyDescent="0.25">
      <c r="A88" s="183"/>
      <c r="C88" s="10" t="s">
        <v>76</v>
      </c>
      <c r="D88" s="186">
        <f t="shared" si="47"/>
        <v>0</v>
      </c>
      <c r="E88" s="186">
        <f t="shared" si="47"/>
        <v>-48600</v>
      </c>
      <c r="F88" s="186">
        <f>('TIE-OUT'!P88+'TIE-OUT'!R88)+(RECLASS!P88+RECLASS!R88)</f>
        <v>0</v>
      </c>
      <c r="G88" s="186">
        <f>('TIE-OUT'!Q88+'TIE-OUT'!S88)+(RECLASS!Q88+RECLASS!S88)</f>
        <v>-48600</v>
      </c>
      <c r="H88" s="186">
        <f>'TX-EGM-GL'!H88+'TX-HPL-GL '!H88</f>
        <v>0</v>
      </c>
      <c r="I88" s="186">
        <f>'TX-EGM-GL'!I88+'TX-HPL-GL '!I88</f>
        <v>0</v>
      </c>
      <c r="J88" s="186">
        <f>'TX-EGM-GL'!J88+'TX-HPL-GL '!J88</f>
        <v>0</v>
      </c>
      <c r="K88" s="186">
        <f>'TX-EGM-GL'!K88+'TX-HPL-GL '!K88</f>
        <v>0</v>
      </c>
      <c r="L88" s="186">
        <f>'TX-EGM-GL'!L88+'TX-HPL-GL '!L88</f>
        <v>0</v>
      </c>
      <c r="M88" s="186">
        <f>'TX-EGM-GL'!M88+'TX-HPL-GL '!M88</f>
        <v>0</v>
      </c>
      <c r="N88" s="186">
        <f>'TX-EGM-GL'!N88+'TX-HPL-GL '!N88</f>
        <v>0</v>
      </c>
      <c r="O88" s="186">
        <f>'TX-EGM-GL'!O88+'TX-HPL-GL '!O88</f>
        <v>0</v>
      </c>
      <c r="P88" s="186">
        <f>'TX-EGM-GL'!P88+'TX-HPL-GL '!P88</f>
        <v>0</v>
      </c>
      <c r="Q88" s="186">
        <f>'TX-EGM-GL'!Q88+'TX-HPL-GL '!Q88</f>
        <v>0</v>
      </c>
      <c r="R88" s="186">
        <f>'TX-EGM-GL'!R88+'TX-HPL-GL '!R88</f>
        <v>0</v>
      </c>
      <c r="S88" s="186">
        <f>'TX-EGM-GL'!S88+'TX-HPL-GL '!S88</f>
        <v>0</v>
      </c>
      <c r="T88" s="186">
        <f>'TX-EGM-GL'!T88+'TX-HPL-GL '!T88</f>
        <v>0</v>
      </c>
      <c r="U88" s="186">
        <f>'TX-EGM-GL'!U88+'TX-HPL-GL '!U88</f>
        <v>0</v>
      </c>
      <c r="V88" s="186">
        <f>'TX-EGM-GL'!V88+'TX-HPL-GL '!V88</f>
        <v>0</v>
      </c>
      <c r="W88" s="186">
        <f>'TX-EGM-GL'!W88+'TX-HPL-GL '!W88</f>
        <v>0</v>
      </c>
      <c r="X88" s="186">
        <f>'TX-EGM-GL'!X88+'TX-HPL-GL '!X88</f>
        <v>0</v>
      </c>
      <c r="Y88" s="186">
        <f>'TX-EGM-GL'!Y88+'TX-HPL-GL '!Y88</f>
        <v>0</v>
      </c>
      <c r="Z88" s="186">
        <f>'TX-EGM-GL'!Z88+'TX-HPL-GL '!Z88</f>
        <v>0</v>
      </c>
      <c r="AA88" s="186">
        <f>'TX-EGM-GL'!AA88+'TX-HPL-GL '!AA88</f>
        <v>0</v>
      </c>
      <c r="AB88" s="186">
        <f>'TX-EGM-GL'!AB88+'TX-HPL-GL '!AB88</f>
        <v>0</v>
      </c>
      <c r="AC88" s="186">
        <f>'TX-EGM-GL'!AC88+'TX-HPL-GL '!AC88</f>
        <v>0</v>
      </c>
      <c r="AD88" s="186">
        <f>'TX-EGM-GL'!AD88+'TX-HPL-GL '!AD88</f>
        <v>0</v>
      </c>
      <c r="AE88" s="186">
        <f>'TX-EGM-GL'!AE88+'TX-HPL-GL '!AE88</f>
        <v>0</v>
      </c>
      <c r="AF88" s="186">
        <f>'TX-EGM-GL'!AN88+'TX-HPL-GL '!AN88</f>
        <v>0</v>
      </c>
      <c r="AG88" s="186">
        <f>'TX-EGM-GL'!AO88+'TX-HPL-GL '!AO88</f>
        <v>0</v>
      </c>
      <c r="AH88" s="186">
        <f>'TX-EGM-GL'!AR88+'TX-HPL-GL '!AR88</f>
        <v>0</v>
      </c>
      <c r="AI88" s="186">
        <f>'TX-EGM-GL'!AS88+'TX-HPL-GL '!AS88</f>
        <v>0</v>
      </c>
      <c r="AJ88" s="186">
        <f>'TX-EGM-GL'!AV88+'TX-HPL-GL '!AV88</f>
        <v>0</v>
      </c>
      <c r="AK88" s="186">
        <f>'TX-EGM-GL'!AW88+'TX-HPL-GL '!AW88</f>
        <v>0</v>
      </c>
      <c r="AL88" s="186">
        <f>'TX-EGM-GL'!AX88+'TX-HPL-GL '!AX88</f>
        <v>0</v>
      </c>
      <c r="AM88" s="186">
        <f>'TX-EGM-GL'!AY88+'TX-HPL-GL '!AY88</f>
        <v>0</v>
      </c>
      <c r="AN88" s="186">
        <f>'TX-EGM-GL'!AZ88+'TX-HPL-GL '!AZ88</f>
        <v>0</v>
      </c>
      <c r="AO88" s="186">
        <f>'TX-EGM-GL'!BA88+'TX-HPL-GL '!BA88</f>
        <v>0</v>
      </c>
      <c r="AP88" s="186">
        <f>'TX-EGM-GL'!BB88+'TX-HPL-GL '!BB88</f>
        <v>0</v>
      </c>
      <c r="AQ88" s="186">
        <f>'TX-EGM-GL'!BC88+'TX-HPL-GL '!BC88</f>
        <v>0</v>
      </c>
      <c r="AR88" s="186">
        <f>'TX-EGM-GL'!BD88+'TX-HPL-GL '!BD88</f>
        <v>0</v>
      </c>
      <c r="AS88" s="186">
        <f>'TX-EGM-GL'!BE88+'TX-HPL-GL '!BE88</f>
        <v>0</v>
      </c>
      <c r="AT88" s="186">
        <f>'TX-EGM-GL'!BF88+'TX-HPL-GL '!BF88</f>
        <v>0</v>
      </c>
      <c r="AU88" s="186">
        <f>'TX-EGM-GL'!BG88+'TX-HPL-GL '!BG88</f>
        <v>0</v>
      </c>
    </row>
    <row r="89" spans="1:79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48">SUM(E86:E88)</f>
        <v>18997.5</v>
      </c>
      <c r="F89" s="196">
        <f t="shared" si="48"/>
        <v>0</v>
      </c>
      <c r="G89" s="196">
        <f t="shared" si="48"/>
        <v>18997.5</v>
      </c>
      <c r="H89" s="196">
        <f t="shared" si="48"/>
        <v>0</v>
      </c>
      <c r="I89" s="196">
        <f t="shared" si="48"/>
        <v>0</v>
      </c>
      <c r="J89" s="196">
        <f t="shared" si="48"/>
        <v>0</v>
      </c>
      <c r="K89" s="196">
        <f t="shared" si="48"/>
        <v>0</v>
      </c>
      <c r="L89" s="196">
        <f t="shared" si="48"/>
        <v>0</v>
      </c>
      <c r="M89" s="196">
        <f t="shared" si="48"/>
        <v>0</v>
      </c>
      <c r="N89" s="196">
        <f t="shared" si="48"/>
        <v>0</v>
      </c>
      <c r="O89" s="196">
        <f t="shared" si="48"/>
        <v>0</v>
      </c>
      <c r="P89" s="196">
        <f t="shared" si="48"/>
        <v>0</v>
      </c>
      <c r="Q89" s="196">
        <f t="shared" si="48"/>
        <v>0</v>
      </c>
      <c r="R89" s="196">
        <f t="shared" si="48"/>
        <v>0</v>
      </c>
      <c r="S89" s="196">
        <f t="shared" si="48"/>
        <v>0</v>
      </c>
      <c r="T89" s="196">
        <f t="shared" si="48"/>
        <v>0</v>
      </c>
      <c r="U89" s="196">
        <f t="shared" si="48"/>
        <v>0</v>
      </c>
      <c r="V89" s="196">
        <f t="shared" si="48"/>
        <v>0</v>
      </c>
      <c r="W89" s="196">
        <f t="shared" si="48"/>
        <v>0</v>
      </c>
      <c r="X89" s="196">
        <f t="shared" si="48"/>
        <v>0</v>
      </c>
      <c r="Y89" s="196">
        <f t="shared" si="48"/>
        <v>0</v>
      </c>
      <c r="Z89" s="196">
        <f t="shared" si="48"/>
        <v>0</v>
      </c>
      <c r="AA89" s="196">
        <f t="shared" si="48"/>
        <v>0</v>
      </c>
      <c r="AB89" s="196">
        <f t="shared" si="48"/>
        <v>0</v>
      </c>
      <c r="AC89" s="196">
        <f t="shared" si="48"/>
        <v>0</v>
      </c>
      <c r="AD89" s="196">
        <f t="shared" si="48"/>
        <v>0</v>
      </c>
      <c r="AE89" s="196">
        <f t="shared" si="48"/>
        <v>0</v>
      </c>
      <c r="AF89" s="196">
        <f t="shared" ref="AF89:AK89" si="49">SUM(AF86:AF88)</f>
        <v>0</v>
      </c>
      <c r="AG89" s="196">
        <f t="shared" si="49"/>
        <v>0</v>
      </c>
      <c r="AH89" s="196">
        <f t="shared" si="49"/>
        <v>0</v>
      </c>
      <c r="AI89" s="196">
        <f t="shared" si="49"/>
        <v>0</v>
      </c>
      <c r="AJ89" s="196">
        <f t="shared" si="49"/>
        <v>0</v>
      </c>
      <c r="AK89" s="196">
        <f t="shared" si="49"/>
        <v>0</v>
      </c>
      <c r="AL89" s="196">
        <f t="shared" ref="AL89:AQ89" si="50">SUM(AL86:AL88)</f>
        <v>0</v>
      </c>
      <c r="AM89" s="196">
        <f t="shared" si="50"/>
        <v>0</v>
      </c>
      <c r="AN89" s="196">
        <f t="shared" si="50"/>
        <v>0</v>
      </c>
      <c r="AO89" s="196">
        <f t="shared" si="50"/>
        <v>0</v>
      </c>
      <c r="AP89" s="196">
        <f t="shared" si="50"/>
        <v>0</v>
      </c>
      <c r="AQ89" s="196">
        <f t="shared" si="5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5">
      <c r="A90" s="4"/>
      <c r="B90" s="3"/>
      <c r="F90" s="31"/>
      <c r="G90" s="31"/>
      <c r="H90" s="31"/>
      <c r="I90" s="31"/>
    </row>
    <row r="91" spans="1:79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51">+E82+E89</f>
        <v>348659.28220002516</v>
      </c>
      <c r="F91" s="196">
        <f t="shared" si="51"/>
        <v>0</v>
      </c>
      <c r="G91" s="196">
        <f t="shared" si="51"/>
        <v>-12572285.410000002</v>
      </c>
      <c r="H91" s="196">
        <f t="shared" si="51"/>
        <v>0</v>
      </c>
      <c r="I91" s="196">
        <f t="shared" si="51"/>
        <v>20319507.909999989</v>
      </c>
      <c r="J91" s="196">
        <f t="shared" si="51"/>
        <v>0</v>
      </c>
      <c r="K91" s="196">
        <f t="shared" si="51"/>
        <v>-15863480.212499997</v>
      </c>
      <c r="L91" s="196">
        <f t="shared" si="51"/>
        <v>0</v>
      </c>
      <c r="M91" s="196">
        <f t="shared" si="51"/>
        <v>-95586.070499999681</v>
      </c>
      <c r="N91" s="196">
        <f t="shared" si="51"/>
        <v>0</v>
      </c>
      <c r="O91" s="196">
        <f t="shared" si="51"/>
        <v>10001451.660200004</v>
      </c>
      <c r="P91" s="196">
        <f t="shared" si="51"/>
        <v>0</v>
      </c>
      <c r="Q91" s="196">
        <f t="shared" si="51"/>
        <v>-1959817.7803999998</v>
      </c>
      <c r="R91" s="196">
        <f t="shared" si="51"/>
        <v>0</v>
      </c>
      <c r="S91" s="196">
        <f t="shared" si="51"/>
        <v>336989.21680000005</v>
      </c>
      <c r="T91" s="196">
        <f t="shared" si="51"/>
        <v>0</v>
      </c>
      <c r="U91" s="196">
        <f t="shared" si="51"/>
        <v>-479768.56339999998</v>
      </c>
      <c r="V91" s="196">
        <f t="shared" si="51"/>
        <v>0</v>
      </c>
      <c r="W91" s="196">
        <f t="shared" si="51"/>
        <v>177557.79499999998</v>
      </c>
      <c r="X91" s="196">
        <f t="shared" si="51"/>
        <v>0</v>
      </c>
      <c r="Y91" s="196">
        <f t="shared" si="51"/>
        <v>653150.15080000006</v>
      </c>
      <c r="Z91" s="196">
        <f t="shared" si="51"/>
        <v>0</v>
      </c>
      <c r="AA91" s="196">
        <f t="shared" si="51"/>
        <v>-27930.242800000065</v>
      </c>
      <c r="AB91" s="196">
        <f t="shared" si="51"/>
        <v>0</v>
      </c>
      <c r="AC91" s="196">
        <f t="shared" si="51"/>
        <v>-92459.475999999981</v>
      </c>
      <c r="AD91" s="196">
        <f t="shared" si="51"/>
        <v>0</v>
      </c>
      <c r="AE91" s="196">
        <f t="shared" si="51"/>
        <v>-62370.07499999991</v>
      </c>
      <c r="AF91" s="196">
        <f t="shared" ref="AF91:AK91" si="52">+AF82+AF89</f>
        <v>0</v>
      </c>
      <c r="AG91" s="196">
        <f t="shared" si="52"/>
        <v>13792.289999999992</v>
      </c>
      <c r="AH91" s="196">
        <f t="shared" si="52"/>
        <v>0</v>
      </c>
      <c r="AI91" s="196">
        <f t="shared" si="52"/>
        <v>-91.909999999997922</v>
      </c>
      <c r="AJ91" s="196">
        <f t="shared" si="52"/>
        <v>0</v>
      </c>
      <c r="AK91" s="196">
        <f t="shared" si="52"/>
        <v>0</v>
      </c>
      <c r="AL91" s="196">
        <f t="shared" ref="AL91:AQ91" si="53">+AL82+AL89</f>
        <v>0</v>
      </c>
      <c r="AM91" s="196">
        <f t="shared" si="53"/>
        <v>0</v>
      </c>
      <c r="AN91" s="196">
        <f t="shared" si="53"/>
        <v>0</v>
      </c>
      <c r="AO91" s="196">
        <f t="shared" si="53"/>
        <v>0</v>
      </c>
      <c r="AP91" s="196">
        <f t="shared" si="53"/>
        <v>0</v>
      </c>
      <c r="AQ91" s="196">
        <f t="shared" si="53"/>
        <v>0</v>
      </c>
      <c r="AR91" s="196">
        <f>+AR82+AR89</f>
        <v>0</v>
      </c>
      <c r="AS91" s="196">
        <f>+AS82+AS89</f>
        <v>0</v>
      </c>
      <c r="AT91" s="196">
        <f>+AT82+AT89</f>
        <v>0</v>
      </c>
      <c r="AU91" s="196">
        <f>+AU82+AU89</f>
        <v>0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5">
      <c r="A92" s="4"/>
      <c r="B92" s="3"/>
    </row>
    <row r="93" spans="1:79" x14ac:dyDescent="0.25">
      <c r="A93" s="4"/>
      <c r="B93" s="3"/>
    </row>
    <row r="94" spans="1:79" x14ac:dyDescent="0.25">
      <c r="A94" s="4"/>
      <c r="B94" s="3"/>
    </row>
    <row r="95" spans="1:79" x14ac:dyDescent="0.25">
      <c r="A95" s="4"/>
      <c r="B95" s="3"/>
    </row>
    <row r="96" spans="1:7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U187"/>
  <sheetViews>
    <sheetView zoomScale="75" workbookViewId="0">
      <pane xSplit="3" ySplit="9" topLeftCell="AK79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27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26497616</v>
      </c>
      <c r="E11" s="38">
        <f t="shared" si="0"/>
        <v>47253535.119999997</v>
      </c>
      <c r="F11" s="60">
        <f>'TIE-OUT'!N11+RECLASS!N11</f>
        <v>0</v>
      </c>
      <c r="G11" s="38">
        <f>'TIE-OUT'!O11+RECLASS!O11</f>
        <v>0</v>
      </c>
      <c r="H11" s="133">
        <f>+Actuals!E284</f>
        <v>26634801</v>
      </c>
      <c r="I11" s="134">
        <f>+Actuals!F284</f>
        <v>47340207.019999996</v>
      </c>
      <c r="J11" s="133">
        <f>+Actuals!G284</f>
        <v>3868</v>
      </c>
      <c r="K11" s="134">
        <f>+Actuals!H284</f>
        <v>-138185.15</v>
      </c>
      <c r="L11" s="133">
        <f>+Actuals!I284</f>
        <v>-291499</v>
      </c>
      <c r="M11" s="134">
        <f>+Actuals!J284</f>
        <v>-260712.45</v>
      </c>
      <c r="N11" s="133">
        <f>+Actuals!K284</f>
        <v>35040</v>
      </c>
      <c r="O11" s="134">
        <f>+Actuals!L284</f>
        <v>54335.28</v>
      </c>
      <c r="P11" s="133">
        <f>+Actuals!M284</f>
        <v>5000</v>
      </c>
      <c r="Q11" s="134">
        <f>+Actuals!N284</f>
        <v>8850</v>
      </c>
      <c r="R11" s="133">
        <f>+Actuals!O284</f>
        <v>0</v>
      </c>
      <c r="S11" s="134">
        <f>+Actuals!P284</f>
        <v>0</v>
      </c>
      <c r="T11" s="133">
        <f>+Actuals!Q284</f>
        <v>131247</v>
      </c>
      <c r="U11" s="134">
        <f>+Actuals!R284</f>
        <v>0</v>
      </c>
      <c r="V11" s="133">
        <f>+Actuals!S284</f>
        <v>-89329</v>
      </c>
      <c r="W11" s="134">
        <f>+Actuals!T284</f>
        <v>65742.42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+Actuals!Y284</f>
        <v>0</v>
      </c>
      <c r="AC11" s="134">
        <f>+Actuals!Z284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34">
        <f>+Actuals!AD484</f>
        <v>0</v>
      </c>
      <c r="AH11" s="133">
        <f>+Actuals!AE484</f>
        <v>0</v>
      </c>
      <c r="AI11" s="134">
        <f>+Actuals!AF484</f>
        <v>0</v>
      </c>
      <c r="AJ11" s="133">
        <f>+Actuals!AG484</f>
        <v>0</v>
      </c>
      <c r="AK11" s="134">
        <f>+Actuals!AH484</f>
        <v>0</v>
      </c>
      <c r="AL11" s="133">
        <f>+Actuals!AI484</f>
        <v>0</v>
      </c>
      <c r="AM11" s="134">
        <f>+Actuals!AJ484</f>
        <v>0</v>
      </c>
      <c r="AN11" s="133">
        <f>+Actuals!AK484</f>
        <v>0</v>
      </c>
      <c r="AO11" s="134">
        <f>+Actuals!AL484</f>
        <v>0</v>
      </c>
      <c r="AP11" s="133">
        <f>+Actuals!AM484</f>
        <v>0</v>
      </c>
      <c r="AQ11" s="134">
        <f>+Actuals!AN484</f>
        <v>0</v>
      </c>
      <c r="AR11" s="133">
        <v>34244</v>
      </c>
      <c r="AS11" s="134">
        <v>91649</v>
      </c>
      <c r="AT11" s="133">
        <v>34244</v>
      </c>
      <c r="AU11" s="134">
        <v>91649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-1114919.42</v>
      </c>
      <c r="F12" s="60">
        <f>'TIE-OUT'!N12+RECLASS!N12</f>
        <v>0</v>
      </c>
      <c r="G12" s="38">
        <f>'TIE-OUT'!O12+RECLASS!O12</f>
        <v>-1114919.42</v>
      </c>
      <c r="H12" s="133">
        <f>+Actuals!E285</f>
        <v>0</v>
      </c>
      <c r="I12" s="134">
        <f>+Actuals!F285</f>
        <v>0</v>
      </c>
      <c r="J12" s="133">
        <f>+Actuals!G285</f>
        <v>0</v>
      </c>
      <c r="K12" s="172">
        <f>+Actuals!H285</f>
        <v>0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+Actuals!Y285</f>
        <v>0</v>
      </c>
      <c r="AC12" s="134">
        <f>+Actuals!Z285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  <c r="AL12" s="133">
        <f>+Actuals!AI485</f>
        <v>0</v>
      </c>
      <c r="AM12" s="134">
        <f>+Actuals!AJ485</f>
        <v>0</v>
      </c>
      <c r="AN12" s="133">
        <f>+Actuals!AK485</f>
        <v>0</v>
      </c>
      <c r="AO12" s="134">
        <f>+Actuals!AL485</f>
        <v>0</v>
      </c>
      <c r="AP12" s="133">
        <f>+Actuals!AM485</f>
        <v>0</v>
      </c>
      <c r="AQ12" s="134">
        <f>+Actuals!AN485</f>
        <v>0</v>
      </c>
      <c r="AR12" s="133">
        <f>+Actuals!AO485</f>
        <v>0</v>
      </c>
      <c r="AS12" s="134">
        <f>+Actuals!AP485</f>
        <v>0</v>
      </c>
      <c r="AT12" s="133">
        <f>+Actuals!AQ485</f>
        <v>0</v>
      </c>
      <c r="AU12" s="134">
        <f>+Actuals!AR485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16058211</v>
      </c>
      <c r="E13" s="38">
        <f t="shared" si="0"/>
        <v>27637178</v>
      </c>
      <c r="F13" s="60">
        <f>'TIE-OUT'!N13+RECLASS!N13</f>
        <v>0</v>
      </c>
      <c r="G13" s="38">
        <f>'TIE-OUT'!O13+RECLASS!O13</f>
        <v>0</v>
      </c>
      <c r="H13" s="133">
        <f>+Actuals!E286</f>
        <v>16058211</v>
      </c>
      <c r="I13" s="134">
        <f>+Actuals!F286</f>
        <v>27637178</v>
      </c>
      <c r="J13" s="133">
        <f>+Actuals!G286</f>
        <v>0</v>
      </c>
      <c r="K13" s="134">
        <f>+Actuals!H286</f>
        <v>0</v>
      </c>
      <c r="L13" s="133">
        <f>+Actuals!I286</f>
        <v>-68387</v>
      </c>
      <c r="M13" s="134">
        <f>+Actuals!J286</f>
        <v>-117260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0</v>
      </c>
      <c r="W13" s="134">
        <f>+Actuals!T286</f>
        <v>0</v>
      </c>
      <c r="X13" s="133">
        <f>+Actuals!U286</f>
        <v>0</v>
      </c>
      <c r="Y13" s="134">
        <f>+Actuals!V286</f>
        <v>0</v>
      </c>
      <c r="Z13" s="133">
        <f>+Actuals!W286</f>
        <v>805845</v>
      </c>
      <c r="AA13" s="134">
        <f>+Actuals!X286</f>
        <v>1361834</v>
      </c>
      <c r="AB13" s="133">
        <f>+Actuals!Y286</f>
        <v>-737458</v>
      </c>
      <c r="AC13" s="134">
        <f>+Actuals!Z286</f>
        <v>-1244574</v>
      </c>
      <c r="AD13" s="133">
        <f>+Actuals!AA486</f>
        <v>737458</v>
      </c>
      <c r="AE13" s="134">
        <f>+Actuals!AB486</f>
        <v>1244574</v>
      </c>
      <c r="AF13" s="133">
        <f>+Actuals!AC486</f>
        <v>0</v>
      </c>
      <c r="AG13" s="134">
        <f>+Actuals!AD486</f>
        <v>0</v>
      </c>
      <c r="AH13" s="133">
        <f>+Actuals!AE486</f>
        <v>-737458</v>
      </c>
      <c r="AI13" s="134">
        <f>+Actuals!AF486</f>
        <v>-1244574</v>
      </c>
      <c r="AJ13" s="133">
        <f>+Actuals!AG486</f>
        <v>0</v>
      </c>
      <c r="AK13" s="134">
        <f>+Actuals!AH486</f>
        <v>0</v>
      </c>
      <c r="AL13" s="133">
        <f>+Actuals!AI486</f>
        <v>0</v>
      </c>
      <c r="AM13" s="134">
        <f>+Actuals!AJ486</f>
        <v>0</v>
      </c>
      <c r="AN13" s="133">
        <f>+Actuals!AK486</f>
        <v>0</v>
      </c>
      <c r="AO13" s="134">
        <f>+Actuals!AL486</f>
        <v>0</v>
      </c>
      <c r="AP13" s="133">
        <f>+Actuals!AM486</f>
        <v>0</v>
      </c>
      <c r="AQ13" s="134">
        <f>+Actuals!AN486</f>
        <v>0</v>
      </c>
      <c r="AR13" s="133">
        <f>+Actuals!AO486</f>
        <v>0</v>
      </c>
      <c r="AS13" s="134">
        <f>+Actuals!AP486</f>
        <v>0</v>
      </c>
      <c r="AT13" s="133">
        <f>+Actuals!AQ486</f>
        <v>0</v>
      </c>
      <c r="AU13" s="134">
        <f>+Actuals!AR486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+Actuals!Y287</f>
        <v>0</v>
      </c>
      <c r="AC14" s="134">
        <f>+Actuals!Z287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  <c r="AL14" s="133">
        <f>+Actuals!AI487</f>
        <v>0</v>
      </c>
      <c r="AM14" s="134">
        <f>+Actuals!AJ487</f>
        <v>0</v>
      </c>
      <c r="AN14" s="133">
        <f>+Actuals!AK487</f>
        <v>0</v>
      </c>
      <c r="AO14" s="134">
        <f>+Actuals!AL487</f>
        <v>0</v>
      </c>
      <c r="AP14" s="133">
        <f>+Actuals!AM487</f>
        <v>0</v>
      </c>
      <c r="AQ14" s="134">
        <f>+Actuals!AN487</f>
        <v>0</v>
      </c>
      <c r="AR14" s="133">
        <f>+Actuals!AO487</f>
        <v>0</v>
      </c>
      <c r="AS14" s="134">
        <f>+Actuals!AP487</f>
        <v>0</v>
      </c>
      <c r="AT14" s="133">
        <f>+Actuals!AQ487</f>
        <v>0</v>
      </c>
      <c r="AU14" s="134">
        <f>+Actuals!AR487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+Actuals!Y288</f>
        <v>0</v>
      </c>
      <c r="AC15" s="134">
        <f>+Actuals!Z288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  <c r="AL15" s="133">
        <f>+Actuals!AI488</f>
        <v>0</v>
      </c>
      <c r="AM15" s="134">
        <f>+Actuals!AJ488</f>
        <v>0</v>
      </c>
      <c r="AN15" s="133">
        <f>+Actuals!AK488</f>
        <v>0</v>
      </c>
      <c r="AO15" s="134">
        <f>+Actuals!AL488</f>
        <v>0</v>
      </c>
      <c r="AP15" s="133">
        <f>+Actuals!AM488</f>
        <v>0</v>
      </c>
      <c r="AQ15" s="134">
        <f>+Actuals!AN488</f>
        <v>0</v>
      </c>
      <c r="AR15" s="133">
        <f>+Actuals!AO488</f>
        <v>0</v>
      </c>
      <c r="AS15" s="134">
        <f>+Actuals!AP488</f>
        <v>0</v>
      </c>
      <c r="AT15" s="133">
        <f>+Actuals!AQ488</f>
        <v>0</v>
      </c>
      <c r="AU15" s="134">
        <f>+Actuals!AR488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42555827</v>
      </c>
      <c r="E16" s="39">
        <f t="shared" si="1"/>
        <v>73775793.699999988</v>
      </c>
      <c r="F16" s="61">
        <f t="shared" si="1"/>
        <v>0</v>
      </c>
      <c r="G16" s="39">
        <f t="shared" si="1"/>
        <v>-1114919.42</v>
      </c>
      <c r="H16" s="61">
        <f t="shared" si="1"/>
        <v>42693012</v>
      </c>
      <c r="I16" s="39">
        <f t="shared" si="1"/>
        <v>74977385.019999996</v>
      </c>
      <c r="J16" s="61">
        <f t="shared" si="1"/>
        <v>3868</v>
      </c>
      <c r="K16" s="39">
        <f t="shared" si="1"/>
        <v>-138185.15</v>
      </c>
      <c r="L16" s="61">
        <f t="shared" si="1"/>
        <v>-359886</v>
      </c>
      <c r="M16" s="39">
        <f t="shared" si="1"/>
        <v>-377972.45</v>
      </c>
      <c r="N16" s="61">
        <f t="shared" si="1"/>
        <v>35040</v>
      </c>
      <c r="O16" s="39">
        <f t="shared" si="1"/>
        <v>54335.28</v>
      </c>
      <c r="P16" s="61">
        <f t="shared" si="1"/>
        <v>5000</v>
      </c>
      <c r="Q16" s="39">
        <f t="shared" si="1"/>
        <v>8850</v>
      </c>
      <c r="R16" s="61">
        <f t="shared" si="1"/>
        <v>0</v>
      </c>
      <c r="S16" s="39">
        <f t="shared" si="1"/>
        <v>0</v>
      </c>
      <c r="T16" s="61">
        <f t="shared" si="1"/>
        <v>131247</v>
      </c>
      <c r="U16" s="39">
        <f t="shared" si="1"/>
        <v>0</v>
      </c>
      <c r="V16" s="61">
        <f t="shared" si="1"/>
        <v>-89329</v>
      </c>
      <c r="W16" s="39">
        <f t="shared" si="1"/>
        <v>65742.42</v>
      </c>
      <c r="X16" s="61">
        <f t="shared" si="1"/>
        <v>0</v>
      </c>
      <c r="Y16" s="39">
        <f t="shared" si="1"/>
        <v>0</v>
      </c>
      <c r="Z16" s="61">
        <f t="shared" si="1"/>
        <v>805845</v>
      </c>
      <c r="AA16" s="39">
        <f t="shared" si="1"/>
        <v>1361834</v>
      </c>
      <c r="AB16" s="61">
        <f t="shared" si="1"/>
        <v>-737458</v>
      </c>
      <c r="AC16" s="39">
        <f t="shared" si="1"/>
        <v>-1244574</v>
      </c>
      <c r="AD16" s="61">
        <f t="shared" si="1"/>
        <v>737458</v>
      </c>
      <c r="AE16" s="39">
        <f t="shared" si="1"/>
        <v>1244574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-737458</v>
      </c>
      <c r="AI16" s="39">
        <f t="shared" si="2"/>
        <v>-1244574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34244</v>
      </c>
      <c r="AS16" s="39">
        <f>SUM(AS11:AS15)</f>
        <v>91649</v>
      </c>
      <c r="AT16" s="61">
        <f>SUM(AT11:AT15)</f>
        <v>34244</v>
      </c>
      <c r="AU16" s="39">
        <f>SUM(AU11:AU15)</f>
        <v>91649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-27688284</v>
      </c>
      <c r="E19" s="38">
        <f t="shared" si="4"/>
        <v>-46448123.150000006</v>
      </c>
      <c r="F19" s="64">
        <f>'TIE-OUT'!N19+RECLASS!N19</f>
        <v>0</v>
      </c>
      <c r="G19" s="68">
        <f>'TIE-OUT'!O19+RECLASS!O19</f>
        <v>0</v>
      </c>
      <c r="H19" s="133">
        <f>+Actuals!E289</f>
        <v>-27908771</v>
      </c>
      <c r="I19" s="134">
        <f>+Actuals!F289</f>
        <v>-47096707.980000004</v>
      </c>
      <c r="J19" s="133">
        <f>+Actuals!G289</f>
        <v>3042</v>
      </c>
      <c r="K19" s="134">
        <f>+Actuals!H289</f>
        <v>522936.8</v>
      </c>
      <c r="L19" s="133">
        <f>+Actuals!I289</f>
        <v>280000</v>
      </c>
      <c r="M19" s="134">
        <f>+Actuals!J289</f>
        <v>302250.75</v>
      </c>
      <c r="N19" s="133">
        <f>+Actuals!K289</f>
        <v>4550</v>
      </c>
      <c r="O19" s="134">
        <f>+Actuals!L289</f>
        <v>6742.17</v>
      </c>
      <c r="P19" s="133">
        <f>+Actuals!M289</f>
        <v>0</v>
      </c>
      <c r="Q19" s="134">
        <f>+Actuals!N289</f>
        <v>-224.58</v>
      </c>
      <c r="R19" s="133">
        <f>+Actuals!O289</f>
        <v>0</v>
      </c>
      <c r="S19" s="134">
        <f>+Actuals!P289</f>
        <v>0</v>
      </c>
      <c r="T19" s="133">
        <f>+Actuals!Q289</f>
        <v>0</v>
      </c>
      <c r="U19" s="134">
        <f>+Actuals!R289</f>
        <v>-1800</v>
      </c>
      <c r="V19" s="133">
        <f>+Actuals!S289</f>
        <v>1383</v>
      </c>
      <c r="W19" s="134">
        <f>+Actuals!T289</f>
        <v>1977.69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+Actuals!Y289</f>
        <v>0</v>
      </c>
      <c r="AC19" s="134">
        <f>+Actuals!Z289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  <c r="AL19" s="133">
        <f>+Actuals!AI489</f>
        <v>0</v>
      </c>
      <c r="AM19" s="134">
        <f>+Actuals!AJ489</f>
        <v>0</v>
      </c>
      <c r="AN19" s="133">
        <f>+Actuals!AK489</f>
        <v>0</v>
      </c>
      <c r="AO19" s="134">
        <f>+Actuals!AL489</f>
        <v>0</v>
      </c>
      <c r="AP19" s="133">
        <f>+Actuals!AM489</f>
        <v>0</v>
      </c>
      <c r="AQ19" s="134">
        <f>+Actuals!AN489</f>
        <v>0</v>
      </c>
      <c r="AR19" s="133">
        <v>-34244</v>
      </c>
      <c r="AS19" s="134">
        <v>-91649</v>
      </c>
      <c r="AT19" s="133">
        <v>-34244</v>
      </c>
      <c r="AU19" s="134">
        <v>-91649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159339.66</v>
      </c>
      <c r="F20" s="60">
        <f>'TIE-OUT'!N20+RECLASS!N20</f>
        <v>0</v>
      </c>
      <c r="G20" s="38">
        <f>'TIE-OUT'!O20+RECLASS!O20</f>
        <v>198864.66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82">
        <f>+Actuals!J290-39525</f>
        <v>-39525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+Actuals!Y290</f>
        <v>0</v>
      </c>
      <c r="AC20" s="134">
        <f>+Actuals!Z290</f>
        <v>0</v>
      </c>
      <c r="AD20" s="133">
        <f>+Actuals!AA490</f>
        <v>0</v>
      </c>
      <c r="AE20" s="165">
        <v>0</v>
      </c>
      <c r="AF20" s="133">
        <f>+Actuals!AC490</f>
        <v>0</v>
      </c>
      <c r="AG20" s="165">
        <v>0</v>
      </c>
      <c r="AH20" s="133">
        <f>+Actuals!AE490</f>
        <v>0</v>
      </c>
      <c r="AI20" s="165">
        <v>0</v>
      </c>
      <c r="AJ20" s="133">
        <f>+Actuals!AG490</f>
        <v>0</v>
      </c>
      <c r="AK20" s="165">
        <v>0</v>
      </c>
      <c r="AL20" s="133">
        <f>+Actuals!AI490</f>
        <v>0</v>
      </c>
      <c r="AM20" s="165">
        <v>0</v>
      </c>
      <c r="AN20" s="133">
        <f>+Actuals!AK490</f>
        <v>0</v>
      </c>
      <c r="AO20" s="165">
        <v>0</v>
      </c>
      <c r="AP20" s="133">
        <f>+Actuals!AM490</f>
        <v>0</v>
      </c>
      <c r="AQ20" s="165">
        <v>0</v>
      </c>
      <c r="AR20" s="133">
        <f>+Actuals!AO490</f>
        <v>0</v>
      </c>
      <c r="AS20" s="165">
        <v>0</v>
      </c>
      <c r="AT20" s="133">
        <f>+Actuals!AQ490</f>
        <v>0</v>
      </c>
      <c r="AU20" s="165"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-14522114</v>
      </c>
      <c r="E21" s="38">
        <f t="shared" si="4"/>
        <v>-25005851</v>
      </c>
      <c r="F21" s="60">
        <f>'TIE-OUT'!N21+RECLASS!N21</f>
        <v>0</v>
      </c>
      <c r="G21" s="38">
        <f>'TIE-OUT'!O21+RECLASS!O21</f>
        <v>0</v>
      </c>
      <c r="H21" s="133">
        <f>+Actuals!E291</f>
        <v>-14522114</v>
      </c>
      <c r="I21" s="134">
        <f>+Actuals!F291</f>
        <v>-25005851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0</v>
      </c>
      <c r="W21" s="134">
        <f>+Actuals!T291</f>
        <v>0</v>
      </c>
      <c r="X21" s="133">
        <f>+Actuals!U291</f>
        <v>0</v>
      </c>
      <c r="Y21" s="134">
        <f>+Actuals!V291</f>
        <v>0</v>
      </c>
      <c r="Z21" s="133">
        <f>+Actuals!W291</f>
        <v>-805845</v>
      </c>
      <c r="AA21" s="134">
        <f>+Actuals!X291</f>
        <v>-1361834</v>
      </c>
      <c r="AB21" s="133">
        <f>+Actuals!Y291</f>
        <v>805845</v>
      </c>
      <c r="AC21" s="134">
        <f>+Actuals!Z291</f>
        <v>1361834</v>
      </c>
      <c r="AD21" s="133">
        <f>+Actuals!AA491</f>
        <v>-805845</v>
      </c>
      <c r="AE21" s="134">
        <f>+Actuals!AB491</f>
        <v>-1361834</v>
      </c>
      <c r="AF21" s="133">
        <f>+Actuals!AC491</f>
        <v>0</v>
      </c>
      <c r="AG21" s="134">
        <f>+Actuals!AD491</f>
        <v>0</v>
      </c>
      <c r="AH21" s="133">
        <f>+Actuals!AE491</f>
        <v>805845</v>
      </c>
      <c r="AI21" s="134">
        <f>+Actuals!AF491</f>
        <v>1361834</v>
      </c>
      <c r="AJ21" s="133">
        <f>+Actuals!AG491</f>
        <v>0</v>
      </c>
      <c r="AK21" s="134">
        <f>+Actuals!AH491</f>
        <v>0</v>
      </c>
      <c r="AL21" s="133">
        <f>+Actuals!AI491</f>
        <v>0</v>
      </c>
      <c r="AM21" s="134">
        <f>+Actuals!AJ491</f>
        <v>0</v>
      </c>
      <c r="AN21" s="133">
        <f>+Actuals!AK491</f>
        <v>0</v>
      </c>
      <c r="AO21" s="134">
        <f>+Actuals!AL491</f>
        <v>0</v>
      </c>
      <c r="AP21" s="133">
        <f>+Actuals!AM491</f>
        <v>0</v>
      </c>
      <c r="AQ21" s="134">
        <f>+Actuals!AN491</f>
        <v>0</v>
      </c>
      <c r="AR21" s="133">
        <f>+Actuals!AO491</f>
        <v>0</v>
      </c>
      <c r="AS21" s="134">
        <f>+Actuals!AP491</f>
        <v>0</v>
      </c>
      <c r="AT21" s="133">
        <f>+Actuals!AQ491</f>
        <v>0</v>
      </c>
      <c r="AU21" s="134">
        <f>+Actuals!AR491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+Actuals!Y292</f>
        <v>0</v>
      </c>
      <c r="AC22" s="134">
        <f>+Actuals!Z292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  <c r="AL22" s="133">
        <f>+Actuals!AI492</f>
        <v>0</v>
      </c>
      <c r="AM22" s="134">
        <f>+Actuals!AJ492</f>
        <v>0</v>
      </c>
      <c r="AN22" s="133">
        <f>+Actuals!AK492</f>
        <v>0</v>
      </c>
      <c r="AO22" s="134">
        <f>+Actuals!AL492</f>
        <v>0</v>
      </c>
      <c r="AP22" s="133">
        <f>+Actuals!AM492</f>
        <v>0</v>
      </c>
      <c r="AQ22" s="134">
        <f>+Actuals!AN492</f>
        <v>0</v>
      </c>
      <c r="AR22" s="133">
        <f>+Actuals!AO492</f>
        <v>0</v>
      </c>
      <c r="AS22" s="134">
        <f>+Actuals!AP492</f>
        <v>0</v>
      </c>
      <c r="AT22" s="133">
        <f>+Actuals!AQ492</f>
        <v>0</v>
      </c>
      <c r="AU22" s="134">
        <f>+Actuals!AR492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279227</v>
      </c>
      <c r="E23" s="38">
        <f t="shared" si="4"/>
        <v>466029.86100000003</v>
      </c>
      <c r="F23" s="81">
        <f>'TIE-OUT'!N23+RECLASS!N23</f>
        <v>0</v>
      </c>
      <c r="G23" s="82">
        <f>'TIE-OUT'!O23+RECLASS!O23</f>
        <v>0</v>
      </c>
      <c r="H23" s="133">
        <f>+Actuals!E293</f>
        <v>274328</v>
      </c>
      <c r="I23" s="134">
        <f>+Actuals!F293</f>
        <v>457853.43</v>
      </c>
      <c r="J23" s="133">
        <f>+Actuals!G293</f>
        <v>4936</v>
      </c>
      <c r="K23" s="134">
        <f>+Actuals!H293</f>
        <v>8238.1839999999993</v>
      </c>
      <c r="L23" s="133">
        <f>+Actuals!I293</f>
        <v>-97</v>
      </c>
      <c r="M23" s="134">
        <f>+Actuals!J293</f>
        <v>-161.893</v>
      </c>
      <c r="N23" s="133">
        <f>+Actuals!K293</f>
        <v>0</v>
      </c>
      <c r="O23" s="134">
        <f>+Actuals!L293</f>
        <v>0</v>
      </c>
      <c r="P23" s="133">
        <f>+Actuals!M293</f>
        <v>63</v>
      </c>
      <c r="Q23" s="134">
        <f>+Actuals!N293</f>
        <v>105.14700000000001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-3</v>
      </c>
      <c r="W23" s="134">
        <f>+Actuals!T293</f>
        <v>-5.0069999999999997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+Actuals!Y293</f>
        <v>0</v>
      </c>
      <c r="AC23" s="134">
        <f>+Actuals!Z293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  <c r="AL23" s="133">
        <f>+Actuals!AI493</f>
        <v>0</v>
      </c>
      <c r="AM23" s="134">
        <f>+Actuals!AJ493</f>
        <v>0</v>
      </c>
      <c r="AN23" s="133">
        <f>+Actuals!AK493</f>
        <v>0</v>
      </c>
      <c r="AO23" s="134">
        <f>+Actuals!AL493</f>
        <v>0</v>
      </c>
      <c r="AP23" s="133">
        <f>+Actuals!AM493</f>
        <v>0</v>
      </c>
      <c r="AQ23" s="134">
        <f>+Actuals!AN493</f>
        <v>0</v>
      </c>
      <c r="AR23" s="133">
        <f>+Actuals!AO493</f>
        <v>0</v>
      </c>
      <c r="AS23" s="134">
        <f>+Actuals!AP493</f>
        <v>0</v>
      </c>
      <c r="AT23" s="133">
        <f>+Actuals!AQ493</f>
        <v>0</v>
      </c>
      <c r="AU23" s="134">
        <f>+Actuals!AR493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-41931171</v>
      </c>
      <c r="E24" s="39">
        <f t="shared" si="5"/>
        <v>-70828604.629000008</v>
      </c>
      <c r="F24" s="61">
        <f t="shared" si="5"/>
        <v>0</v>
      </c>
      <c r="G24" s="39">
        <f t="shared" si="5"/>
        <v>198864.66</v>
      </c>
      <c r="H24" s="61">
        <f t="shared" si="5"/>
        <v>-42156557</v>
      </c>
      <c r="I24" s="39">
        <f t="shared" si="5"/>
        <v>-71644705.549999997</v>
      </c>
      <c r="J24" s="61">
        <f t="shared" si="5"/>
        <v>7978</v>
      </c>
      <c r="K24" s="39">
        <f t="shared" si="5"/>
        <v>531174.98399999994</v>
      </c>
      <c r="L24" s="61">
        <f t="shared" si="5"/>
        <v>279903</v>
      </c>
      <c r="M24" s="39">
        <f t="shared" si="5"/>
        <v>262563.85700000002</v>
      </c>
      <c r="N24" s="61">
        <f t="shared" si="5"/>
        <v>4550</v>
      </c>
      <c r="O24" s="39">
        <f t="shared" si="5"/>
        <v>6742.17</v>
      </c>
      <c r="P24" s="61">
        <f t="shared" si="5"/>
        <v>63</v>
      </c>
      <c r="Q24" s="39">
        <f t="shared" si="5"/>
        <v>-119.43300000000001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-1800</v>
      </c>
      <c r="V24" s="61">
        <f t="shared" si="5"/>
        <v>1380</v>
      </c>
      <c r="W24" s="39">
        <f t="shared" si="5"/>
        <v>1972.683</v>
      </c>
      <c r="X24" s="61">
        <f t="shared" si="5"/>
        <v>0</v>
      </c>
      <c r="Y24" s="39">
        <f t="shared" si="5"/>
        <v>0</v>
      </c>
      <c r="Z24" s="61">
        <f t="shared" si="5"/>
        <v>-805845</v>
      </c>
      <c r="AA24" s="39">
        <f t="shared" si="5"/>
        <v>-1361834</v>
      </c>
      <c r="AB24" s="61">
        <f t="shared" si="5"/>
        <v>805845</v>
      </c>
      <c r="AC24" s="39">
        <f t="shared" si="5"/>
        <v>1361834</v>
      </c>
      <c r="AD24" s="61">
        <f t="shared" si="5"/>
        <v>-805845</v>
      </c>
      <c r="AE24" s="39">
        <f t="shared" si="5"/>
        <v>-1361834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805845</v>
      </c>
      <c r="AI24" s="39">
        <f t="shared" si="6"/>
        <v>1361834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-34244</v>
      </c>
      <c r="AS24" s="39">
        <f>SUM(AS19:AS23)</f>
        <v>-91649</v>
      </c>
      <c r="AT24" s="61">
        <f>SUM(AT19:AT23)</f>
        <v>-34244</v>
      </c>
      <c r="AU24" s="39">
        <f>SUM(AU19:AU23)</f>
        <v>-91649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+Actuals!Y294</f>
        <v>0</v>
      </c>
      <c r="AC27" s="134">
        <f>+Actuals!Z294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  <c r="AL27" s="133">
        <f>+Actuals!AI494</f>
        <v>0</v>
      </c>
      <c r="AM27" s="134">
        <f>+Actuals!AJ494</f>
        <v>0</v>
      </c>
      <c r="AN27" s="133">
        <f>+Actuals!AK494</f>
        <v>0</v>
      </c>
      <c r="AO27" s="134">
        <f>+Actuals!AL494</f>
        <v>0</v>
      </c>
      <c r="AP27" s="133">
        <f>+Actuals!AM494</f>
        <v>0</v>
      </c>
      <c r="AQ27" s="134">
        <f>+Actuals!AN494</f>
        <v>0</v>
      </c>
      <c r="AR27" s="133">
        <f>+Actuals!AO494</f>
        <v>0</v>
      </c>
      <c r="AS27" s="134">
        <f>+Actuals!AP494</f>
        <v>0</v>
      </c>
      <c r="AT27" s="133">
        <f>+Actuals!AQ494</f>
        <v>0</v>
      </c>
      <c r="AU27" s="134">
        <f>+Actuals!AR494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+Actuals!Y295</f>
        <v>0</v>
      </c>
      <c r="AC28" s="134">
        <f>+Actuals!Z295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  <c r="AL28" s="133">
        <f>+Actuals!AI495</f>
        <v>0</v>
      </c>
      <c r="AM28" s="134">
        <f>+Actuals!AJ495</f>
        <v>0</v>
      </c>
      <c r="AN28" s="133">
        <f>+Actuals!AK495</f>
        <v>0</v>
      </c>
      <c r="AO28" s="134">
        <f>+Actuals!AL495</f>
        <v>0</v>
      </c>
      <c r="AP28" s="133">
        <f>+Actuals!AM495</f>
        <v>0</v>
      </c>
      <c r="AQ28" s="134">
        <f>+Actuals!AN495</f>
        <v>0</v>
      </c>
      <c r="AR28" s="133">
        <f>+Actuals!AO495</f>
        <v>0</v>
      </c>
      <c r="AS28" s="134">
        <f>+Actuals!AP495</f>
        <v>0</v>
      </c>
      <c r="AT28" s="133">
        <f>+Actuals!AQ495</f>
        <v>0</v>
      </c>
      <c r="AU28" s="134">
        <f>+Actuals!AR495</f>
        <v>0</v>
      </c>
    </row>
    <row r="29" spans="1:47" x14ac:dyDescent="0.25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-127122</v>
      </c>
      <c r="E32" s="38">
        <f t="shared" si="11"/>
        <v>-259328.23600000003</v>
      </c>
      <c r="F32" s="64">
        <f>'TIE-OUT'!N32+RECLASS!N32</f>
        <v>0</v>
      </c>
      <c r="G32" s="68">
        <f>'TIE-OUT'!O32+RECLASS!O32</f>
        <v>0</v>
      </c>
      <c r="H32" s="133">
        <f>+Actuals!E296</f>
        <v>-123809</v>
      </c>
      <c r="I32" s="134">
        <f>+Actuals!F296</f>
        <v>-206637.22</v>
      </c>
      <c r="J32" s="133">
        <f>+Actuals!G296</f>
        <v>93189</v>
      </c>
      <c r="K32" s="134">
        <f>+Actuals!H296</f>
        <v>160370.4</v>
      </c>
      <c r="L32" s="133">
        <f>+Actuals!I296</f>
        <v>-53204</v>
      </c>
      <c r="M32" s="134">
        <f>+Actuals!J296</f>
        <v>-87600.107999999993</v>
      </c>
      <c r="N32" s="133">
        <f>+Actuals!K296</f>
        <v>0</v>
      </c>
      <c r="O32" s="134">
        <f>+Actuals!L296</f>
        <v>-40486.991999999998</v>
      </c>
      <c r="P32" s="133">
        <f>+Actuals!M296</f>
        <v>-1</v>
      </c>
      <c r="Q32" s="134">
        <f>+Actuals!N296</f>
        <v>-2.08</v>
      </c>
      <c r="R32" s="133">
        <f>+Actuals!O296</f>
        <v>1</v>
      </c>
      <c r="S32" s="134">
        <f>+Actuals!P296</f>
        <v>-584.68799999999999</v>
      </c>
      <c r="T32" s="133">
        <f>+Actuals!Q296</f>
        <v>0</v>
      </c>
      <c r="U32" s="134">
        <f>+Actuals!R296</f>
        <v>-72926.880000000005</v>
      </c>
      <c r="V32" s="133">
        <f>+Actuals!S296</f>
        <v>-43298</v>
      </c>
      <c r="W32" s="134">
        <f>+Actuals!T296</f>
        <v>-87225.68</v>
      </c>
      <c r="X32" s="133">
        <f>+Actuals!U296</f>
        <v>0</v>
      </c>
      <c r="Y32" s="134">
        <f>+Actuals!V296-694801</f>
        <v>75765.011999999988</v>
      </c>
      <c r="Z32" s="133">
        <f>+Actuals!W296</f>
        <v>0</v>
      </c>
      <c r="AA32" s="134">
        <f>+Actuals!X296</f>
        <v>0</v>
      </c>
      <c r="AB32" s="133">
        <f>+Actuals!Y296</f>
        <v>0</v>
      </c>
      <c r="AC32" s="134">
        <f>+Actuals!Z296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  <c r="AL32" s="133">
        <f>+Actuals!AI496</f>
        <v>0</v>
      </c>
      <c r="AM32" s="134">
        <f>+Actuals!AJ496</f>
        <v>0</v>
      </c>
      <c r="AN32" s="133">
        <f>+Actuals!AK496</f>
        <v>0</v>
      </c>
      <c r="AO32" s="134">
        <f>+Actuals!AL496</f>
        <v>0</v>
      </c>
      <c r="AP32" s="133">
        <f>+Actuals!AM496</f>
        <v>0</v>
      </c>
      <c r="AQ32" s="134">
        <f>+Actuals!AN496</f>
        <v>0</v>
      </c>
      <c r="AR32" s="133">
        <f>+Actuals!AO496</f>
        <v>0</v>
      </c>
      <c r="AS32" s="134">
        <f>+Actuals!AP496</f>
        <v>0</v>
      </c>
      <c r="AT32" s="133">
        <f>+Actuals!AQ496</f>
        <v>0</v>
      </c>
      <c r="AU32" s="134">
        <f>+Actuals!AR496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-57766</v>
      </c>
      <c r="E33" s="38">
        <f t="shared" si="11"/>
        <v>-115707.75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-31496</v>
      </c>
      <c r="K33" s="134">
        <f>+Actuals!H297</f>
        <v>-63063.040000000001</v>
      </c>
      <c r="L33" s="133">
        <f>+Actuals!I297</f>
        <v>-26269</v>
      </c>
      <c r="M33" s="134">
        <f>+Actuals!J297</f>
        <v>-52643.08</v>
      </c>
      <c r="N33" s="133">
        <f>+Actuals!K297</f>
        <v>-1</v>
      </c>
      <c r="O33" s="134">
        <f>+Actuals!L297</f>
        <v>-1.63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+Actuals!Y297</f>
        <v>0</v>
      </c>
      <c r="AC33" s="134">
        <f>+Actuals!Z297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  <c r="AL33" s="133">
        <f>+Actuals!AI497</f>
        <v>0</v>
      </c>
      <c r="AM33" s="134">
        <f>+Actuals!AJ497</f>
        <v>0</v>
      </c>
      <c r="AN33" s="133">
        <f>+Actuals!AK497</f>
        <v>0</v>
      </c>
      <c r="AO33" s="134">
        <f>+Actuals!AL497</f>
        <v>0</v>
      </c>
      <c r="AP33" s="133">
        <f>+Actuals!AM497</f>
        <v>0</v>
      </c>
      <c r="AQ33" s="134">
        <f>+Actuals!AN497</f>
        <v>0</v>
      </c>
      <c r="AR33" s="133">
        <f>+Actuals!AO497</f>
        <v>0</v>
      </c>
      <c r="AS33" s="134">
        <f>+Actuals!AP497</f>
        <v>0</v>
      </c>
      <c r="AT33" s="133">
        <f>+Actuals!AQ497</f>
        <v>0</v>
      </c>
      <c r="AU33" s="134">
        <f>+Actuals!AR497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188848</v>
      </c>
      <c r="E34" s="38">
        <f t="shared" si="11"/>
        <v>334482.68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157517</v>
      </c>
      <c r="K34" s="134">
        <f>+Actuals!H298</f>
        <v>52644.45</v>
      </c>
      <c r="L34" s="133">
        <f>+Actuals!I298</f>
        <v>31331</v>
      </c>
      <c r="M34" s="134">
        <f>+Actuals!J298</f>
        <v>62786.99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219051.24</v>
      </c>
      <c r="Z34" s="133">
        <f>+Actuals!W298</f>
        <v>0</v>
      </c>
      <c r="AA34" s="134">
        <f>+Actuals!X298</f>
        <v>0</v>
      </c>
      <c r="AB34" s="133">
        <f>+Actuals!Y298</f>
        <v>0</v>
      </c>
      <c r="AC34" s="134">
        <f>+Actuals!Z298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  <c r="AL34" s="133">
        <f>+Actuals!AI498</f>
        <v>0</v>
      </c>
      <c r="AM34" s="134">
        <f>+Actuals!AJ498</f>
        <v>0</v>
      </c>
      <c r="AN34" s="133">
        <f>+Actuals!AK498</f>
        <v>0</v>
      </c>
      <c r="AO34" s="134">
        <f>+Actuals!AL498</f>
        <v>0</v>
      </c>
      <c r="AP34" s="133">
        <f>+Actuals!AM498</f>
        <v>0</v>
      </c>
      <c r="AQ34" s="134">
        <f>+Actuals!AN498</f>
        <v>0</v>
      </c>
      <c r="AR34" s="133">
        <f>+Actuals!AO498</f>
        <v>0</v>
      </c>
      <c r="AS34" s="134">
        <f>+Actuals!AP498</f>
        <v>0</v>
      </c>
      <c r="AT34" s="133">
        <f>+Actuals!AQ498</f>
        <v>0</v>
      </c>
      <c r="AU34" s="134">
        <f>+Actuals!AR498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-551652</v>
      </c>
      <c r="E35" s="38">
        <f t="shared" si="11"/>
        <v>-225905.99</v>
      </c>
      <c r="F35" s="81">
        <f>'TIE-OUT'!N35+RECLASS!N35</f>
        <v>0</v>
      </c>
      <c r="G35" s="82">
        <f>'TIE-OUT'!O35+RECLASS!O35</f>
        <v>0</v>
      </c>
      <c r="H35" s="133">
        <f>+Actuals!E299</f>
        <v>-412644</v>
      </c>
      <c r="I35" s="134">
        <f>+Actuals!F299</f>
        <v>0.01</v>
      </c>
      <c r="J35" s="133">
        <f>+Actuals!G299</f>
        <v>-139005</v>
      </c>
      <c r="K35" s="134">
        <f>+Actuals!H299</f>
        <v>0</v>
      </c>
      <c r="L35" s="133">
        <f>+Actuals!I299</f>
        <v>0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-3</v>
      </c>
      <c r="S35" s="134">
        <f>+Actuals!P299</f>
        <v>0</v>
      </c>
      <c r="T35" s="133">
        <f>+Actuals!Q299</f>
        <v>0</v>
      </c>
      <c r="U35" s="134">
        <f>+Actuals!R299</f>
        <v>-920707</v>
      </c>
      <c r="V35" s="133">
        <f>+Actuals!S299</f>
        <v>0</v>
      </c>
      <c r="W35" s="165">
        <f>+Actuals!T299+694801</f>
        <v>694801</v>
      </c>
      <c r="X35" s="133">
        <f>+Actuals!U299</f>
        <v>0</v>
      </c>
      <c r="Y35" s="165">
        <f>+Actuals!V299</f>
        <v>0</v>
      </c>
      <c r="Z35" s="133">
        <f>+Actuals!W299</f>
        <v>0</v>
      </c>
      <c r="AA35" s="134">
        <f>+Actuals!X299</f>
        <v>0</v>
      </c>
      <c r="AB35" s="133">
        <f>+Actuals!Y299</f>
        <v>0</v>
      </c>
      <c r="AC35" s="134">
        <f>+Actuals!Z299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  <c r="AL35" s="133">
        <f>+Actuals!AI499</f>
        <v>0</v>
      </c>
      <c r="AM35" s="134">
        <f>+Actuals!AJ499</f>
        <v>0</v>
      </c>
      <c r="AN35" s="133">
        <f>+Actuals!AK499</f>
        <v>0</v>
      </c>
      <c r="AO35" s="134">
        <f>+Actuals!AL499</f>
        <v>0</v>
      </c>
      <c r="AP35" s="133">
        <f>+Actuals!AM499</f>
        <v>0</v>
      </c>
      <c r="AQ35" s="134">
        <f>+Actuals!AN499</f>
        <v>0</v>
      </c>
      <c r="AR35" s="133">
        <f>+Actuals!AO499</f>
        <v>0</v>
      </c>
      <c r="AS35" s="134">
        <f>+Actuals!AP499</f>
        <v>0</v>
      </c>
      <c r="AT35" s="133">
        <f>+Actuals!AQ499</f>
        <v>0</v>
      </c>
      <c r="AU35" s="134">
        <f>+Actuals!AR499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-547692</v>
      </c>
      <c r="E36" s="39">
        <f t="shared" si="12"/>
        <v>-266459.29600000003</v>
      </c>
      <c r="F36" s="61">
        <f t="shared" si="12"/>
        <v>0</v>
      </c>
      <c r="G36" s="39">
        <f t="shared" si="12"/>
        <v>0</v>
      </c>
      <c r="H36" s="61">
        <f t="shared" si="12"/>
        <v>-536453</v>
      </c>
      <c r="I36" s="39">
        <f t="shared" si="12"/>
        <v>-206637.21</v>
      </c>
      <c r="J36" s="61">
        <f t="shared" si="12"/>
        <v>80205</v>
      </c>
      <c r="K36" s="39">
        <f t="shared" si="12"/>
        <v>149951.81</v>
      </c>
      <c r="L36" s="61">
        <f t="shared" si="12"/>
        <v>-48142</v>
      </c>
      <c r="M36" s="39">
        <f t="shared" si="12"/>
        <v>-77456.198000000004</v>
      </c>
      <c r="N36" s="61">
        <f t="shared" si="12"/>
        <v>-1</v>
      </c>
      <c r="O36" s="39">
        <f t="shared" si="12"/>
        <v>-40488.621999999996</v>
      </c>
      <c r="P36" s="61">
        <f t="shared" si="12"/>
        <v>-1</v>
      </c>
      <c r="Q36" s="39">
        <f t="shared" si="12"/>
        <v>-2.08</v>
      </c>
      <c r="R36" s="61">
        <f t="shared" si="12"/>
        <v>-2</v>
      </c>
      <c r="S36" s="39">
        <f t="shared" si="12"/>
        <v>-584.68799999999999</v>
      </c>
      <c r="T36" s="61">
        <f t="shared" si="12"/>
        <v>0</v>
      </c>
      <c r="U36" s="39">
        <f t="shared" si="12"/>
        <v>-993633.88</v>
      </c>
      <c r="V36" s="61">
        <f t="shared" si="12"/>
        <v>-43298</v>
      </c>
      <c r="W36" s="39">
        <f t="shared" si="12"/>
        <v>607575.32000000007</v>
      </c>
      <c r="X36" s="61">
        <f t="shared" si="12"/>
        <v>0</v>
      </c>
      <c r="Y36" s="39">
        <f t="shared" si="12"/>
        <v>294816.25199999998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+Actuals!Y300</f>
        <v>0</v>
      </c>
      <c r="AC39" s="134">
        <f>+Actuals!Z300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  <c r="AL39" s="133">
        <f>+Actuals!AI500</f>
        <v>0</v>
      </c>
      <c r="AM39" s="134">
        <f>+Actuals!AJ500</f>
        <v>0</v>
      </c>
      <c r="AN39" s="133">
        <f>+Actuals!AK500</f>
        <v>0</v>
      </c>
      <c r="AO39" s="134">
        <f>+Actuals!AL500</f>
        <v>0</v>
      </c>
      <c r="AP39" s="133">
        <f>+Actuals!AM500</f>
        <v>0</v>
      </c>
      <c r="AQ39" s="134">
        <f>+Actuals!AN500</f>
        <v>0</v>
      </c>
      <c r="AR39" s="133">
        <f>+Actuals!AO500</f>
        <v>0</v>
      </c>
      <c r="AS39" s="134">
        <f>+Actuals!AP500</f>
        <v>0</v>
      </c>
      <c r="AT39" s="133">
        <f>+Actuals!AQ500</f>
        <v>0</v>
      </c>
      <c r="AU39" s="134">
        <f>+Actuals!AR500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-70654</v>
      </c>
      <c r="E40" s="38">
        <f t="shared" si="15"/>
        <v>-137089.09</v>
      </c>
      <c r="F40" s="60">
        <f>'TIE-OUT'!N40+RECLASS!N40</f>
        <v>0</v>
      </c>
      <c r="G40" s="38">
        <f>'TIE-OUT'!O40+RECLASS!O40</f>
        <v>0</v>
      </c>
      <c r="H40" s="133">
        <f>+Actuals!E301</f>
        <v>0</v>
      </c>
      <c r="I40" s="134">
        <f>+Actuals!F301</f>
        <v>0</v>
      </c>
      <c r="J40" s="133">
        <f>+Actuals!G301</f>
        <v>-70654</v>
      </c>
      <c r="K40" s="134">
        <f>+Actuals!H301</f>
        <v>-137089.09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+Actuals!Y301</f>
        <v>0</v>
      </c>
      <c r="AC40" s="134">
        <f>+Actuals!Z301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  <c r="AL40" s="133">
        <f>+Actuals!AI501</f>
        <v>0</v>
      </c>
      <c r="AM40" s="134">
        <f>+Actuals!AJ501</f>
        <v>0</v>
      </c>
      <c r="AN40" s="133">
        <f>+Actuals!AK501</f>
        <v>0</v>
      </c>
      <c r="AO40" s="134">
        <f>+Actuals!AL501</f>
        <v>0</v>
      </c>
      <c r="AP40" s="133">
        <f>+Actuals!AM501</f>
        <v>0</v>
      </c>
      <c r="AQ40" s="134">
        <f>+Actuals!AN501</f>
        <v>0</v>
      </c>
      <c r="AR40" s="133">
        <f>+Actuals!AO501</f>
        <v>0</v>
      </c>
      <c r="AS40" s="134">
        <f>+Actuals!AP501</f>
        <v>0</v>
      </c>
      <c r="AT40" s="133">
        <f>+Actuals!AQ501</f>
        <v>0</v>
      </c>
      <c r="AU40" s="134">
        <f>+Actuals!AR501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+Actuals!Y302</f>
        <v>0</v>
      </c>
      <c r="AC41" s="134">
        <f>+Actuals!Z302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  <c r="AL41" s="133">
        <f>+Actuals!AI502</f>
        <v>0</v>
      </c>
      <c r="AM41" s="134">
        <f>+Actuals!AJ502</f>
        <v>0</v>
      </c>
      <c r="AN41" s="133">
        <f>+Actuals!AK502</f>
        <v>0</v>
      </c>
      <c r="AO41" s="134">
        <f>+Actuals!AL502</f>
        <v>0</v>
      </c>
      <c r="AP41" s="133">
        <f>+Actuals!AM502</f>
        <v>0</v>
      </c>
      <c r="AQ41" s="134">
        <f>+Actuals!AN502</f>
        <v>0</v>
      </c>
      <c r="AR41" s="133">
        <f>+Actuals!AO502</f>
        <v>0</v>
      </c>
      <c r="AS41" s="134">
        <f>+Actuals!AP502</f>
        <v>0</v>
      </c>
      <c r="AT41" s="133">
        <f>+Actuals!AQ502</f>
        <v>0</v>
      </c>
      <c r="AU41" s="134">
        <f>+Actuals!AR502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-70654</v>
      </c>
      <c r="E42" s="39">
        <f t="shared" si="16"/>
        <v>-137089.09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-70654</v>
      </c>
      <c r="K42" s="39">
        <f t="shared" si="16"/>
        <v>-137089.09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-70654</v>
      </c>
      <c r="E43" s="39">
        <f t="shared" si="19"/>
        <v>-137089.09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-70654</v>
      </c>
      <c r="K43" s="39">
        <f t="shared" si="19"/>
        <v>-137089.09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+Actuals!Y303</f>
        <v>0</v>
      </c>
      <c r="AC45" s="134">
        <f>+Actuals!Z303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  <c r="AL45" s="133">
        <f>+Actuals!AI503</f>
        <v>0</v>
      </c>
      <c r="AM45" s="134">
        <f>+Actuals!AJ503</f>
        <v>0</v>
      </c>
      <c r="AN45" s="133">
        <f>+Actuals!AK503</f>
        <v>0</v>
      </c>
      <c r="AO45" s="134">
        <f>+Actuals!AL503</f>
        <v>0</v>
      </c>
      <c r="AP45" s="133">
        <f>+Actuals!AM503</f>
        <v>0</v>
      </c>
      <c r="AQ45" s="134">
        <f>+Actuals!AN503</f>
        <v>0</v>
      </c>
      <c r="AR45" s="133">
        <f>+Actuals!AO503</f>
        <v>0</v>
      </c>
      <c r="AS45" s="134">
        <f>+Actuals!AP503</f>
        <v>0</v>
      </c>
      <c r="AT45" s="133">
        <f>+Actuals!AQ503</f>
        <v>0</v>
      </c>
      <c r="AU45" s="134">
        <f>+Actuals!AR503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205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+Actuals!Y304</f>
        <v>0</v>
      </c>
      <c r="AC47" s="134">
        <f>+Actuals!Z304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  <c r="AL47" s="133">
        <f>+Actuals!AI504</f>
        <v>0</v>
      </c>
      <c r="AM47" s="134">
        <f>+Actuals!AJ504</f>
        <v>0</v>
      </c>
      <c r="AN47" s="133">
        <f>+Actuals!AK504</f>
        <v>0</v>
      </c>
      <c r="AO47" s="134">
        <f>+Actuals!AL504</f>
        <v>0</v>
      </c>
      <c r="AP47" s="133">
        <f>+Actuals!AM504</f>
        <v>0</v>
      </c>
      <c r="AQ47" s="134">
        <f>+Actuals!AN504</f>
        <v>0</v>
      </c>
      <c r="AR47" s="133">
        <f>+Actuals!AO504</f>
        <v>0</v>
      </c>
      <c r="AS47" s="134">
        <f>+Actuals!AP504</f>
        <v>0</v>
      </c>
      <c r="AT47" s="133">
        <f>+Actuals!AQ504</f>
        <v>0</v>
      </c>
      <c r="AU47" s="134">
        <f>+Actuals!AR504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-6310</v>
      </c>
      <c r="E49" s="38">
        <f t="shared" si="22"/>
        <v>-10928.490000000631</v>
      </c>
      <c r="F49" s="60">
        <f>'TIE-OUT'!N49+RECLASS!N49</f>
        <v>0</v>
      </c>
      <c r="G49" s="38">
        <f>'TIE-OUT'!O49+RECLASS!O49</f>
        <v>0</v>
      </c>
      <c r="H49" s="133">
        <f>+Actuals!E305</f>
        <v>-2</v>
      </c>
      <c r="I49" s="134">
        <f>+Actuals!F305</f>
        <v>-3.3380000000000001</v>
      </c>
      <c r="J49" s="133">
        <f>+Actuals!G305</f>
        <v>-21397</v>
      </c>
      <c r="K49" s="134">
        <f>+Actuals!H305</f>
        <v>-35711.593000000343</v>
      </c>
      <c r="L49" s="133">
        <f>+Actuals!I305</f>
        <v>128125</v>
      </c>
      <c r="M49" s="134">
        <f>+Actuals!J305</f>
        <v>2777586.5249999999</v>
      </c>
      <c r="N49" s="133">
        <f>+Actuals!K305</f>
        <v>-39589</v>
      </c>
      <c r="O49" s="134">
        <f>+Actuals!L305</f>
        <v>-2630217.0410000002</v>
      </c>
      <c r="P49" s="133">
        <f>+Actuals!M305</f>
        <v>-5062</v>
      </c>
      <c r="Q49" s="134">
        <f>+Actuals!N305</f>
        <v>-8448.4779999999992</v>
      </c>
      <c r="R49" s="133">
        <f>+Actuals!O305</f>
        <v>2</v>
      </c>
      <c r="S49" s="134">
        <f>+Actuals!P305</f>
        <v>3.3380000000000001</v>
      </c>
      <c r="T49" s="133">
        <f>+Actuals!Q305</f>
        <v>-131247</v>
      </c>
      <c r="U49" s="134">
        <f>+Actuals!R305</f>
        <v>-219051.24299999999</v>
      </c>
      <c r="V49" s="133">
        <f>+Actuals!S305</f>
        <v>131247</v>
      </c>
      <c r="W49" s="134">
        <f>+Actuals!T305</f>
        <v>219051.24299999999</v>
      </c>
      <c r="X49" s="133">
        <f>+Actuals!U305</f>
        <v>0</v>
      </c>
      <c r="Y49" s="134">
        <f>+Actuals!V305</f>
        <v>0</v>
      </c>
      <c r="Z49" s="133">
        <f>+Actuals!W305</f>
        <v>0</v>
      </c>
      <c r="AA49" s="134">
        <f>+Actuals!X305</f>
        <v>0</v>
      </c>
      <c r="AB49" s="133">
        <f>+Actuals!Y305</f>
        <v>-68387</v>
      </c>
      <c r="AC49" s="134">
        <f>+Actuals!Z305</f>
        <v>-114137.90300000001</v>
      </c>
      <c r="AD49" s="133">
        <f>+Actuals!AA505</f>
        <v>68387</v>
      </c>
      <c r="AE49" s="134">
        <f>+Actuals!AB505</f>
        <v>114137.90300000001</v>
      </c>
      <c r="AF49" s="133">
        <f>+Actuals!AC505</f>
        <v>0</v>
      </c>
      <c r="AG49" s="134">
        <f>+Actuals!AD505</f>
        <v>0</v>
      </c>
      <c r="AH49" s="133">
        <f>+Actuals!AE505</f>
        <v>-68387</v>
      </c>
      <c r="AI49" s="134">
        <f>+Actuals!AF505</f>
        <v>-114137.90300000001</v>
      </c>
      <c r="AJ49" s="133">
        <f>+Actuals!AG505</f>
        <v>0</v>
      </c>
      <c r="AK49" s="134">
        <f>+Actuals!AH505</f>
        <v>0</v>
      </c>
      <c r="AL49" s="133">
        <f>+Actuals!AI505</f>
        <v>0</v>
      </c>
      <c r="AM49" s="134">
        <f>+Actuals!AJ505</f>
        <v>0</v>
      </c>
      <c r="AN49" s="133">
        <f>+Actuals!AK505</f>
        <v>0</v>
      </c>
      <c r="AO49" s="134">
        <f>+Actuals!AL505</f>
        <v>0</v>
      </c>
      <c r="AP49" s="133">
        <f>+Actuals!AM505</f>
        <v>0</v>
      </c>
      <c r="AQ49" s="134">
        <f>+Actuals!AN505</f>
        <v>0</v>
      </c>
      <c r="AR49" s="133">
        <f>+Actuals!AO505</f>
        <v>0</v>
      </c>
      <c r="AS49" s="134">
        <f>+Actuals!AP505</f>
        <v>0</v>
      </c>
      <c r="AT49" s="133">
        <f>+Actuals!AQ505</f>
        <v>0</v>
      </c>
      <c r="AU49" s="134">
        <f>+Actuals!AR505</f>
        <v>0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-279227</v>
      </c>
      <c r="E51" s="38">
        <f t="shared" si="22"/>
        <v>-466029.86100000003</v>
      </c>
      <c r="F51" s="60">
        <f>'TIE-OUT'!N51+RECLASS!N51</f>
        <v>0</v>
      </c>
      <c r="G51" s="38">
        <f>'TIE-OUT'!O51+RECLASS!O51</f>
        <v>0</v>
      </c>
      <c r="H51" s="133">
        <f>+Actuals!E306</f>
        <v>-274328</v>
      </c>
      <c r="I51" s="134">
        <f>+Actuals!F306</f>
        <v>-457853.43</v>
      </c>
      <c r="J51" s="133">
        <f>+Actuals!G306</f>
        <v>-4936</v>
      </c>
      <c r="K51" s="134">
        <f>+Actuals!H306</f>
        <v>-8238.1839999999993</v>
      </c>
      <c r="L51" s="133">
        <f>+Actuals!I306</f>
        <v>97</v>
      </c>
      <c r="M51" s="134">
        <f>+Actuals!J306</f>
        <v>161.893</v>
      </c>
      <c r="N51" s="133">
        <f>+Actuals!K306</f>
        <v>0</v>
      </c>
      <c r="O51" s="134">
        <f>+Actuals!L306</f>
        <v>0</v>
      </c>
      <c r="P51" s="133">
        <f>+Actuals!M306</f>
        <v>-63</v>
      </c>
      <c r="Q51" s="134">
        <f>+Actuals!N306</f>
        <v>-105.14700000000001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3</v>
      </c>
      <c r="W51" s="134">
        <f>+Actuals!T306</f>
        <v>5.0069999999999997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+Actuals!Y306</f>
        <v>0</v>
      </c>
      <c r="AC51" s="134">
        <f>+Actuals!Z306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  <c r="AL51" s="133">
        <f>+Actuals!AI506</f>
        <v>0</v>
      </c>
      <c r="AM51" s="134">
        <f>+Actuals!AJ506</f>
        <v>0</v>
      </c>
      <c r="AN51" s="133">
        <f>+Actuals!AK506</f>
        <v>0</v>
      </c>
      <c r="AO51" s="134">
        <f>+Actuals!AL506</f>
        <v>0</v>
      </c>
      <c r="AP51" s="133">
        <f>+Actuals!AM506</f>
        <v>0</v>
      </c>
      <c r="AQ51" s="134">
        <f>+Actuals!AN506</f>
        <v>0</v>
      </c>
      <c r="AR51" s="133">
        <f>+Actuals!AO506</f>
        <v>0</v>
      </c>
      <c r="AS51" s="134">
        <f>+Actuals!AP506</f>
        <v>0</v>
      </c>
      <c r="AT51" s="133">
        <f>+Actuals!AQ506</f>
        <v>0</v>
      </c>
      <c r="AU51" s="134">
        <f>+Actuals!AR506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-11308571</v>
      </c>
      <c r="E54" s="38">
        <f>SUM(G54,I54,K54,M54,O54,Q54,S54,U54,W54,Y54,AA54,AC54,AE54,AG54,AI54,AK54,AM54,AO54,AQ54,AS54,AU54)</f>
        <v>-108795.13</v>
      </c>
      <c r="F54" s="64">
        <f>'TIE-OUT'!N54+RECLASS!N54</f>
        <v>0</v>
      </c>
      <c r="G54" s="68">
        <f>'TIE-OUT'!O54+RECLASS!O54</f>
        <v>0</v>
      </c>
      <c r="H54" s="133">
        <f>+Actuals!E307</f>
        <v>-9921222</v>
      </c>
      <c r="I54" s="134">
        <f>+Actuals!F307</f>
        <v>-48881.85</v>
      </c>
      <c r="J54" s="133">
        <f>+Actuals!G307</f>
        <v>-1387349</v>
      </c>
      <c r="K54" s="134">
        <f>+Actuals!H307</f>
        <v>-61367.18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219051</v>
      </c>
      <c r="X54" s="133">
        <f>+Actuals!U307</f>
        <v>0</v>
      </c>
      <c r="Y54" s="134">
        <f>+Actuals!V307</f>
        <v>-219051</v>
      </c>
      <c r="Z54" s="133">
        <f>+Actuals!W307</f>
        <v>0</v>
      </c>
      <c r="AA54" s="134">
        <f>+Actuals!X307</f>
        <v>0</v>
      </c>
      <c r="AB54" s="133">
        <f>+Actuals!Y307</f>
        <v>0</v>
      </c>
      <c r="AC54" s="134">
        <f>+Actuals!Z307</f>
        <v>0</v>
      </c>
      <c r="AD54" s="133">
        <f>+Actuals!AA507</f>
        <v>0</v>
      </c>
      <c r="AE54" s="134">
        <f>+Actuals!AB507</f>
        <v>0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  <c r="AJ54" s="133">
        <f>+Actuals!AG507</f>
        <v>0</v>
      </c>
      <c r="AK54" s="134">
        <f>+Actuals!AH507</f>
        <v>0</v>
      </c>
      <c r="AL54" s="133">
        <f>+Actuals!AI507</f>
        <v>0</v>
      </c>
      <c r="AM54" s="134">
        <f>+Actuals!AJ507</f>
        <v>1453.9</v>
      </c>
      <c r="AN54" s="133">
        <f>+Actuals!AK507</f>
        <v>0</v>
      </c>
      <c r="AO54" s="134">
        <f>+Actuals!AL507</f>
        <v>0</v>
      </c>
      <c r="AP54" s="133">
        <f>+Actuals!AM507</f>
        <v>0</v>
      </c>
      <c r="AQ54" s="134">
        <f>+Actuals!AN507</f>
        <v>0</v>
      </c>
      <c r="AR54" s="133">
        <f>+Actuals!AO507</f>
        <v>0</v>
      </c>
      <c r="AS54" s="134">
        <f>+Actuals!AP507</f>
        <v>0</v>
      </c>
      <c r="AT54" s="133">
        <f>+Actuals!AQ507</f>
        <v>0</v>
      </c>
      <c r="AU54" s="134">
        <f>+Actuals!AR507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-1124</v>
      </c>
      <c r="E55" s="38">
        <f>SUM(G55,I55,K55,M55,O55,Q55,S55,U55,W55,Y55,AA55,AC55,AE55,AG55,AI55,AK55,AM55,AO55,AQ55,AS55,AU55)</f>
        <v>-1947789.1199999994</v>
      </c>
      <c r="F55" s="81">
        <f>'TIE-OUT'!N55+RECLASS!N55</f>
        <v>0</v>
      </c>
      <c r="G55" s="82">
        <f>'TIE-OUT'!O55+RECLASS!O55</f>
        <v>758928</v>
      </c>
      <c r="H55" s="133">
        <f>+Actuals!E308</f>
        <v>0</v>
      </c>
      <c r="I55" s="134">
        <f>+Actuals!F308</f>
        <v>-2761022.01</v>
      </c>
      <c r="J55" s="133">
        <f>+Actuals!G308</f>
        <v>0</v>
      </c>
      <c r="K55" s="134">
        <f>+Actuals!H308</f>
        <v>61977.87</v>
      </c>
      <c r="L55" s="133">
        <f>+Actuals!I308</f>
        <v>0</v>
      </c>
      <c r="M55" s="134">
        <f>+Actuals!J308</f>
        <v>-350.63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+Actuals!Y308</f>
        <v>0</v>
      </c>
      <c r="AC55" s="134">
        <f>+Actuals!Z308</f>
        <v>0</v>
      </c>
      <c r="AD55" s="133">
        <f>+Actuals!AA508</f>
        <v>0</v>
      </c>
      <c r="AE55" s="134">
        <f>+Actuals!AB508</f>
        <v>0</v>
      </c>
      <c r="AF55" s="133">
        <f>+Actuals!AC508</f>
        <v>-1124</v>
      </c>
      <c r="AG55" s="134">
        <f>+Actuals!AD508</f>
        <v>-5868.45</v>
      </c>
      <c r="AH55" s="133">
        <f>+Actuals!AE508</f>
        <v>0</v>
      </c>
      <c r="AI55" s="134">
        <f>+Actuals!AF508</f>
        <v>0</v>
      </c>
      <c r="AJ55" s="133">
        <f>+Actuals!AG508</f>
        <v>0</v>
      </c>
      <c r="AK55" s="134">
        <f>+Actuals!AH508</f>
        <v>0</v>
      </c>
      <c r="AL55" s="133">
        <f>+Actuals!AI508</f>
        <v>0</v>
      </c>
      <c r="AM55" s="134">
        <f>+Actuals!AJ508</f>
        <v>-1453.9</v>
      </c>
      <c r="AN55" s="133">
        <f>+Actuals!AK508</f>
        <v>0</v>
      </c>
      <c r="AO55" s="134">
        <f>+Actuals!AL508</f>
        <v>0</v>
      </c>
      <c r="AP55" s="133">
        <f>+Actuals!AM508</f>
        <v>0</v>
      </c>
      <c r="AQ55" s="134">
        <f>+Actuals!AN508</f>
        <v>0</v>
      </c>
      <c r="AR55" s="133">
        <f>+Actuals!AO508</f>
        <v>0</v>
      </c>
      <c r="AS55" s="134">
        <f>+Actuals!AP508</f>
        <v>0</v>
      </c>
      <c r="AT55" s="133">
        <f>+Actuals!AQ508</f>
        <v>0</v>
      </c>
      <c r="AU55" s="134">
        <f>+Actuals!AR508</f>
        <v>0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-11309695</v>
      </c>
      <c r="E56" s="39">
        <f t="shared" si="23"/>
        <v>-2056584.2499999995</v>
      </c>
      <c r="F56" s="61">
        <f t="shared" si="23"/>
        <v>0</v>
      </c>
      <c r="G56" s="39">
        <f t="shared" si="23"/>
        <v>758928</v>
      </c>
      <c r="H56" s="61">
        <f t="shared" si="23"/>
        <v>-9921222</v>
      </c>
      <c r="I56" s="39">
        <f t="shared" si="23"/>
        <v>-2809903.86</v>
      </c>
      <c r="J56" s="61">
        <f t="shared" si="23"/>
        <v>-1387349</v>
      </c>
      <c r="K56" s="39">
        <f t="shared" si="23"/>
        <v>610.69000000000233</v>
      </c>
      <c r="L56" s="61">
        <f t="shared" si="23"/>
        <v>0</v>
      </c>
      <c r="M56" s="39">
        <f t="shared" si="23"/>
        <v>-350.63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219051</v>
      </c>
      <c r="X56" s="61">
        <f t="shared" si="23"/>
        <v>0</v>
      </c>
      <c r="Y56" s="39">
        <f t="shared" si="23"/>
        <v>-219051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-1124</v>
      </c>
      <c r="AG56" s="39">
        <f t="shared" si="24"/>
        <v>-5868.45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+Actuals!Y309</f>
        <v>0</v>
      </c>
      <c r="AC59" s="134">
        <f>+Actuals!Z309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  <c r="AL59" s="133">
        <f>+Actuals!AI509</f>
        <v>0</v>
      </c>
      <c r="AM59" s="134">
        <f>+Actuals!AJ509</f>
        <v>0</v>
      </c>
      <c r="AN59" s="133">
        <f>+Actuals!AK509</f>
        <v>0</v>
      </c>
      <c r="AO59" s="134">
        <f>+Actuals!AL509</f>
        <v>0</v>
      </c>
      <c r="AP59" s="133">
        <f>+Actuals!AM509</f>
        <v>0</v>
      </c>
      <c r="AQ59" s="134">
        <f>+Actuals!AN509</f>
        <v>0</v>
      </c>
      <c r="AR59" s="133">
        <f>+Actuals!AO509</f>
        <v>0</v>
      </c>
      <c r="AS59" s="134">
        <f>+Actuals!AP509</f>
        <v>0</v>
      </c>
      <c r="AT59" s="133">
        <f>+Actuals!AQ509</f>
        <v>0</v>
      </c>
      <c r="AU59" s="134">
        <f>+Actuals!AR509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+Actuals!Y310</f>
        <v>0</v>
      </c>
      <c r="AC60" s="134">
        <f>+Actuals!Z310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  <c r="AL60" s="133">
        <f>+Actuals!AI510</f>
        <v>0</v>
      </c>
      <c r="AM60" s="134">
        <f>+Actuals!AJ510</f>
        <v>0</v>
      </c>
      <c r="AN60" s="133">
        <f>+Actuals!AK510</f>
        <v>0</v>
      </c>
      <c r="AO60" s="134">
        <f>+Actuals!AL510</f>
        <v>0</v>
      </c>
      <c r="AP60" s="133">
        <f>+Actuals!AM510</f>
        <v>0</v>
      </c>
      <c r="AQ60" s="134">
        <f>+Actuals!AN510</f>
        <v>0</v>
      </c>
      <c r="AR60" s="133">
        <f>+Actuals!AO510</f>
        <v>0</v>
      </c>
      <c r="AS60" s="134">
        <f>+Actuals!AP510</f>
        <v>0</v>
      </c>
      <c r="AT60" s="133">
        <f>+Actuals!AQ510</f>
        <v>0</v>
      </c>
      <c r="AU60" s="134">
        <f>+Actuals!AR510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+Actuals!Y311</f>
        <v>0</v>
      </c>
      <c r="AC64" s="134">
        <f>+Actuals!Z311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  <c r="AL64" s="133">
        <f>+Actuals!AI511</f>
        <v>0</v>
      </c>
      <c r="AM64" s="134">
        <f>+Actuals!AJ511</f>
        <v>0</v>
      </c>
      <c r="AN64" s="133">
        <f>+Actuals!AK511</f>
        <v>0</v>
      </c>
      <c r="AO64" s="134">
        <f>+Actuals!AL511</f>
        <v>0</v>
      </c>
      <c r="AP64" s="133">
        <f>+Actuals!AM511</f>
        <v>0</v>
      </c>
      <c r="AQ64" s="134">
        <f>+Actuals!AN511</f>
        <v>0</v>
      </c>
      <c r="AR64" s="133">
        <f>+Actuals!AO511</f>
        <v>0</v>
      </c>
      <c r="AS64" s="134">
        <f>+Actuals!AP511</f>
        <v>0</v>
      </c>
      <c r="AT64" s="133">
        <f>+Actuals!AQ511</f>
        <v>0</v>
      </c>
      <c r="AU64" s="134">
        <f>+Actuals!AR511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+Actuals!Y312</f>
        <v>0</v>
      </c>
      <c r="AC65" s="134">
        <f>+Actuals!Z312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  <c r="AL65" s="133">
        <f>+Actuals!AI512</f>
        <v>0</v>
      </c>
      <c r="AM65" s="134">
        <f>+Actuals!AJ512</f>
        <v>0</v>
      </c>
      <c r="AN65" s="133">
        <f>+Actuals!AK512</f>
        <v>0</v>
      </c>
      <c r="AO65" s="134">
        <f>+Actuals!AL512</f>
        <v>0</v>
      </c>
      <c r="AP65" s="133">
        <f>+Actuals!AM512</f>
        <v>0</v>
      </c>
      <c r="AQ65" s="134">
        <f>+Actuals!AN512</f>
        <v>0</v>
      </c>
      <c r="AR65" s="133">
        <f>+Actuals!AO512</f>
        <v>0</v>
      </c>
      <c r="AS65" s="134">
        <f>+Actuals!AP512</f>
        <v>0</v>
      </c>
      <c r="AT65" s="133">
        <f>+Actuals!AQ512</f>
        <v>0</v>
      </c>
      <c r="AU65" s="134">
        <f>+Actuals!AR512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-890515</v>
      </c>
      <c r="F70" s="64">
        <f>'TIE-OUT'!N70+RECLASS!N70</f>
        <v>0</v>
      </c>
      <c r="G70" s="68">
        <f>'TIE-OUT'!O70+RECLASS!O70</f>
        <v>594969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34">
        <f>+Actuals!J313</f>
        <v>0</v>
      </c>
      <c r="N70" s="133">
        <f>+Actuals!K313</f>
        <v>0</v>
      </c>
      <c r="O70" s="134">
        <v>-1485484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+Actuals!Y313</f>
        <v>0</v>
      </c>
      <c r="AC70" s="134">
        <f>+Actuals!Z313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  <c r="AL70" s="133">
        <f>+Actuals!AI513</f>
        <v>0</v>
      </c>
      <c r="AM70" s="134">
        <f>+Actuals!AJ513</f>
        <v>0</v>
      </c>
      <c r="AN70" s="133">
        <f>+Actuals!AK513</f>
        <v>0</v>
      </c>
      <c r="AO70" s="134">
        <f>+Actuals!AL513</f>
        <v>0</v>
      </c>
      <c r="AP70" s="133">
        <f>+Actuals!AM513</f>
        <v>0</v>
      </c>
      <c r="AQ70" s="134">
        <f>+Actuals!AN513</f>
        <v>0</v>
      </c>
      <c r="AR70" s="133">
        <f>+Actuals!AO513</f>
        <v>0</v>
      </c>
      <c r="AS70" s="134">
        <f>+Actuals!AP513</f>
        <v>0</v>
      </c>
      <c r="AT70" s="133">
        <f>+Actuals!AQ513</f>
        <v>0</v>
      </c>
      <c r="AU70" s="134">
        <f>+Actuals!AR513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+Actuals!Y314</f>
        <v>0</v>
      </c>
      <c r="AC71" s="134">
        <f>+Actuals!Z314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  <c r="AL71" s="133">
        <f>+Actuals!AI514</f>
        <v>0</v>
      </c>
      <c r="AM71" s="134">
        <f>+Actuals!AJ514</f>
        <v>0</v>
      </c>
      <c r="AN71" s="133">
        <f>+Actuals!AK514</f>
        <v>0</v>
      </c>
      <c r="AO71" s="134">
        <f>+Actuals!AL514</f>
        <v>0</v>
      </c>
      <c r="AP71" s="133">
        <f>+Actuals!AM514</f>
        <v>0</v>
      </c>
      <c r="AQ71" s="134">
        <f>+Actuals!AN514</f>
        <v>0</v>
      </c>
      <c r="AR71" s="133">
        <f>+Actuals!AO514</f>
        <v>0</v>
      </c>
      <c r="AS71" s="134">
        <f>+Actuals!AP514</f>
        <v>0</v>
      </c>
      <c r="AT71" s="133">
        <f>+Actuals!AQ514</f>
        <v>0</v>
      </c>
      <c r="AU71" s="134">
        <f>+Actuals!AR514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-890515</v>
      </c>
      <c r="F72" s="61">
        <f t="shared" si="32"/>
        <v>0</v>
      </c>
      <c r="G72" s="39">
        <f t="shared" si="32"/>
        <v>594969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-1485484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+Actuals!Y315</f>
        <v>0</v>
      </c>
      <c r="AC73" s="134">
        <f>+Actuals!Z315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  <c r="AL73" s="133">
        <f>+Actuals!AI515</f>
        <v>0</v>
      </c>
      <c r="AM73" s="134">
        <f>+Actuals!AJ515</f>
        <v>0</v>
      </c>
      <c r="AN73" s="133">
        <f>+Actuals!AK515</f>
        <v>0</v>
      </c>
      <c r="AO73" s="134">
        <f>+Actuals!AL515</f>
        <v>0</v>
      </c>
      <c r="AP73" s="133">
        <f>+Actuals!AM515</f>
        <v>0</v>
      </c>
      <c r="AQ73" s="134">
        <f>+Actuals!AN515</f>
        <v>0</v>
      </c>
      <c r="AR73" s="133">
        <f>+Actuals!AO515</f>
        <v>0</v>
      </c>
      <c r="AS73" s="134">
        <f>+Actuals!AP515</f>
        <v>0</v>
      </c>
      <c r="AT73" s="133">
        <f>+Actuals!AQ515</f>
        <v>0</v>
      </c>
      <c r="AU73" s="134">
        <f>+Actuals!AR515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512708.24</v>
      </c>
      <c r="F74" s="60">
        <f>'TIE-OUT'!N74+RECLASS!N74</f>
        <v>0</v>
      </c>
      <c r="G74" s="60">
        <f>'TIE-OUT'!O74+RECLASS!O74</f>
        <v>534292.23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+Actuals!H316-21583.99</f>
        <v>-21583.99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+Actuals!Y316</f>
        <v>0</v>
      </c>
      <c r="AC74" s="134">
        <f>+Actuals!Z316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  <c r="AL74" s="133">
        <f>+Actuals!AI516</f>
        <v>0</v>
      </c>
      <c r="AM74" s="134">
        <f>+Actuals!AJ516</f>
        <v>0</v>
      </c>
      <c r="AN74" s="133">
        <f>+Actuals!AK516</f>
        <v>0</v>
      </c>
      <c r="AO74" s="134">
        <f>+Actuals!AL516</f>
        <v>0</v>
      </c>
      <c r="AP74" s="133">
        <f>+Actuals!AM516</f>
        <v>0</v>
      </c>
      <c r="AQ74" s="134">
        <f>+Actuals!AN516</f>
        <v>0</v>
      </c>
      <c r="AR74" s="133">
        <f>+Actuals!AO516</f>
        <v>0</v>
      </c>
      <c r="AS74" s="134">
        <f>+Actuals!AP516</f>
        <v>0</v>
      </c>
      <c r="AT74" s="133">
        <f>+Actuals!AQ516</f>
        <v>0</v>
      </c>
      <c r="AU74" s="134">
        <f>+Actuals!AR516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45400</v>
      </c>
      <c r="F75" s="60">
        <f>'TIE-OUT'!N75+RECLASS!N75</f>
        <v>0</v>
      </c>
      <c r="G75" s="60">
        <f>'TIE-OUT'!O75+RECLASS!O75</f>
        <v>45400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+Actuals!Y317</f>
        <v>0</v>
      </c>
      <c r="AC75" s="134">
        <f>+Actuals!Z317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  <c r="AL75" s="133">
        <f>+Actuals!AI517</f>
        <v>0</v>
      </c>
      <c r="AM75" s="134">
        <f>+Actuals!AJ517</f>
        <v>0</v>
      </c>
      <c r="AN75" s="133">
        <f>+Actuals!AK517</f>
        <v>0</v>
      </c>
      <c r="AO75" s="134">
        <f>+Actuals!AL517</f>
        <v>0</v>
      </c>
      <c r="AP75" s="133">
        <f>+Actuals!AM517</f>
        <v>0</v>
      </c>
      <c r="AQ75" s="134">
        <f>+Actuals!AN517</f>
        <v>0</v>
      </c>
      <c r="AR75" s="133">
        <f>+Actuals!AO517</f>
        <v>0</v>
      </c>
      <c r="AS75" s="134">
        <f>+Actuals!AP517</f>
        <v>0</v>
      </c>
      <c r="AT75" s="133">
        <f>+Actuals!AQ517</f>
        <v>0</v>
      </c>
      <c r="AU75" s="134">
        <f>+Actuals!AR517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0</v>
      </c>
      <c r="J76" s="133">
        <f>+Actuals!G318</f>
        <v>0</v>
      </c>
      <c r="K76" s="134">
        <f>+Actuals!H318</f>
        <v>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+Actuals!Y318</f>
        <v>0</v>
      </c>
      <c r="AC76" s="134">
        <f>+Actuals!Z318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  <c r="AL76" s="133">
        <f>+Actuals!AI518</f>
        <v>0</v>
      </c>
      <c r="AM76" s="134">
        <f>+Actuals!AJ518</f>
        <v>0</v>
      </c>
      <c r="AN76" s="133">
        <f>+Actuals!AK518</f>
        <v>0</v>
      </c>
      <c r="AO76" s="134">
        <f>+Actuals!AL518</f>
        <v>0</v>
      </c>
      <c r="AP76" s="133">
        <f>+Actuals!AM518</f>
        <v>0</v>
      </c>
      <c r="AQ76" s="134">
        <f>+Actuals!AN518</f>
        <v>0</v>
      </c>
      <c r="AR76" s="133">
        <f>+Actuals!AO518</f>
        <v>0</v>
      </c>
      <c r="AS76" s="134">
        <f>+Actuals!AP518</f>
        <v>0</v>
      </c>
      <c r="AT76" s="133">
        <f>+Actuals!AQ518</f>
        <v>0</v>
      </c>
      <c r="AU76" s="134">
        <f>+Actuals!AR518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+Actuals!Y319</f>
        <v>0</v>
      </c>
      <c r="AC77" s="134">
        <f>+Actuals!Z319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  <c r="AL77" s="133">
        <f>+Actuals!AI519</f>
        <v>0</v>
      </c>
      <c r="AM77" s="134">
        <f>+Actuals!AJ519</f>
        <v>0</v>
      </c>
      <c r="AN77" s="133">
        <f>+Actuals!AK519</f>
        <v>0</v>
      </c>
      <c r="AO77" s="134">
        <f>+Actuals!AL519</f>
        <v>0</v>
      </c>
      <c r="AP77" s="133">
        <f>+Actuals!AM519</f>
        <v>0</v>
      </c>
      <c r="AQ77" s="134">
        <f>+Actuals!AN519</f>
        <v>0</v>
      </c>
      <c r="AR77" s="133">
        <f>+Actuals!AO519</f>
        <v>0</v>
      </c>
      <c r="AS77" s="134">
        <f>+Actuals!AP519</f>
        <v>0</v>
      </c>
      <c r="AT77" s="133">
        <f>+Actuals!AQ519</f>
        <v>0</v>
      </c>
      <c r="AU77" s="134">
        <f>+Actuals!AR519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+Actuals!Y320</f>
        <v>0</v>
      </c>
      <c r="AC78" s="134">
        <f>+Actuals!Z320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  <c r="AL78" s="133">
        <f>+Actuals!AI520</f>
        <v>0</v>
      </c>
      <c r="AM78" s="134">
        <f>+Actuals!AJ520</f>
        <v>0</v>
      </c>
      <c r="AN78" s="133">
        <f>+Actuals!AK520</f>
        <v>0</v>
      </c>
      <c r="AO78" s="134">
        <f>+Actuals!AL520</f>
        <v>0</v>
      </c>
      <c r="AP78" s="133">
        <f>+Actuals!AM520</f>
        <v>0</v>
      </c>
      <c r="AQ78" s="134">
        <f>+Actuals!AN520</f>
        <v>0</v>
      </c>
      <c r="AR78" s="133">
        <f>+Actuals!AO520</f>
        <v>0</v>
      </c>
      <c r="AS78" s="134">
        <f>+Actuals!AP520</f>
        <v>0</v>
      </c>
      <c r="AT78" s="133">
        <f>+Actuals!AQ520</f>
        <v>0</v>
      </c>
      <c r="AU78" s="134">
        <f>+Actuals!AR520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+Actuals!Y321</f>
        <v>0</v>
      </c>
      <c r="AC79" s="134">
        <f>+Actuals!Z321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  <c r="AL79" s="133">
        <f>+Actuals!AI521</f>
        <v>0</v>
      </c>
      <c r="AM79" s="134">
        <f>+Actuals!AJ521</f>
        <v>0</v>
      </c>
      <c r="AN79" s="133">
        <f>+Actuals!AK521</f>
        <v>0</v>
      </c>
      <c r="AO79" s="134">
        <f>+Actuals!AL521</f>
        <v>0</v>
      </c>
      <c r="AP79" s="133">
        <f>+Actuals!AM521</f>
        <v>0</v>
      </c>
      <c r="AQ79" s="134">
        <f>+Actuals!AN521</f>
        <v>0</v>
      </c>
      <c r="AR79" s="133">
        <f>+Actuals!AO521</f>
        <v>0</v>
      </c>
      <c r="AS79" s="134">
        <f>+Actuals!AP521</f>
        <v>0</v>
      </c>
      <c r="AT79" s="133">
        <f>+Actuals!AQ521</f>
        <v>0</v>
      </c>
      <c r="AU79" s="134">
        <f>+Actuals!AR521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+Actuals!Y322</f>
        <v>0</v>
      </c>
      <c r="AC80" s="134">
        <f>+Actuals!Z322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  <c r="AL80" s="133">
        <f>+Actuals!AI522</f>
        <v>0</v>
      </c>
      <c r="AM80" s="134">
        <f>+Actuals!AJ522</f>
        <v>0</v>
      </c>
      <c r="AN80" s="133">
        <f>+Actuals!AK522</f>
        <v>0</v>
      </c>
      <c r="AO80" s="134">
        <f>+Actuals!AL522</f>
        <v>0</v>
      </c>
      <c r="AP80" s="133">
        <f>+Actuals!AM522</f>
        <v>0</v>
      </c>
      <c r="AQ80" s="134">
        <f>+Actuals!AN522</f>
        <v>0</v>
      </c>
      <c r="AR80" s="133">
        <f>+Actuals!AO522</f>
        <v>0</v>
      </c>
      <c r="AS80" s="134">
        <f>+Actuals!AP522</f>
        <v>0</v>
      </c>
      <c r="AT80" s="133">
        <f>+Actuals!AQ522</f>
        <v>0</v>
      </c>
      <c r="AU80" s="134">
        <f>+Actuals!AR522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52139.86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56149.86</v>
      </c>
      <c r="J81" s="133">
        <f>+Actuals!G323</f>
        <v>0</v>
      </c>
      <c r="K81" s="134">
        <f>+Actuals!H323</f>
        <v>-4010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+Actuals!Y323</f>
        <v>0</v>
      </c>
      <c r="AC81" s="134">
        <f>+Actuals!Z323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  <c r="AL81" s="133">
        <f>+Actuals!AI523</f>
        <v>0</v>
      </c>
      <c r="AM81" s="134">
        <f>+Actuals!AJ523</f>
        <v>0</v>
      </c>
      <c r="AN81" s="133">
        <f>+Actuals!AK523</f>
        <v>0</v>
      </c>
      <c r="AO81" s="134">
        <f>+Actuals!AL523</f>
        <v>0</v>
      </c>
      <c r="AP81" s="133">
        <f>+Actuals!AM523</f>
        <v>0</v>
      </c>
      <c r="AQ81" s="134">
        <f>+Actuals!AN523</f>
        <v>0</v>
      </c>
      <c r="AR81" s="133">
        <f>+Actuals!AO523</f>
        <v>0</v>
      </c>
      <c r="AS81" s="134">
        <f>+Actuals!AP523</f>
        <v>0</v>
      </c>
      <c r="AT81" s="133">
        <f>+Actuals!AQ523</f>
        <v>0</v>
      </c>
      <c r="AU81" s="134">
        <f>+Actuals!AR523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-270168.81600002619</v>
      </c>
      <c r="F82" s="92">
        <f>F16+F24+F29+F36+F43+F45+F47+F49</f>
        <v>0</v>
      </c>
      <c r="G82" s="93">
        <f>SUM(G72:G81)+G16+G24+G29+G36+G43+G45+G47+G49+G51+G56+G61+G66</f>
        <v>1017534.4700000001</v>
      </c>
      <c r="H82" s="92">
        <f>H16+H24+H29+H36+H43+H45+H47+H49</f>
        <v>0</v>
      </c>
      <c r="I82" s="93">
        <f>SUM(I72:I81)+I16+I24+I29+I36+I43+I45+I47+I49+I51+I56+I61+I66</f>
        <v>-85568.508000001777</v>
      </c>
      <c r="J82" s="92">
        <f>J16+J24+J29+J36+J43+J45+J47+J49</f>
        <v>0</v>
      </c>
      <c r="K82" s="166">
        <f>SUM(K72:K81)+K16+K24+K29+K36+K43+K45+K47+K49+K51+K56+K61+K66</f>
        <v>336919.47699999955</v>
      </c>
      <c r="L82" s="92">
        <f>L16+L24+L29+L36+L43+L45+L47+L49</f>
        <v>0</v>
      </c>
      <c r="M82" s="181">
        <f>SUM(M72:M81)+M16+M24+M29+M36+M43+M45+M47+M49+M51+M56+M61+M66</f>
        <v>2584532.997</v>
      </c>
      <c r="N82" s="92">
        <f>N16+N24+N29+N36+N43+N45+N47+N49</f>
        <v>0</v>
      </c>
      <c r="O82" s="93">
        <f>SUM(O72:O81)+O16+O24+O29+O36+O43+O45+O47+O49+O51+O56+O61+O66</f>
        <v>-4095112.2130000005</v>
      </c>
      <c r="P82" s="92">
        <f>P16+P24+P29+P36+P43+P45+P47+P49</f>
        <v>0</v>
      </c>
      <c r="Q82" s="93">
        <f>SUM(Q72:Q81)+Q16+Q24+Q29+Q36+Q43+Q45+Q47+Q49+Q51+Q56+Q61+Q66</f>
        <v>174.86200000000002</v>
      </c>
      <c r="R82" s="92">
        <f>R16+R24+R29+R36+R43+R45+R47+R49</f>
        <v>0</v>
      </c>
      <c r="S82" s="93">
        <f>SUM(S72:S81)+S16+S24+S29+S36+S43+S45+S47+S49+S51+S56+S61+S66</f>
        <v>-581.35</v>
      </c>
      <c r="T82" s="92">
        <f>T16+T24+T29+T36+T43+T45+T47+T49</f>
        <v>0</v>
      </c>
      <c r="U82" s="93">
        <f>SUM(U72:U81)+U16+U24+U29+U36+U43+U45+U47+U49+U51+U56+U61+U66</f>
        <v>-1214485.1229999999</v>
      </c>
      <c r="V82" s="92">
        <f>V16+V24+V29+V36+V43+V45+V47+V49</f>
        <v>0</v>
      </c>
      <c r="W82" s="93">
        <f>SUM(W72:W81)+W16+W24+W29+W36+W43+W45+W47+W49+W51+W56+W61+W66</f>
        <v>1113397.673</v>
      </c>
      <c r="X82" s="92">
        <f>X16+X24+X29+X36+X43+X45+X47+X49</f>
        <v>0</v>
      </c>
      <c r="Y82" s="93">
        <f>SUM(Y72:Y81)+Y16+Y24+Y29+Y36+Y43+Y45+Y47+Y49+Y51+Y56+Y61+Y66</f>
        <v>75765.251999999979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3122.0969999999943</v>
      </c>
      <c r="AD82" s="92">
        <f>AD16+AD24+AD29+AD36+AD43+AD45+AD47+AD49</f>
        <v>0</v>
      </c>
      <c r="AE82" s="93">
        <f>SUM(AE72:AE81)+AE16+AE24+AE29+AE36+AE43+AE45+AE47+AE49+AE51+AE56+AE61+AE66</f>
        <v>-3122.0969999999943</v>
      </c>
      <c r="AF82" s="92">
        <f>AF16+AF24+AF29+AF36+AF43+AF45+AF47+AF49</f>
        <v>0</v>
      </c>
      <c r="AG82" s="93">
        <f>SUM(AG72:AG81)+AG16+AG24+AG29+AG36+AG43+AG45+AG47+AG49+AG51+AG56+AG61+AG66</f>
        <v>-5868.45</v>
      </c>
      <c r="AH82" s="92">
        <f>AH16+AH24+AH29+AH36+AH43+AH45+AH47+AH49</f>
        <v>0</v>
      </c>
      <c r="AI82" s="93">
        <f>SUM(AI72:AI81)+AI16+AI24+AI29+AI36+AI43+AI45+AI47+AI49+AI51+AI56+AI61+AI66</f>
        <v>3122.0969999999943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U187"/>
  <sheetViews>
    <sheetView zoomScale="75" workbookViewId="0">
      <pane xSplit="3" ySplit="9" topLeftCell="AJ6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6006394</v>
      </c>
      <c r="E11" s="38">
        <f t="shared" si="0"/>
        <v>7404226.8800000008</v>
      </c>
      <c r="F11" s="60">
        <f>'TIE-OUT'!X11+RECLASS!X11</f>
        <v>0</v>
      </c>
      <c r="G11" s="38">
        <f>'TIE-OUT'!Y11+RECLASS!Y11</f>
        <v>0</v>
      </c>
      <c r="H11" s="136">
        <f>+Actuals!E84</f>
        <v>6005598</v>
      </c>
      <c r="I11" s="137">
        <f>+Actuals!F84</f>
        <v>7404225.5999999996</v>
      </c>
      <c r="J11" s="136">
        <f>+Actuals!G84</f>
        <v>800</v>
      </c>
      <c r="K11" s="153">
        <f>+Actuals!H84</f>
        <v>3660507.48</v>
      </c>
      <c r="L11" s="136">
        <f>+Actuals!I84</f>
        <v>-4</v>
      </c>
      <c r="M11" s="137">
        <f>+Actuals!J84</f>
        <v>51370.8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0</v>
      </c>
      <c r="X11" s="136">
        <f>+Actuals!U84</f>
        <v>0</v>
      </c>
      <c r="Y11" s="137">
        <f>+Actuals!V84</f>
        <v>-3711877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  <c r="AL11" s="136">
        <f>+Actuals!AI84</f>
        <v>0</v>
      </c>
      <c r="AM11" s="137">
        <f>+Actuals!AJ84</f>
        <v>0</v>
      </c>
      <c r="AN11" s="136">
        <f>+Actuals!AK84</f>
        <v>0</v>
      </c>
      <c r="AO11" s="137">
        <f>+Actuals!AL84</f>
        <v>0</v>
      </c>
      <c r="AP11" s="136">
        <f>+Actuals!AM84</f>
        <v>0</v>
      </c>
      <c r="AQ11" s="137">
        <f>+Actuals!AN84</f>
        <v>0</v>
      </c>
      <c r="AR11" s="136">
        <f>+Actuals!AO84</f>
        <v>0</v>
      </c>
      <c r="AS11" s="137">
        <f>+Actuals!AP84</f>
        <v>0</v>
      </c>
      <c r="AT11" s="136">
        <f>+Actuals!AQ84</f>
        <v>0</v>
      </c>
      <c r="AU11" s="137">
        <f>+Actuals!AR84</f>
        <v>0</v>
      </c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  <c r="AL12" s="136">
        <f>+Actuals!AI85</f>
        <v>0</v>
      </c>
      <c r="AM12" s="137">
        <f>+Actuals!AJ85</f>
        <v>0</v>
      </c>
      <c r="AN12" s="136">
        <f>+Actuals!AK85</f>
        <v>0</v>
      </c>
      <c r="AO12" s="137">
        <f>+Actuals!AL85</f>
        <v>0</v>
      </c>
      <c r="AP12" s="136">
        <f>+Actuals!AM85</f>
        <v>0</v>
      </c>
      <c r="AQ12" s="137">
        <f>+Actuals!AN85</f>
        <v>0</v>
      </c>
      <c r="AR12" s="136">
        <f>+Actuals!AO85</f>
        <v>0</v>
      </c>
      <c r="AS12" s="137">
        <f>+Actuals!AP85</f>
        <v>0</v>
      </c>
      <c r="AT12" s="136">
        <f>+Actuals!AQ85</f>
        <v>0</v>
      </c>
      <c r="AU12" s="137">
        <f>+Actuals!AR85</f>
        <v>0</v>
      </c>
    </row>
    <row r="13" spans="1:47" x14ac:dyDescent="0.25">
      <c r="A13" s="9">
        <v>3</v>
      </c>
      <c r="B13" s="7"/>
      <c r="C13" s="18" t="s">
        <v>31</v>
      </c>
      <c r="D13" s="60">
        <f t="shared" si="0"/>
        <v>11044800</v>
      </c>
      <c r="E13" s="38">
        <f t="shared" si="0"/>
        <v>22182900</v>
      </c>
      <c r="F13" s="60">
        <f>'TIE-OUT'!X13+RECLASS!X13</f>
        <v>0</v>
      </c>
      <c r="G13" s="38">
        <f>'TIE-OUT'!Y13+RECLASS!Y13</f>
        <v>0</v>
      </c>
      <c r="H13" s="136">
        <f>+Actuals!E86</f>
        <v>11044800</v>
      </c>
      <c r="I13" s="137">
        <f>+Actuals!F86</f>
        <v>22182900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  <c r="AL13" s="136">
        <f>+Actuals!AI86</f>
        <v>0</v>
      </c>
      <c r="AM13" s="137">
        <f>+Actuals!AJ86</f>
        <v>0</v>
      </c>
      <c r="AN13" s="136">
        <f>+Actuals!AK86</f>
        <v>0</v>
      </c>
      <c r="AO13" s="137">
        <f>+Actuals!AL86</f>
        <v>0</v>
      </c>
      <c r="AP13" s="136">
        <f>+Actuals!AM86</f>
        <v>0</v>
      </c>
      <c r="AQ13" s="137">
        <f>+Actuals!AN86</f>
        <v>0</v>
      </c>
      <c r="AR13" s="136">
        <f>+Actuals!AO86</f>
        <v>0</v>
      </c>
      <c r="AS13" s="137">
        <f>+Actuals!AP86</f>
        <v>0</v>
      </c>
      <c r="AT13" s="136">
        <f>+Actuals!AQ86</f>
        <v>0</v>
      </c>
      <c r="AU13" s="137">
        <f>+Actuals!AR86</f>
        <v>0</v>
      </c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  <c r="AL14" s="136">
        <f>+Actuals!AI87</f>
        <v>0</v>
      </c>
      <c r="AM14" s="137">
        <f>+Actuals!AJ87</f>
        <v>0</v>
      </c>
      <c r="AN14" s="136">
        <f>+Actuals!AK87</f>
        <v>0</v>
      </c>
      <c r="AO14" s="137">
        <f>+Actuals!AL87</f>
        <v>0</v>
      </c>
      <c r="AP14" s="136">
        <f>+Actuals!AM87</f>
        <v>0</v>
      </c>
      <c r="AQ14" s="137">
        <f>+Actuals!AN87</f>
        <v>0</v>
      </c>
      <c r="AR14" s="136">
        <f>+Actuals!AO87</f>
        <v>0</v>
      </c>
      <c r="AS14" s="137">
        <f>+Actuals!AP87</f>
        <v>0</v>
      </c>
      <c r="AT14" s="136">
        <f>+Actuals!AQ87</f>
        <v>0</v>
      </c>
      <c r="AU14" s="137">
        <f>+Actuals!AR87</f>
        <v>0</v>
      </c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f>+Actuals!F88</f>
        <v>0</v>
      </c>
      <c r="J15" s="136">
        <f>+Actuals!G88</f>
        <v>0</v>
      </c>
      <c r="K15" s="153">
        <f>+Actuals!H88</f>
        <v>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  <c r="AL15" s="136">
        <f>+Actuals!AI88</f>
        <v>0</v>
      </c>
      <c r="AM15" s="137">
        <f>+Actuals!AJ88</f>
        <v>0</v>
      </c>
      <c r="AN15" s="136">
        <f>+Actuals!AK88</f>
        <v>0</v>
      </c>
      <c r="AO15" s="137">
        <f>+Actuals!AL88</f>
        <v>0</v>
      </c>
      <c r="AP15" s="136">
        <f>+Actuals!AM88</f>
        <v>0</v>
      </c>
      <c r="AQ15" s="137">
        <f>+Actuals!AN88</f>
        <v>0</v>
      </c>
      <c r="AR15" s="136">
        <f>+Actuals!AO88</f>
        <v>0</v>
      </c>
      <c r="AS15" s="137">
        <f>+Actuals!AP88</f>
        <v>0</v>
      </c>
      <c r="AT15" s="136">
        <f>+Actuals!AQ88</f>
        <v>0</v>
      </c>
      <c r="AU15" s="137">
        <f>+Actuals!AR88</f>
        <v>0</v>
      </c>
    </row>
    <row r="16" spans="1:47" x14ac:dyDescent="0.25">
      <c r="A16" s="9"/>
      <c r="B16" s="7" t="s">
        <v>34</v>
      </c>
      <c r="C16" s="6"/>
      <c r="D16" s="61">
        <f t="shared" ref="D16:AE16" si="1">SUM(D11:D15)</f>
        <v>17051194</v>
      </c>
      <c r="E16" s="39">
        <f t="shared" si="1"/>
        <v>29587126.880000003</v>
      </c>
      <c r="F16" s="61">
        <f t="shared" si="1"/>
        <v>0</v>
      </c>
      <c r="G16" s="39">
        <f t="shared" si="1"/>
        <v>0</v>
      </c>
      <c r="H16" s="61">
        <f t="shared" si="1"/>
        <v>17050398</v>
      </c>
      <c r="I16" s="39">
        <f t="shared" si="1"/>
        <v>29587125.600000001</v>
      </c>
      <c r="J16" s="61">
        <f t="shared" si="1"/>
        <v>800</v>
      </c>
      <c r="K16" s="154">
        <f t="shared" si="1"/>
        <v>3660507.48</v>
      </c>
      <c r="L16" s="61">
        <f t="shared" si="1"/>
        <v>-4</v>
      </c>
      <c r="M16" s="39">
        <f t="shared" si="1"/>
        <v>51370.8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-3711877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 t="shared" ref="AF16:AK16" si="2">SUM(AF11:AF15)</f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si="2"/>
        <v>0</v>
      </c>
      <c r="AK16" s="39">
        <f t="shared" si="2"/>
        <v>0</v>
      </c>
      <c r="AL16" s="61">
        <f t="shared" ref="AL16:AQ16" si="3">SUM(AL11:AL15)</f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 t="shared" si="3"/>
        <v>0</v>
      </c>
      <c r="AQ16" s="39">
        <f t="shared" si="3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SUM(F19,H19,J19,L19,N19,P19,R19,T19,V19,X19,Z19,AB19,AD19,AF19,AH19,AJ19,AL19,AN19,AP19,AR19,AT19)</f>
        <v>-3229965</v>
      </c>
      <c r="E19" s="38">
        <f t="shared" si="4"/>
        <v>-3101320.81</v>
      </c>
      <c r="F19" s="64">
        <f>'TIE-OUT'!X19+RECLASS!X19</f>
        <v>0</v>
      </c>
      <c r="G19" s="68">
        <f>'TIE-OUT'!Y19+RECLASS!Y19</f>
        <v>0</v>
      </c>
      <c r="H19" s="136">
        <f>+Actuals!E89</f>
        <v>-3229965</v>
      </c>
      <c r="I19" s="137">
        <f>+Actuals!F89</f>
        <v>-3102620.81</v>
      </c>
      <c r="J19" s="136">
        <f>+Actuals!G89</f>
        <v>0</v>
      </c>
      <c r="K19" s="153">
        <f>+Actuals!H89</f>
        <v>1300</v>
      </c>
      <c r="L19" s="136">
        <f>+Actuals!I89</f>
        <v>0</v>
      </c>
      <c r="M19" s="137">
        <f>+Actuals!J89</f>
        <v>0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  <c r="AL19" s="136">
        <f>+Actuals!AI89</f>
        <v>0</v>
      </c>
      <c r="AM19" s="137">
        <f>+Actuals!AJ89</f>
        <v>0</v>
      </c>
      <c r="AN19" s="136">
        <f>+Actuals!AK89</f>
        <v>0</v>
      </c>
      <c r="AO19" s="137">
        <f>+Actuals!AL89</f>
        <v>0</v>
      </c>
      <c r="AP19" s="136">
        <f>+Actuals!AM89</f>
        <v>0</v>
      </c>
      <c r="AQ19" s="137">
        <f>+Actuals!AN89</f>
        <v>0</v>
      </c>
      <c r="AR19" s="136">
        <f>+Actuals!AO89</f>
        <v>0</v>
      </c>
      <c r="AS19" s="137">
        <f>+Actuals!AP89</f>
        <v>0</v>
      </c>
      <c r="AT19" s="136">
        <f>+Actuals!AQ89</f>
        <v>0</v>
      </c>
      <c r="AU19" s="137">
        <f>+Actuals!AR89</f>
        <v>0</v>
      </c>
    </row>
    <row r="20" spans="1:47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  <c r="AL20" s="136">
        <f>+Actuals!AI90</f>
        <v>0</v>
      </c>
      <c r="AM20" s="137">
        <f>+Actuals!AJ90</f>
        <v>0</v>
      </c>
      <c r="AN20" s="136">
        <f>+Actuals!AK90</f>
        <v>0</v>
      </c>
      <c r="AO20" s="137">
        <f>+Actuals!AL90</f>
        <v>0</v>
      </c>
      <c r="AP20" s="136">
        <f>+Actuals!AM90</f>
        <v>0</v>
      </c>
      <c r="AQ20" s="137">
        <f>+Actuals!AN90</f>
        <v>0</v>
      </c>
      <c r="AR20" s="136">
        <f>+Actuals!AO90</f>
        <v>0</v>
      </c>
      <c r="AS20" s="137">
        <f>+Actuals!AP90</f>
        <v>0</v>
      </c>
      <c r="AT20" s="136">
        <f>+Actuals!AQ90</f>
        <v>0</v>
      </c>
      <c r="AU20" s="137">
        <f>+Actuals!AR90</f>
        <v>0</v>
      </c>
    </row>
    <row r="21" spans="1:47" x14ac:dyDescent="0.25">
      <c r="A21" s="9">
        <v>8</v>
      </c>
      <c r="B21" s="7"/>
      <c r="C21" s="18" t="s">
        <v>31</v>
      </c>
      <c r="D21" s="60">
        <f t="shared" si="4"/>
        <v>-13070778</v>
      </c>
      <c r="E21" s="38">
        <f t="shared" si="4"/>
        <v>-25823734</v>
      </c>
      <c r="F21" s="60">
        <f>'TIE-OUT'!X21+RECLASS!X21</f>
        <v>0</v>
      </c>
      <c r="G21" s="38">
        <f>'TIE-OUT'!Y21+RECLASS!Y21</f>
        <v>0</v>
      </c>
      <c r="H21" s="136">
        <f>+Actuals!E91</f>
        <v>-13070778</v>
      </c>
      <c r="I21" s="137">
        <f>+Actuals!F91</f>
        <v>-25823734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  <c r="AL21" s="136">
        <f>+Actuals!AI91</f>
        <v>0</v>
      </c>
      <c r="AM21" s="137">
        <f>+Actuals!AJ91</f>
        <v>0</v>
      </c>
      <c r="AN21" s="136">
        <f>+Actuals!AK91</f>
        <v>0</v>
      </c>
      <c r="AO21" s="137">
        <f>+Actuals!AL91</f>
        <v>0</v>
      </c>
      <c r="AP21" s="136">
        <f>+Actuals!AM91</f>
        <v>0</v>
      </c>
      <c r="AQ21" s="137">
        <f>+Actuals!AN91</f>
        <v>0</v>
      </c>
      <c r="AR21" s="136">
        <f>+Actuals!AO91</f>
        <v>0</v>
      </c>
      <c r="AS21" s="137">
        <f>+Actuals!AP91</f>
        <v>0</v>
      </c>
      <c r="AT21" s="136">
        <f>+Actuals!AQ91</f>
        <v>0</v>
      </c>
      <c r="AU21" s="137">
        <f>+Actuals!AR91</f>
        <v>0</v>
      </c>
    </row>
    <row r="22" spans="1:47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  <c r="AL22" s="136">
        <f>+Actuals!AI92</f>
        <v>0</v>
      </c>
      <c r="AM22" s="137">
        <f>+Actuals!AJ92</f>
        <v>0</v>
      </c>
      <c r="AN22" s="136">
        <f>+Actuals!AK92</f>
        <v>0</v>
      </c>
      <c r="AO22" s="137">
        <f>+Actuals!AL92</f>
        <v>0</v>
      </c>
      <c r="AP22" s="136">
        <f>+Actuals!AM92</f>
        <v>0</v>
      </c>
      <c r="AQ22" s="137">
        <f>+Actuals!AN92</f>
        <v>0</v>
      </c>
      <c r="AR22" s="136">
        <f>+Actuals!AO92</f>
        <v>0</v>
      </c>
      <c r="AS22" s="137">
        <f>+Actuals!AP92</f>
        <v>0</v>
      </c>
      <c r="AT22" s="136">
        <f>+Actuals!AQ92</f>
        <v>0</v>
      </c>
      <c r="AU22" s="137">
        <f>+Actuals!AR92</f>
        <v>0</v>
      </c>
    </row>
    <row r="23" spans="1:47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4.0000000000000036E-3</v>
      </c>
      <c r="F23" s="81">
        <f>'TIE-OUT'!X23+RECLASS!X23</f>
        <v>0</v>
      </c>
      <c r="G23" s="82">
        <f>'TIE-OUT'!Y23+RECLASS!Y23</f>
        <v>0</v>
      </c>
      <c r="H23" s="136">
        <f>+Actuals!E93</f>
        <v>2</v>
      </c>
      <c r="I23" s="137">
        <f>+Actuals!F93</f>
        <v>3.58</v>
      </c>
      <c r="J23" s="136">
        <f>+Actuals!G93</f>
        <v>-2</v>
      </c>
      <c r="K23" s="153">
        <f>+Actuals!H93</f>
        <v>-3.5760000000000001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</f>
        <v>0</v>
      </c>
      <c r="W23" s="137">
        <f>+Actuals!T93</f>
        <v>0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  <c r="AL23" s="136">
        <f>+Actuals!AI93</f>
        <v>0</v>
      </c>
      <c r="AM23" s="137">
        <f>+Actuals!AJ93</f>
        <v>0</v>
      </c>
      <c r="AN23" s="136">
        <f>+Actuals!AK93</f>
        <v>0</v>
      </c>
      <c r="AO23" s="137">
        <f>+Actuals!AL93</f>
        <v>0</v>
      </c>
      <c r="AP23" s="136">
        <f>+Actuals!AM93</f>
        <v>0</v>
      </c>
      <c r="AQ23" s="137">
        <f>+Actuals!AN93</f>
        <v>0</v>
      </c>
      <c r="AR23" s="136">
        <f>+Actuals!AO93</f>
        <v>0</v>
      </c>
      <c r="AS23" s="137">
        <f>+Actuals!AP93</f>
        <v>0</v>
      </c>
      <c r="AT23" s="136">
        <f>+Actuals!AQ93</f>
        <v>0</v>
      </c>
      <c r="AU23" s="137">
        <f>+Actuals!AR93</f>
        <v>0</v>
      </c>
    </row>
    <row r="24" spans="1:47" x14ac:dyDescent="0.25">
      <c r="A24" s="9"/>
      <c r="B24" s="7" t="s">
        <v>37</v>
      </c>
      <c r="C24" s="6"/>
      <c r="D24" s="61">
        <f t="shared" ref="D24:AE24" si="5">SUM(D19:D23)</f>
        <v>-16300743</v>
      </c>
      <c r="E24" s="39">
        <f t="shared" si="5"/>
        <v>-28925054.805999998</v>
      </c>
      <c r="F24" s="61">
        <f t="shared" si="5"/>
        <v>0</v>
      </c>
      <c r="G24" s="39">
        <f t="shared" si="5"/>
        <v>0</v>
      </c>
      <c r="H24" s="61">
        <f t="shared" si="5"/>
        <v>-16300741</v>
      </c>
      <c r="I24" s="39">
        <f t="shared" si="5"/>
        <v>-28926351.23</v>
      </c>
      <c r="J24" s="61">
        <f t="shared" si="5"/>
        <v>-2</v>
      </c>
      <c r="K24" s="154">
        <f t="shared" si="5"/>
        <v>1296.424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  <c r="AF24" s="61">
        <f t="shared" ref="AF24:AK24" si="6">SUM(AF19:AF23)</f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si="6"/>
        <v>0</v>
      </c>
      <c r="AK24" s="39">
        <f t="shared" si="6"/>
        <v>0</v>
      </c>
      <c r="AL24" s="61">
        <f t="shared" ref="AL24:AQ24" si="7">SUM(AL19:AL23)</f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 t="shared" si="7"/>
        <v>0</v>
      </c>
      <c r="AQ24" s="39">
        <f t="shared" si="7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  <c r="AL27" s="136">
        <f>+Actuals!AI94</f>
        <v>0</v>
      </c>
      <c r="AM27" s="137">
        <f>+Actuals!AJ94</f>
        <v>0</v>
      </c>
      <c r="AN27" s="136">
        <f>+Actuals!AK94</f>
        <v>0</v>
      </c>
      <c r="AO27" s="137">
        <f>+Actuals!AL94</f>
        <v>0</v>
      </c>
      <c r="AP27" s="136">
        <f>+Actuals!AM94</f>
        <v>0</v>
      </c>
      <c r="AQ27" s="137">
        <f>+Actuals!AN94</f>
        <v>0</v>
      </c>
      <c r="AR27" s="136">
        <f>+Actuals!AO94</f>
        <v>0</v>
      </c>
      <c r="AS27" s="137">
        <f>+Actuals!AP94</f>
        <v>0</v>
      </c>
      <c r="AT27" s="136">
        <f>+Actuals!AQ94</f>
        <v>0</v>
      </c>
      <c r="AU27" s="137">
        <f>+Actuals!AR94</f>
        <v>0</v>
      </c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  <c r="AL28" s="136">
        <f>+Actuals!AI95</f>
        <v>0</v>
      </c>
      <c r="AM28" s="137">
        <f>+Actuals!AJ95</f>
        <v>0</v>
      </c>
      <c r="AN28" s="136">
        <f>+Actuals!AK95</f>
        <v>0</v>
      </c>
      <c r="AO28" s="137">
        <f>+Actuals!AL95</f>
        <v>0</v>
      </c>
      <c r="AP28" s="136">
        <f>+Actuals!AM95</f>
        <v>0</v>
      </c>
      <c r="AQ28" s="137">
        <f>+Actuals!AN95</f>
        <v>0</v>
      </c>
      <c r="AR28" s="136">
        <f>+Actuals!AO95</f>
        <v>0</v>
      </c>
      <c r="AS28" s="137">
        <f>+Actuals!AP95</f>
        <v>0</v>
      </c>
      <c r="AT28" s="136">
        <f>+Actuals!AQ95</f>
        <v>0</v>
      </c>
      <c r="AU28" s="137">
        <f>+Actuals!AR95</f>
        <v>0</v>
      </c>
    </row>
    <row r="29" spans="1:47" x14ac:dyDescent="0.25">
      <c r="A29" s="9"/>
      <c r="B29" s="7" t="s">
        <v>41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 t="shared" ref="AF29:AK29" si="9">SUM(AF27:AF28)</f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si="9"/>
        <v>0</v>
      </c>
      <c r="AK29" s="39">
        <f t="shared" si="9"/>
        <v>0</v>
      </c>
      <c r="AL29" s="61">
        <f t="shared" ref="AL29:AQ29" si="10">SUM(AL27:AL28)</f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 t="shared" si="10"/>
        <v>0</v>
      </c>
      <c r="AQ29" s="39">
        <f t="shared" si="10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  <c r="AL31" s="136"/>
      <c r="AM31" s="137"/>
      <c r="AN31" s="136"/>
      <c r="AO31" s="137"/>
      <c r="AP31" s="136"/>
      <c r="AQ31" s="137"/>
      <c r="AR31" s="136"/>
      <c r="AS31" s="137"/>
      <c r="AT31" s="136"/>
      <c r="AU31" s="137"/>
    </row>
    <row r="32" spans="1:47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SUM(F32,H32,J32,L32,N32,P32,R32,T32,V32,X32,Z32,AB32,AD32,AF32,AH32,AJ32,AL32,AN32,AP32,AR32,AT32)</f>
        <v>0</v>
      </c>
      <c r="E32" s="38">
        <f t="shared" si="11"/>
        <v>0</v>
      </c>
      <c r="F32" s="64">
        <f>'TIE-OUT'!X32+RECLASS!X32</f>
        <v>0</v>
      </c>
      <c r="G32" s="68">
        <f>'TIE-OUT'!Y32+RECLASS!Y32</f>
        <v>0</v>
      </c>
      <c r="H32" s="136">
        <f>+Actuals!E96</f>
        <v>-2</v>
      </c>
      <c r="I32" s="137">
        <f>+Actuals!F96</f>
        <v>-3.58</v>
      </c>
      <c r="J32" s="136">
        <f>+Actuals!G96</f>
        <v>2</v>
      </c>
      <c r="K32" s="153">
        <f>+Actuals!H96</f>
        <v>3.58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  <c r="AL32" s="136">
        <f>+Actuals!AI96</f>
        <v>0</v>
      </c>
      <c r="AM32" s="137">
        <f>+Actuals!AJ96</f>
        <v>0</v>
      </c>
      <c r="AN32" s="136">
        <f>+Actuals!AK96</f>
        <v>0</v>
      </c>
      <c r="AO32" s="137">
        <f>+Actuals!AL96</f>
        <v>0</v>
      </c>
      <c r="AP32" s="136">
        <f>+Actuals!AM96</f>
        <v>0</v>
      </c>
      <c r="AQ32" s="137">
        <f>+Actuals!AN96</f>
        <v>0</v>
      </c>
      <c r="AR32" s="136">
        <f>+Actuals!AO96</f>
        <v>0</v>
      </c>
      <c r="AS32" s="137">
        <f>+Actuals!AP96</f>
        <v>0</v>
      </c>
      <c r="AT32" s="136">
        <f>+Actuals!AQ96</f>
        <v>0</v>
      </c>
      <c r="AU32" s="137">
        <f>+Actuals!AR96</f>
        <v>0</v>
      </c>
    </row>
    <row r="33" spans="1:47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  <c r="AL33" s="136">
        <f>+Actuals!AI97</f>
        <v>0</v>
      </c>
      <c r="AM33" s="137">
        <f>+Actuals!AJ97</f>
        <v>0</v>
      </c>
      <c r="AN33" s="136">
        <f>+Actuals!AK97</f>
        <v>0</v>
      </c>
      <c r="AO33" s="137">
        <f>+Actuals!AL97</f>
        <v>0</v>
      </c>
      <c r="AP33" s="136">
        <f>+Actuals!AM97</f>
        <v>0</v>
      </c>
      <c r="AQ33" s="137">
        <f>+Actuals!AN97</f>
        <v>0</v>
      </c>
      <c r="AR33" s="136">
        <f>+Actuals!AO97</f>
        <v>0</v>
      </c>
      <c r="AS33" s="137">
        <f>+Actuals!AP97</f>
        <v>0</v>
      </c>
      <c r="AT33" s="136">
        <f>+Actuals!AQ97</f>
        <v>0</v>
      </c>
      <c r="AU33" s="137">
        <f>+Actuals!AR97</f>
        <v>0</v>
      </c>
    </row>
    <row r="34" spans="1:47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  <c r="AL34" s="136">
        <f>+Actuals!AI98</f>
        <v>0</v>
      </c>
      <c r="AM34" s="137">
        <f>+Actuals!AJ98</f>
        <v>0</v>
      </c>
      <c r="AN34" s="136">
        <f>+Actuals!AK98</f>
        <v>0</v>
      </c>
      <c r="AO34" s="137">
        <f>+Actuals!AL98</f>
        <v>0</v>
      </c>
      <c r="AP34" s="136">
        <f>+Actuals!AM98</f>
        <v>0</v>
      </c>
      <c r="AQ34" s="137">
        <f>+Actuals!AN98</f>
        <v>0</v>
      </c>
      <c r="AR34" s="136">
        <f>+Actuals!AO98</f>
        <v>0</v>
      </c>
      <c r="AS34" s="137">
        <f>+Actuals!AP98</f>
        <v>0</v>
      </c>
      <c r="AT34" s="136">
        <f>+Actuals!AQ98</f>
        <v>0</v>
      </c>
      <c r="AU34" s="137">
        <f>+Actuals!AR98</f>
        <v>0</v>
      </c>
    </row>
    <row r="35" spans="1:47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  <c r="AL35" s="136">
        <f>+Actuals!AI99</f>
        <v>0</v>
      </c>
      <c r="AM35" s="137">
        <f>+Actuals!AJ99</f>
        <v>0</v>
      </c>
      <c r="AN35" s="136">
        <f>+Actuals!AK99</f>
        <v>0</v>
      </c>
      <c r="AO35" s="137">
        <f>+Actuals!AL99</f>
        <v>0</v>
      </c>
      <c r="AP35" s="136">
        <f>+Actuals!AM99</f>
        <v>0</v>
      </c>
      <c r="AQ35" s="137">
        <f>+Actuals!AN99</f>
        <v>0</v>
      </c>
      <c r="AR35" s="136">
        <f>+Actuals!AO99</f>
        <v>0</v>
      </c>
      <c r="AS35" s="137">
        <f>+Actuals!AP99</f>
        <v>0</v>
      </c>
      <c r="AT35" s="136">
        <f>+Actuals!AQ99</f>
        <v>0</v>
      </c>
      <c r="AU35" s="137">
        <f>+Actuals!AR99</f>
        <v>0</v>
      </c>
    </row>
    <row r="36" spans="1:47" x14ac:dyDescent="0.25">
      <c r="A36" s="9"/>
      <c r="B36" s="7" t="s">
        <v>47</v>
      </c>
      <c r="C36" s="6"/>
      <c r="D36" s="61">
        <f t="shared" ref="D36:AE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-2</v>
      </c>
      <c r="I36" s="39">
        <f t="shared" si="12"/>
        <v>-3.58</v>
      </c>
      <c r="J36" s="61">
        <f t="shared" si="12"/>
        <v>2</v>
      </c>
      <c r="K36" s="154">
        <f t="shared" si="12"/>
        <v>3.58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  <c r="AF36" s="61">
        <f t="shared" ref="AF36:AK36" si="13">SUM(AF32:AF35)</f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si="13"/>
        <v>0</v>
      </c>
      <c r="AK36" s="39">
        <f t="shared" si="13"/>
        <v>0</v>
      </c>
      <c r="AL36" s="61">
        <f t="shared" ref="AL36:AQ36" si="14">SUM(AL32:AL35)</f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 t="shared" si="14"/>
        <v>0</v>
      </c>
      <c r="AQ36" s="39">
        <f t="shared" si="14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SUM(F39,H39,J39,L39,N39,P39,R39,T39,V39,X39,Z39,AB39,AD39,AF39,AH39,AJ39,AL39,AN39,AP39,AR39,AT39)</f>
        <v>0</v>
      </c>
      <c r="E39" s="38">
        <f t="shared" si="15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  <c r="AL39" s="136">
        <f>+Actuals!AI100</f>
        <v>0</v>
      </c>
      <c r="AM39" s="137">
        <f>+Actuals!AJ100</f>
        <v>0</v>
      </c>
      <c r="AN39" s="136">
        <f>+Actuals!AK100</f>
        <v>0</v>
      </c>
      <c r="AO39" s="137">
        <f>+Actuals!AL100</f>
        <v>0</v>
      </c>
      <c r="AP39" s="136">
        <f>+Actuals!AM100</f>
        <v>0</v>
      </c>
      <c r="AQ39" s="137">
        <f>+Actuals!AN100</f>
        <v>0</v>
      </c>
      <c r="AR39" s="136">
        <f>+Actuals!AO100</f>
        <v>0</v>
      </c>
      <c r="AS39" s="137">
        <f>+Actuals!AP100</f>
        <v>0</v>
      </c>
      <c r="AT39" s="136">
        <f>+Actuals!AQ100</f>
        <v>0</v>
      </c>
      <c r="AU39" s="137">
        <f>+Actuals!AR100</f>
        <v>0</v>
      </c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5"/>
        <v>-1070106</v>
      </c>
      <c r="E40" s="38">
        <f t="shared" si="15"/>
        <v>-0.04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0</v>
      </c>
      <c r="W40" s="137">
        <f>+Actuals!T101</f>
        <v>0</v>
      </c>
      <c r="X40" s="136">
        <f>+Actuals!U101</f>
        <v>-1070106</v>
      </c>
      <c r="Y40" s="137">
        <f>+Actuals!V101</f>
        <v>-0.04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  <c r="AL40" s="136">
        <f>+Actuals!AI101</f>
        <v>0</v>
      </c>
      <c r="AM40" s="137">
        <f>+Actuals!AJ101</f>
        <v>0</v>
      </c>
      <c r="AN40" s="136">
        <f>+Actuals!AK101</f>
        <v>0</v>
      </c>
      <c r="AO40" s="137">
        <f>+Actuals!AL101</f>
        <v>0</v>
      </c>
      <c r="AP40" s="136">
        <f>+Actuals!AM101</f>
        <v>0</v>
      </c>
      <c r="AQ40" s="137">
        <f>+Actuals!AN101</f>
        <v>0</v>
      </c>
      <c r="AR40" s="136">
        <f>+Actuals!AO101</f>
        <v>0</v>
      </c>
      <c r="AS40" s="137">
        <f>+Actuals!AP101</f>
        <v>0</v>
      </c>
      <c r="AT40" s="136">
        <f>+Actuals!AQ101</f>
        <v>0</v>
      </c>
      <c r="AU40" s="137">
        <f>+Actuals!AR101</f>
        <v>0</v>
      </c>
    </row>
    <row r="41" spans="1:47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  <c r="AL41" s="136">
        <f>+Actuals!AI102</f>
        <v>0</v>
      </c>
      <c r="AM41" s="137">
        <f>+Actuals!AJ102</f>
        <v>0</v>
      </c>
      <c r="AN41" s="136">
        <f>+Actuals!AK102</f>
        <v>0</v>
      </c>
      <c r="AO41" s="137">
        <f>+Actuals!AL102</f>
        <v>0</v>
      </c>
      <c r="AP41" s="136">
        <f>+Actuals!AM102</f>
        <v>0</v>
      </c>
      <c r="AQ41" s="137">
        <f>+Actuals!AN102</f>
        <v>0</v>
      </c>
      <c r="AR41" s="136">
        <f>+Actuals!AO102</f>
        <v>0</v>
      </c>
      <c r="AS41" s="137">
        <f>+Actuals!AP102</f>
        <v>0</v>
      </c>
      <c r="AT41" s="136">
        <f>+Actuals!AQ102</f>
        <v>0</v>
      </c>
      <c r="AU41" s="137">
        <f>+Actuals!AR102</f>
        <v>0</v>
      </c>
    </row>
    <row r="42" spans="1:47" x14ac:dyDescent="0.25">
      <c r="A42" s="9"/>
      <c r="B42" s="7"/>
      <c r="C42" s="53" t="s">
        <v>52</v>
      </c>
      <c r="D42" s="61">
        <f t="shared" ref="D42:AE42" si="16">SUM(D40:D41)</f>
        <v>-1070106</v>
      </c>
      <c r="E42" s="39">
        <f t="shared" si="16"/>
        <v>-0.04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-1070106</v>
      </c>
      <c r="Y42" s="39">
        <f t="shared" si="16"/>
        <v>-0.04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  <c r="AF42" s="61">
        <f t="shared" ref="AF42:AK42" si="17">SUM(AF40:AF41)</f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si="17"/>
        <v>0</v>
      </c>
      <c r="AK42" s="39">
        <f t="shared" si="17"/>
        <v>0</v>
      </c>
      <c r="AL42" s="61">
        <f t="shared" ref="AL42:AQ42" si="18">SUM(AL40:AL41)</f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 t="shared" si="18"/>
        <v>0</v>
      </c>
      <c r="AQ42" s="39">
        <f t="shared" si="18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 t="shared" ref="D43:AE43" si="19">D42+D39</f>
        <v>-1070106</v>
      </c>
      <c r="E43" s="39">
        <f t="shared" si="19"/>
        <v>-0.04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-1070106</v>
      </c>
      <c r="Y43" s="39">
        <f t="shared" si="19"/>
        <v>-0.04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  <c r="AF43" s="61">
        <f t="shared" ref="AF43:AK43" si="20">AF42+AF39</f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si="20"/>
        <v>0</v>
      </c>
      <c r="AK43" s="39">
        <f t="shared" si="20"/>
        <v>0</v>
      </c>
      <c r="AL43" s="61">
        <f t="shared" ref="AL43:AQ43" si="21">AL42+AL39</f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 t="shared" si="21"/>
        <v>0</v>
      </c>
      <c r="AQ43" s="39">
        <f t="shared" si="21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  <c r="AL45" s="136">
        <f>+Actuals!AI103</f>
        <v>0</v>
      </c>
      <c r="AM45" s="137">
        <f>+Actuals!AJ103</f>
        <v>0</v>
      </c>
      <c r="AN45" s="136">
        <f>+Actuals!AK103</f>
        <v>0</v>
      </c>
      <c r="AO45" s="137">
        <f>+Actuals!AL103</f>
        <v>0</v>
      </c>
      <c r="AP45" s="136">
        <f>+Actuals!AM103</f>
        <v>0</v>
      </c>
      <c r="AQ45" s="137">
        <f>+Actuals!AN103</f>
        <v>0</v>
      </c>
      <c r="AR45" s="136">
        <f>+Actuals!AO103</f>
        <v>0</v>
      </c>
      <c r="AS45" s="137">
        <f>+Actuals!AP103</f>
        <v>0</v>
      </c>
      <c r="AT45" s="136">
        <f>+Actuals!AQ103</f>
        <v>0</v>
      </c>
      <c r="AU45" s="137">
        <f>+Actuals!AR103</f>
        <v>0</v>
      </c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  <c r="AL47" s="136">
        <f>+Actuals!AI104</f>
        <v>0</v>
      </c>
      <c r="AM47" s="137">
        <f>+Actuals!AJ104</f>
        <v>0</v>
      </c>
      <c r="AN47" s="136">
        <f>+Actuals!AK104</f>
        <v>0</v>
      </c>
      <c r="AO47" s="137">
        <f>+Actuals!AL104</f>
        <v>0</v>
      </c>
      <c r="AP47" s="136">
        <f>+Actuals!AM104</f>
        <v>0</v>
      </c>
      <c r="AQ47" s="137">
        <f>+Actuals!AN104</f>
        <v>0</v>
      </c>
      <c r="AR47" s="136">
        <f>+Actuals!AO104</f>
        <v>0</v>
      </c>
      <c r="AS47" s="137">
        <f>+Actuals!AP104</f>
        <v>0</v>
      </c>
      <c r="AT47" s="136">
        <f>+Actuals!AQ104</f>
        <v>0</v>
      </c>
      <c r="AU47" s="137">
        <f>+Actuals!AR104</f>
        <v>0</v>
      </c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2">SUM(F49,H49,J49,L49,N49,P49,R49,T49,V49,X49,Z49,AB49,AD49,AF49,AH49,AJ49,AL49,AN49,AP49,AR49,AT49)</f>
        <v>319655</v>
      </c>
      <c r="E49" s="38">
        <f t="shared" si="22"/>
        <v>571146.47999999952</v>
      </c>
      <c r="F49" s="60">
        <f>'TIE-OUT'!X49+RECLASS!X49</f>
        <v>0</v>
      </c>
      <c r="G49" s="38">
        <f>'TIE-OUT'!Y49+RECLASS!Y49</f>
        <v>0</v>
      </c>
      <c r="H49" s="136">
        <f>+Actuals!E105</f>
        <v>-749655</v>
      </c>
      <c r="I49" s="137">
        <f>+Actuals!F105</f>
        <v>-1340383.1399999999</v>
      </c>
      <c r="J49" s="136">
        <f>+Actuals!G105</f>
        <v>-800</v>
      </c>
      <c r="K49" s="153">
        <f>+Actuals!H105</f>
        <v>-1430.4000000003725</v>
      </c>
      <c r="L49" s="136">
        <f>+Actuals!I105</f>
        <v>4</v>
      </c>
      <c r="M49" s="137">
        <f>+Actuals!J105</f>
        <v>-3622441.5080000004</v>
      </c>
      <c r="N49" s="136">
        <f>+Actuals!K105</f>
        <v>0</v>
      </c>
      <c r="O49" s="137">
        <f>+Actuals!L105</f>
        <v>3622052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</f>
        <v>0</v>
      </c>
      <c r="W49" s="137">
        <f>+Actuals!T105</f>
        <v>0</v>
      </c>
      <c r="X49" s="136">
        <f>+Actuals!U105</f>
        <v>1070106</v>
      </c>
      <c r="Y49" s="137">
        <f>+Actuals!V105</f>
        <v>1913349.5279999999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  <c r="AL49" s="136">
        <f>+Actuals!AI105</f>
        <v>0</v>
      </c>
      <c r="AM49" s="137">
        <f>+Actuals!AJ105</f>
        <v>0</v>
      </c>
      <c r="AN49" s="136">
        <f>+Actuals!AK105</f>
        <v>0</v>
      </c>
      <c r="AO49" s="137">
        <f>+Actuals!AL105</f>
        <v>0</v>
      </c>
      <c r="AP49" s="136">
        <f>+Actuals!AM105</f>
        <v>0</v>
      </c>
      <c r="AQ49" s="137">
        <f>+Actuals!AN105</f>
        <v>0</v>
      </c>
      <c r="AR49" s="136">
        <f>+Actuals!AO105</f>
        <v>0</v>
      </c>
      <c r="AS49" s="137">
        <f>+Actuals!AP105</f>
        <v>0</v>
      </c>
      <c r="AT49" s="136">
        <f>+Actuals!AQ105</f>
        <v>0</v>
      </c>
      <c r="AU49" s="137">
        <f>+Actuals!AR105</f>
        <v>0</v>
      </c>
    </row>
    <row r="50" spans="1:47" x14ac:dyDescent="0.25">
      <c r="A50" s="9"/>
      <c r="B50" s="7"/>
      <c r="C50" s="6"/>
      <c r="D50" s="60">
        <f t="shared" si="22"/>
        <v>0</v>
      </c>
      <c r="E50" s="38">
        <f t="shared" si="22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2"/>
        <v>303879</v>
      </c>
      <c r="E51" s="38">
        <f t="shared" si="22"/>
        <v>-4.0000000000000036E-3</v>
      </c>
      <c r="F51" s="60">
        <f>'TIE-OUT'!X51+RECLASS!X51</f>
        <v>0</v>
      </c>
      <c r="G51" s="38">
        <f>'TIE-OUT'!Y51+RECLASS!Y51</f>
        <v>0</v>
      </c>
      <c r="H51" s="136">
        <f>+Actuals!E106</f>
        <v>-2</v>
      </c>
      <c r="I51" s="137">
        <f>+Actuals!F106</f>
        <v>-3.58</v>
      </c>
      <c r="J51" s="136">
        <f>+Actuals!G106</f>
        <v>2</v>
      </c>
      <c r="K51" s="153">
        <f>+Actuals!H106</f>
        <v>3.5760000000000001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</f>
        <v>0</v>
      </c>
      <c r="W51" s="137">
        <f>+Actuals!T106</f>
        <v>0</v>
      </c>
      <c r="X51" s="136">
        <f>+Actuals!U106</f>
        <v>303879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  <c r="AL51" s="136">
        <f>+Actuals!AI106</f>
        <v>0</v>
      </c>
      <c r="AM51" s="137">
        <f>+Actuals!AJ106</f>
        <v>0</v>
      </c>
      <c r="AN51" s="136">
        <f>+Actuals!AK106</f>
        <v>0</v>
      </c>
      <c r="AO51" s="137">
        <f>+Actuals!AL106</f>
        <v>0</v>
      </c>
      <c r="AP51" s="136">
        <f>+Actuals!AM106</f>
        <v>0</v>
      </c>
      <c r="AQ51" s="137">
        <f>+Actuals!AN106</f>
        <v>0</v>
      </c>
      <c r="AR51" s="136">
        <f>+Actuals!AO106</f>
        <v>0</v>
      </c>
      <c r="AS51" s="137">
        <f>+Actuals!AP106</f>
        <v>0</v>
      </c>
      <c r="AT51" s="136">
        <f>+Actuals!AQ106</f>
        <v>0</v>
      </c>
      <c r="AU51" s="137">
        <f>+Actuals!AR106</f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-39504</v>
      </c>
      <c r="E54" s="38">
        <f>SUM(G54,I54,K54,M54,O54,Q54,S54,U54,W54,Y54,AA54,AC54,AE54,AG54,AI54,AK54,AM54,AO54,AQ54,AS54,AU54)</f>
        <v>-444731.33</v>
      </c>
      <c r="F54" s="64">
        <f>'TIE-OUT'!X54+RECLASS!X54</f>
        <v>0</v>
      </c>
      <c r="G54" s="68">
        <f>'TIE-OUT'!Y54+RECLASS!Y54</f>
        <v>0</v>
      </c>
      <c r="H54" s="136">
        <f>+Actuals!E107</f>
        <v>-39504</v>
      </c>
      <c r="I54" s="137">
        <f>+Actuals!F107</f>
        <v>-583.05999999999995</v>
      </c>
      <c r="J54" s="136">
        <f>+Actuals!G107</f>
        <v>0</v>
      </c>
      <c r="K54" s="153">
        <f>+Actuals!H107</f>
        <v>-2.27</v>
      </c>
      <c r="L54" s="136">
        <f>+Actuals!I107</f>
        <v>0</v>
      </c>
      <c r="M54" s="137">
        <f>+Actuals!J107</f>
        <v>0</v>
      </c>
      <c r="N54" s="136">
        <f>+Actuals!K107</f>
        <v>0</v>
      </c>
      <c r="O54" s="137">
        <f>+Actuals!L107</f>
        <v>0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</f>
        <v>0</v>
      </c>
      <c r="X54" s="136">
        <f>+Actuals!U107</f>
        <v>0</v>
      </c>
      <c r="Y54" s="137">
        <f>+Actuals!V107-444146</f>
        <v>-444146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  <c r="AL54" s="136">
        <f>+Actuals!AI107</f>
        <v>0</v>
      </c>
      <c r="AM54" s="137">
        <f>+Actuals!AJ107</f>
        <v>0</v>
      </c>
      <c r="AN54" s="136">
        <f>+Actuals!AK107</f>
        <v>0</v>
      </c>
      <c r="AO54" s="137">
        <f>+Actuals!AL107</f>
        <v>0</v>
      </c>
      <c r="AP54" s="136">
        <f>+Actuals!AM107</f>
        <v>0</v>
      </c>
      <c r="AQ54" s="137">
        <f>+Actuals!AN107</f>
        <v>0</v>
      </c>
      <c r="AR54" s="136">
        <f>+Actuals!AO107</f>
        <v>0</v>
      </c>
      <c r="AS54" s="137">
        <f>+Actuals!AP107</f>
        <v>0</v>
      </c>
      <c r="AT54" s="136">
        <f>+Actuals!AQ107</f>
        <v>0</v>
      </c>
      <c r="AU54" s="137">
        <f>+Actuals!AR107</f>
        <v>0</v>
      </c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-5497.67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-5497.16</v>
      </c>
      <c r="J55" s="136">
        <f>+Actuals!G108</f>
        <v>0</v>
      </c>
      <c r="K55" s="153">
        <f>+Actuals!H108</f>
        <v>-0.51</v>
      </c>
      <c r="L55" s="136">
        <f>+Actuals!I108</f>
        <v>0</v>
      </c>
      <c r="M55" s="137">
        <f>+Actuals!J108</f>
        <v>0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  <c r="AL55" s="136">
        <f>+Actuals!AI108</f>
        <v>0</v>
      </c>
      <c r="AM55" s="137">
        <f>+Actuals!AJ108</f>
        <v>0</v>
      </c>
      <c r="AN55" s="136">
        <f>+Actuals!AK108</f>
        <v>0</v>
      </c>
      <c r="AO55" s="137">
        <f>+Actuals!AL108</f>
        <v>0</v>
      </c>
      <c r="AP55" s="136">
        <f>+Actuals!AM108</f>
        <v>0</v>
      </c>
      <c r="AQ55" s="137">
        <f>+Actuals!AN108</f>
        <v>0</v>
      </c>
      <c r="AR55" s="136">
        <f>+Actuals!AO108</f>
        <v>0</v>
      </c>
      <c r="AS55" s="137">
        <f>+Actuals!AP108</f>
        <v>0</v>
      </c>
      <c r="AT55" s="136">
        <f>+Actuals!AQ108</f>
        <v>0</v>
      </c>
      <c r="AU55" s="137">
        <f>+Actuals!AR108</f>
        <v>0</v>
      </c>
    </row>
    <row r="56" spans="1:47" x14ac:dyDescent="0.25">
      <c r="A56" s="9"/>
      <c r="B56" s="7" t="s">
        <v>61</v>
      </c>
      <c r="C56" s="6"/>
      <c r="D56" s="61">
        <f t="shared" ref="D56:AE56" si="23">SUM(D54:D55)</f>
        <v>-39504</v>
      </c>
      <c r="E56" s="39">
        <f t="shared" si="23"/>
        <v>-450229</v>
      </c>
      <c r="F56" s="61">
        <f t="shared" si="23"/>
        <v>0</v>
      </c>
      <c r="G56" s="39">
        <f t="shared" si="23"/>
        <v>0</v>
      </c>
      <c r="H56" s="61">
        <f t="shared" si="23"/>
        <v>-39504</v>
      </c>
      <c r="I56" s="39">
        <f t="shared" si="23"/>
        <v>-6080.2199999999993</v>
      </c>
      <c r="J56" s="61">
        <f t="shared" si="23"/>
        <v>0</v>
      </c>
      <c r="K56" s="154">
        <f t="shared" si="23"/>
        <v>-2.7800000000000002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-444146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 t="shared" ref="AF56:AK56" si="24">SUM(AF54:AF55)</f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si="24"/>
        <v>0</v>
      </c>
      <c r="AK56" s="39">
        <f t="shared" si="24"/>
        <v>0</v>
      </c>
      <c r="AL56" s="61">
        <f t="shared" ref="AL56:AQ56" si="25">SUM(AL54:AL55)</f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 t="shared" si="25"/>
        <v>0</v>
      </c>
      <c r="AQ56" s="39">
        <f t="shared" si="25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  <c r="AL59" s="136">
        <f>+Actuals!AI109</f>
        <v>0</v>
      </c>
      <c r="AM59" s="137">
        <f>+Actuals!AJ109</f>
        <v>0</v>
      </c>
      <c r="AN59" s="136">
        <f>+Actuals!AK109</f>
        <v>0</v>
      </c>
      <c r="AO59" s="137">
        <f>+Actuals!AL109</f>
        <v>0</v>
      </c>
      <c r="AP59" s="136">
        <f>+Actuals!AM109</f>
        <v>0</v>
      </c>
      <c r="AQ59" s="137">
        <f>+Actuals!AN109</f>
        <v>0</v>
      </c>
      <c r="AR59" s="136">
        <f>+Actuals!AO109</f>
        <v>0</v>
      </c>
      <c r="AS59" s="137">
        <f>+Actuals!AP109</f>
        <v>0</v>
      </c>
      <c r="AT59" s="136">
        <f>+Actuals!AQ109</f>
        <v>0</v>
      </c>
      <c r="AU59" s="137">
        <f>+Actuals!AR109</f>
        <v>0</v>
      </c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  <c r="AL60" s="136">
        <f>+Actuals!AI110</f>
        <v>0</v>
      </c>
      <c r="AM60" s="137">
        <f>+Actuals!AJ110</f>
        <v>0</v>
      </c>
      <c r="AN60" s="136">
        <f>+Actuals!AK110</f>
        <v>0</v>
      </c>
      <c r="AO60" s="137">
        <f>+Actuals!AL110</f>
        <v>0</v>
      </c>
      <c r="AP60" s="136">
        <f>+Actuals!AM110</f>
        <v>0</v>
      </c>
      <c r="AQ60" s="137">
        <f>+Actuals!AN110</f>
        <v>0</v>
      </c>
      <c r="AR60" s="136">
        <f>+Actuals!AO110</f>
        <v>0</v>
      </c>
      <c r="AS60" s="137">
        <f>+Actuals!AP110</f>
        <v>0</v>
      </c>
      <c r="AT60" s="136">
        <f>+Actuals!AQ110</f>
        <v>0</v>
      </c>
      <c r="AU60" s="137">
        <f>+Actuals!AR110</f>
        <v>0</v>
      </c>
    </row>
    <row r="61" spans="1:47" x14ac:dyDescent="0.25">
      <c r="A61" s="9"/>
      <c r="B61" s="62" t="s">
        <v>65</v>
      </c>
      <c r="C61" s="6"/>
      <c r="D61" s="61">
        <f t="shared" ref="D61:AE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 t="shared" ref="AF61:AK61" si="27">SUM(AF59:AF60)</f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si="27"/>
        <v>0</v>
      </c>
      <c r="AK61" s="39">
        <f t="shared" si="27"/>
        <v>0</v>
      </c>
      <c r="AL61" s="61">
        <f t="shared" ref="AL61:AQ61" si="28">SUM(AL59:AL60)</f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 t="shared" si="28"/>
        <v>0</v>
      </c>
      <c r="AQ61" s="39">
        <f t="shared" si="28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  <c r="AL64" s="136">
        <f>+Actuals!AI111</f>
        <v>0</v>
      </c>
      <c r="AM64" s="137">
        <f>+Actuals!AJ111</f>
        <v>0</v>
      </c>
      <c r="AN64" s="136">
        <f>+Actuals!AK111</f>
        <v>0</v>
      </c>
      <c r="AO64" s="137">
        <f>+Actuals!AL111</f>
        <v>0</v>
      </c>
      <c r="AP64" s="136">
        <f>+Actuals!AM111</f>
        <v>0</v>
      </c>
      <c r="AQ64" s="137">
        <f>+Actuals!AN111</f>
        <v>0</v>
      </c>
      <c r="AR64" s="136">
        <f>+Actuals!AO111</f>
        <v>0</v>
      </c>
      <c r="AS64" s="137">
        <f>+Actuals!AP111</f>
        <v>0</v>
      </c>
      <c r="AT64" s="136">
        <f>+Actuals!AQ111</f>
        <v>0</v>
      </c>
      <c r="AU64" s="137">
        <f>+Actuals!AR111</f>
        <v>0</v>
      </c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  <c r="AL65" s="136">
        <f>+Actuals!AI112</f>
        <v>0</v>
      </c>
      <c r="AM65" s="137">
        <f>+Actuals!AJ112</f>
        <v>0</v>
      </c>
      <c r="AN65" s="136">
        <f>+Actuals!AK112</f>
        <v>0</v>
      </c>
      <c r="AO65" s="137">
        <f>+Actuals!AL112</f>
        <v>0</v>
      </c>
      <c r="AP65" s="136">
        <f>+Actuals!AM112</f>
        <v>0</v>
      </c>
      <c r="AQ65" s="137">
        <f>+Actuals!AN112</f>
        <v>0</v>
      </c>
      <c r="AR65" s="136">
        <f>+Actuals!AO112</f>
        <v>0</v>
      </c>
      <c r="AS65" s="137">
        <f>+Actuals!AP112</f>
        <v>0</v>
      </c>
      <c r="AT65" s="136">
        <f>+Actuals!AQ112</f>
        <v>0</v>
      </c>
      <c r="AU65" s="137">
        <f>+Actuals!AR112</f>
        <v>0</v>
      </c>
    </row>
    <row r="66" spans="1:47" x14ac:dyDescent="0.25">
      <c r="A66" s="9"/>
      <c r="B66" s="7" t="s">
        <v>68</v>
      </c>
      <c r="C66" s="6"/>
      <c r="D66" s="61">
        <f t="shared" ref="D66:AE66" si="29">SUM(D64:D65)</f>
        <v>0</v>
      </c>
      <c r="E66" s="39">
        <f t="shared" si="29"/>
        <v>0</v>
      </c>
      <c r="F66" s="61">
        <f t="shared" si="29"/>
        <v>0</v>
      </c>
      <c r="G66" s="39">
        <f t="shared" si="29"/>
        <v>0</v>
      </c>
      <c r="H66" s="61">
        <f t="shared" si="29"/>
        <v>0</v>
      </c>
      <c r="I66" s="39">
        <f t="shared" si="29"/>
        <v>0</v>
      </c>
      <c r="J66" s="61">
        <f t="shared" si="29"/>
        <v>0</v>
      </c>
      <c r="K66" s="154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 t="shared" ref="AF66:AK66" si="30">SUM(AF64:AF65)</f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 t="shared" si="30"/>
        <v>0</v>
      </c>
      <c r="AK66" s="39">
        <f t="shared" si="30"/>
        <v>0</v>
      </c>
      <c r="AL66" s="61">
        <f t="shared" ref="AL66:AQ66" si="31">SUM(AL64:AL65)</f>
        <v>0</v>
      </c>
      <c r="AM66" s="39">
        <f t="shared" si="31"/>
        <v>0</v>
      </c>
      <c r="AN66" s="61">
        <f t="shared" si="31"/>
        <v>0</v>
      </c>
      <c r="AO66" s="39">
        <f t="shared" si="31"/>
        <v>0</v>
      </c>
      <c r="AP66" s="61">
        <f t="shared" si="31"/>
        <v>0</v>
      </c>
      <c r="AQ66" s="39">
        <f t="shared" si="31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0</v>
      </c>
      <c r="F70" s="64">
        <f>'TIE-OUT'!X70+RECLASS!X70</f>
        <v>0</v>
      </c>
      <c r="G70" s="68">
        <f>'TIE-OUT'!Y70+RECLASS!Y70</f>
        <v>0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  <c r="AL70" s="136">
        <f>+Actuals!AI113</f>
        <v>0</v>
      </c>
      <c r="AM70" s="137">
        <f>+Actuals!AJ113</f>
        <v>0</v>
      </c>
      <c r="AN70" s="136">
        <f>+Actuals!AK113</f>
        <v>0</v>
      </c>
      <c r="AO70" s="137">
        <f>+Actuals!AL113</f>
        <v>0</v>
      </c>
      <c r="AP70" s="136">
        <f>+Actuals!AM113</f>
        <v>0</v>
      </c>
      <c r="AQ70" s="137">
        <f>+Actuals!AN113</f>
        <v>0</v>
      </c>
      <c r="AR70" s="136">
        <f>+Actuals!AO113</f>
        <v>0</v>
      </c>
      <c r="AS70" s="137">
        <f>+Actuals!AP113</f>
        <v>0</v>
      </c>
      <c r="AT70" s="136">
        <f>+Actuals!AQ113</f>
        <v>0</v>
      </c>
      <c r="AU70" s="137">
        <f>+Actuals!AR113</f>
        <v>0</v>
      </c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  <c r="AL71" s="136">
        <f>+Actuals!AI114</f>
        <v>0</v>
      </c>
      <c r="AM71" s="137">
        <f>+Actuals!AJ114</f>
        <v>0</v>
      </c>
      <c r="AN71" s="136">
        <f>+Actuals!AK114</f>
        <v>0</v>
      </c>
      <c r="AO71" s="137">
        <f>+Actuals!AL114</f>
        <v>0</v>
      </c>
      <c r="AP71" s="136">
        <f>+Actuals!AM114</f>
        <v>0</v>
      </c>
      <c r="AQ71" s="137">
        <f>+Actuals!AN114</f>
        <v>0</v>
      </c>
      <c r="AR71" s="136">
        <f>+Actuals!AO114</f>
        <v>0</v>
      </c>
      <c r="AS71" s="137">
        <f>+Actuals!AP114</f>
        <v>0</v>
      </c>
      <c r="AT71" s="136">
        <f>+Actuals!AQ114</f>
        <v>0</v>
      </c>
      <c r="AU71" s="137">
        <f>+Actuals!AR114</f>
        <v>0</v>
      </c>
    </row>
    <row r="72" spans="1:47" x14ac:dyDescent="0.25">
      <c r="A72" s="9"/>
      <c r="B72" s="3"/>
      <c r="C72" s="55" t="s">
        <v>73</v>
      </c>
      <c r="D72" s="61">
        <f t="shared" ref="D72:AE72" si="32">SUM(D70:D71)</f>
        <v>0</v>
      </c>
      <c r="E72" s="39">
        <f t="shared" si="32"/>
        <v>0</v>
      </c>
      <c r="F72" s="61">
        <f t="shared" si="32"/>
        <v>0</v>
      </c>
      <c r="G72" s="39">
        <f t="shared" si="32"/>
        <v>0</v>
      </c>
      <c r="H72" s="61">
        <f t="shared" si="32"/>
        <v>0</v>
      </c>
      <c r="I72" s="39">
        <f t="shared" si="32"/>
        <v>0</v>
      </c>
      <c r="J72" s="61">
        <f t="shared" si="32"/>
        <v>0</v>
      </c>
      <c r="K72" s="154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 t="shared" ref="AF72:AK72" si="33">SUM(AF70:AF71)</f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 t="shared" si="33"/>
        <v>0</v>
      </c>
      <c r="AK72" s="39">
        <f t="shared" si="33"/>
        <v>0</v>
      </c>
      <c r="AL72" s="61">
        <f t="shared" ref="AL72:AQ72" si="34">SUM(AL70:AL71)</f>
        <v>0</v>
      </c>
      <c r="AM72" s="39">
        <f t="shared" si="34"/>
        <v>0</v>
      </c>
      <c r="AN72" s="61">
        <f t="shared" si="34"/>
        <v>0</v>
      </c>
      <c r="AO72" s="39">
        <f t="shared" si="34"/>
        <v>0</v>
      </c>
      <c r="AP72" s="61">
        <f t="shared" si="34"/>
        <v>0</v>
      </c>
      <c r="AQ72" s="39">
        <f t="shared" si="3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35">SUM(F73,H73,J73,L73,N73,P73,R73,T73,V73,X73,Z73,AB73,AD73,AF73,AH73,AJ73,AL73,AN73,AP73,AR73,AT73)</f>
        <v>0</v>
      </c>
      <c r="E73" s="38">
        <f t="shared" ref="E73:E81" si="36">SUM(G73,I73,K73,M73,O73,Q73,S73,U73,W73,Y73,AA73,AC73,AE73,AG73,AI73,AK73,AM73,AO73,AQ73,AS73,AU73)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  <c r="AL73" s="136">
        <f>+Actuals!AI115</f>
        <v>0</v>
      </c>
      <c r="AM73" s="137">
        <f>+Actuals!AJ115</f>
        <v>0</v>
      </c>
      <c r="AN73" s="136">
        <f>+Actuals!AK115</f>
        <v>0</v>
      </c>
      <c r="AO73" s="137">
        <f>+Actuals!AL115</f>
        <v>0</v>
      </c>
      <c r="AP73" s="136">
        <f>+Actuals!AM115</f>
        <v>0</v>
      </c>
      <c r="AQ73" s="137">
        <f>+Actuals!AN115</f>
        <v>0</v>
      </c>
      <c r="AR73" s="136">
        <f>+Actuals!AO115</f>
        <v>0</v>
      </c>
      <c r="AS73" s="137">
        <f>+Actuals!AP115</f>
        <v>0</v>
      </c>
      <c r="AT73" s="136">
        <f>+Actuals!AQ115</f>
        <v>0</v>
      </c>
      <c r="AU73" s="137">
        <f>+Actuals!AR115</f>
        <v>0</v>
      </c>
    </row>
    <row r="74" spans="1:47" x14ac:dyDescent="0.25">
      <c r="A74" s="9">
        <v>33</v>
      </c>
      <c r="B74" s="3"/>
      <c r="C74" s="10" t="s">
        <v>75</v>
      </c>
      <c r="D74" s="60">
        <f t="shared" si="35"/>
        <v>0</v>
      </c>
      <c r="E74" s="38">
        <f t="shared" si="36"/>
        <v>-113999</v>
      </c>
      <c r="F74" s="60">
        <f>'TIE-OUT'!X74+RECLASS!X74</f>
        <v>0</v>
      </c>
      <c r="G74" s="60">
        <f>'TIE-OUT'!Y74+RECLASS!Y74</f>
        <v>-113999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  <c r="AL74" s="136">
        <f>+Actuals!AI116</f>
        <v>0</v>
      </c>
      <c r="AM74" s="137">
        <f>+Actuals!AJ116</f>
        <v>0</v>
      </c>
      <c r="AN74" s="136">
        <f>+Actuals!AK116</f>
        <v>0</v>
      </c>
      <c r="AO74" s="137">
        <f>+Actuals!AL116</f>
        <v>0</v>
      </c>
      <c r="AP74" s="136">
        <f>+Actuals!AM116</f>
        <v>0</v>
      </c>
      <c r="AQ74" s="137">
        <f>+Actuals!AN116</f>
        <v>0</v>
      </c>
      <c r="AR74" s="136">
        <f>+Actuals!AO116</f>
        <v>0</v>
      </c>
      <c r="AS74" s="137">
        <f>+Actuals!AP116</f>
        <v>0</v>
      </c>
      <c r="AT74" s="136">
        <f>+Actuals!AQ116</f>
        <v>0</v>
      </c>
      <c r="AU74" s="137">
        <f>+Actuals!AR116</f>
        <v>0</v>
      </c>
    </row>
    <row r="75" spans="1:47" x14ac:dyDescent="0.25">
      <c r="A75" s="9">
        <v>34</v>
      </c>
      <c r="B75" s="3"/>
      <c r="C75" s="10" t="s">
        <v>76</v>
      </c>
      <c r="D75" s="60">
        <f t="shared" si="35"/>
        <v>0</v>
      </c>
      <c r="E75" s="38">
        <f t="shared" si="36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  <c r="AL75" s="136">
        <f>+Actuals!AI117</f>
        <v>0</v>
      </c>
      <c r="AM75" s="137">
        <f>+Actuals!AJ117</f>
        <v>0</v>
      </c>
      <c r="AN75" s="136">
        <f>+Actuals!AK117</f>
        <v>0</v>
      </c>
      <c r="AO75" s="137">
        <f>+Actuals!AL117</f>
        <v>0</v>
      </c>
      <c r="AP75" s="136">
        <f>+Actuals!AM117</f>
        <v>0</v>
      </c>
      <c r="AQ75" s="137">
        <f>+Actuals!AN117</f>
        <v>0</v>
      </c>
      <c r="AR75" s="136">
        <f>+Actuals!AO117</f>
        <v>0</v>
      </c>
      <c r="AS75" s="137">
        <f>+Actuals!AP117</f>
        <v>0</v>
      </c>
      <c r="AT75" s="136">
        <f>+Actuals!AQ117</f>
        <v>0</v>
      </c>
      <c r="AU75" s="137">
        <f>+Actuals!AR117</f>
        <v>0</v>
      </c>
    </row>
    <row r="76" spans="1:47" x14ac:dyDescent="0.25">
      <c r="A76" s="9">
        <v>35</v>
      </c>
      <c r="B76" s="3"/>
      <c r="C76" s="10" t="s">
        <v>77</v>
      </c>
      <c r="D76" s="60">
        <f t="shared" si="35"/>
        <v>0</v>
      </c>
      <c r="E76" s="38">
        <f t="shared" si="36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  <c r="AL76" s="136">
        <f>+Actuals!AI118</f>
        <v>0</v>
      </c>
      <c r="AM76" s="137">
        <f>+Actuals!AJ118</f>
        <v>0</v>
      </c>
      <c r="AN76" s="136">
        <f>+Actuals!AK118</f>
        <v>0</v>
      </c>
      <c r="AO76" s="137">
        <f>+Actuals!AL118</f>
        <v>0</v>
      </c>
      <c r="AP76" s="136">
        <f>+Actuals!AM118</f>
        <v>0</v>
      </c>
      <c r="AQ76" s="137">
        <f>+Actuals!AN118</f>
        <v>0</v>
      </c>
      <c r="AR76" s="136">
        <f>+Actuals!AO118</f>
        <v>0</v>
      </c>
      <c r="AS76" s="137">
        <f>+Actuals!AP118</f>
        <v>0</v>
      </c>
      <c r="AT76" s="136">
        <f>+Actuals!AQ118</f>
        <v>0</v>
      </c>
      <c r="AU76" s="137">
        <f>+Actuals!AR118</f>
        <v>0</v>
      </c>
    </row>
    <row r="77" spans="1:47" x14ac:dyDescent="0.25">
      <c r="A77" s="9">
        <v>36</v>
      </c>
      <c r="B77" s="3"/>
      <c r="C77" s="10" t="s">
        <v>78</v>
      </c>
      <c r="D77" s="60">
        <f t="shared" si="35"/>
        <v>0</v>
      </c>
      <c r="E77" s="38">
        <f t="shared" si="36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  <c r="AL77" s="136">
        <f>+Actuals!AI119</f>
        <v>0</v>
      </c>
      <c r="AM77" s="137">
        <f>+Actuals!AJ119</f>
        <v>0</v>
      </c>
      <c r="AN77" s="136">
        <f>+Actuals!AK119</f>
        <v>0</v>
      </c>
      <c r="AO77" s="137">
        <f>+Actuals!AL119</f>
        <v>0</v>
      </c>
      <c r="AP77" s="136">
        <f>+Actuals!AM119</f>
        <v>0</v>
      </c>
      <c r="AQ77" s="137">
        <f>+Actuals!AN119</f>
        <v>0</v>
      </c>
      <c r="AR77" s="136">
        <f>+Actuals!AO119</f>
        <v>0</v>
      </c>
      <c r="AS77" s="137">
        <f>+Actuals!AP119</f>
        <v>0</v>
      </c>
      <c r="AT77" s="136">
        <f>+Actuals!AQ119</f>
        <v>0</v>
      </c>
      <c r="AU77" s="137">
        <f>+Actuals!AR119</f>
        <v>0</v>
      </c>
    </row>
    <row r="78" spans="1:47" x14ac:dyDescent="0.25">
      <c r="A78" s="9">
        <v>37</v>
      </c>
      <c r="B78" s="3"/>
      <c r="C78" s="10" t="s">
        <v>79</v>
      </c>
      <c r="D78" s="60">
        <f t="shared" si="35"/>
        <v>0</v>
      </c>
      <c r="E78" s="38">
        <f t="shared" si="36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  <c r="AL78" s="136">
        <f>+Actuals!AI120</f>
        <v>0</v>
      </c>
      <c r="AM78" s="137">
        <f>+Actuals!AJ120</f>
        <v>0</v>
      </c>
      <c r="AN78" s="136">
        <f>+Actuals!AK120</f>
        <v>0</v>
      </c>
      <c r="AO78" s="137">
        <f>+Actuals!AL120</f>
        <v>0</v>
      </c>
      <c r="AP78" s="136">
        <f>+Actuals!AM120</f>
        <v>0</v>
      </c>
      <c r="AQ78" s="137">
        <f>+Actuals!AN120</f>
        <v>0</v>
      </c>
      <c r="AR78" s="136">
        <f>+Actuals!AO120</f>
        <v>0</v>
      </c>
      <c r="AS78" s="137">
        <f>+Actuals!AP120</f>
        <v>0</v>
      </c>
      <c r="AT78" s="136">
        <f>+Actuals!AQ120</f>
        <v>0</v>
      </c>
      <c r="AU78" s="137">
        <f>+Actuals!AR120</f>
        <v>0</v>
      </c>
    </row>
    <row r="79" spans="1:47" x14ac:dyDescent="0.25">
      <c r="A79" s="9">
        <v>38</v>
      </c>
      <c r="B79" s="3"/>
      <c r="C79" s="10" t="s">
        <v>80</v>
      </c>
      <c r="D79" s="60">
        <f t="shared" si="35"/>
        <v>0</v>
      </c>
      <c r="E79" s="38">
        <f t="shared" si="36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  <c r="AL79" s="136">
        <f>+Actuals!AI121</f>
        <v>0</v>
      </c>
      <c r="AM79" s="137">
        <f>+Actuals!AJ121</f>
        <v>0</v>
      </c>
      <c r="AN79" s="136">
        <f>+Actuals!AK121</f>
        <v>0</v>
      </c>
      <c r="AO79" s="137">
        <f>+Actuals!AL121</f>
        <v>0</v>
      </c>
      <c r="AP79" s="136">
        <f>+Actuals!AM121</f>
        <v>0</v>
      </c>
      <c r="AQ79" s="137">
        <f>+Actuals!AN121</f>
        <v>0</v>
      </c>
      <c r="AR79" s="136">
        <f>+Actuals!AO121</f>
        <v>0</v>
      </c>
      <c r="AS79" s="137">
        <f>+Actuals!AP121</f>
        <v>0</v>
      </c>
      <c r="AT79" s="136">
        <f>+Actuals!AQ121</f>
        <v>0</v>
      </c>
      <c r="AU79" s="137">
        <f>+Actuals!AR121</f>
        <v>0</v>
      </c>
    </row>
    <row r="80" spans="1:47" x14ac:dyDescent="0.25">
      <c r="A80" s="9">
        <v>39</v>
      </c>
      <c r="B80" s="3"/>
      <c r="C80" s="10" t="s">
        <v>81</v>
      </c>
      <c r="D80" s="60">
        <f t="shared" si="35"/>
        <v>0</v>
      </c>
      <c r="E80" s="38">
        <f t="shared" si="36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  <c r="AL80" s="136">
        <f>+Actuals!AI122</f>
        <v>0</v>
      </c>
      <c r="AM80" s="137">
        <f>+Actuals!AJ122</f>
        <v>0</v>
      </c>
      <c r="AN80" s="136">
        <f>+Actuals!AK122</f>
        <v>0</v>
      </c>
      <c r="AO80" s="137">
        <f>+Actuals!AL122</f>
        <v>0</v>
      </c>
      <c r="AP80" s="136">
        <f>+Actuals!AM122</f>
        <v>0</v>
      </c>
      <c r="AQ80" s="137">
        <f>+Actuals!AN122</f>
        <v>0</v>
      </c>
      <c r="AR80" s="136">
        <f>+Actuals!AO122</f>
        <v>0</v>
      </c>
      <c r="AS80" s="137">
        <f>+Actuals!AP122</f>
        <v>0</v>
      </c>
      <c r="AT80" s="136">
        <f>+Actuals!AQ122</f>
        <v>0</v>
      </c>
      <c r="AU80" s="137">
        <f>+Actuals!AR122</f>
        <v>0</v>
      </c>
    </row>
    <row r="81" spans="1:47" x14ac:dyDescent="0.25">
      <c r="A81" s="9">
        <v>40</v>
      </c>
      <c r="B81" s="3"/>
      <c r="C81" s="10" t="s">
        <v>82</v>
      </c>
      <c r="D81" s="60">
        <f t="shared" si="35"/>
        <v>0</v>
      </c>
      <c r="E81" s="38">
        <f t="shared" si="36"/>
        <v>0</v>
      </c>
      <c r="F81" s="60">
        <f>'TIE-OUT'!X81+RECLASS!X81</f>
        <v>0</v>
      </c>
      <c r="G81" s="60">
        <f>'TIE-OUT'!Y81+RECLASS!Y81</f>
        <v>0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  <c r="AL81" s="136">
        <f>+Actuals!AI123</f>
        <v>0</v>
      </c>
      <c r="AM81" s="137">
        <f>+Actuals!AJ123</f>
        <v>0</v>
      </c>
      <c r="AN81" s="136">
        <f>+Actuals!AK123</f>
        <v>0</v>
      </c>
      <c r="AO81" s="137">
        <f>+Actuals!AL123</f>
        <v>0</v>
      </c>
      <c r="AP81" s="136">
        <f>+Actuals!AM123</f>
        <v>0</v>
      </c>
      <c r="AQ81" s="137">
        <f>+Actuals!AN123</f>
        <v>0</v>
      </c>
      <c r="AR81" s="136">
        <f>+Actuals!AO123</f>
        <v>0</v>
      </c>
      <c r="AS81" s="137">
        <f>+Actuals!AP123</f>
        <v>0</v>
      </c>
      <c r="AT81" s="136">
        <f>+Actuals!AQ123</f>
        <v>0</v>
      </c>
      <c r="AU81" s="137">
        <f>+Actuals!AR123</f>
        <v>0</v>
      </c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668990.5100000042</v>
      </c>
      <c r="F82" s="92">
        <f>F16+F24+F29+F36+F43+F45+F47+F49</f>
        <v>0</v>
      </c>
      <c r="G82" s="93">
        <f>SUM(G72:G81)+G16+G24+G29+G36+G43+G45+G47+G49+G51+G56+G61+G66</f>
        <v>-113999</v>
      </c>
      <c r="H82" s="92">
        <f>H16+H24+H29+H36+H43+H45+H47+H49</f>
        <v>0</v>
      </c>
      <c r="I82" s="93">
        <f>SUM(I72:I81)+I16+I24+I29+I36+I43+I45+I47+I49+I51+I56+I61+I66</f>
        <v>-685696.14999999874</v>
      </c>
      <c r="J82" s="92">
        <f>J16+J24+J29+J36+J43+J45+J47+J49</f>
        <v>0</v>
      </c>
      <c r="K82" s="166">
        <f>SUM(K72:K81)+K16+K24+K29+K36+K43+K45+K47+K49+K51+K56+K61+K66</f>
        <v>3660377.88</v>
      </c>
      <c r="L82" s="92">
        <f>L16+L24+L29+L36+L43+L45+L47+L49</f>
        <v>0</v>
      </c>
      <c r="M82" s="93">
        <f>SUM(M72:M81)+M16+M24+M29+M36+M43+M45+M47+M49+M51+M56+M61+M66</f>
        <v>-3571070.7080000006</v>
      </c>
      <c r="N82" s="92">
        <f>N16+N24+N29+N36+N43+N45+N47+N49</f>
        <v>0</v>
      </c>
      <c r="O82" s="93">
        <f>SUM(O72:O81)+O16+O24+O29+O36+O43+O45+O47+O49+O51+O56+O61+O66</f>
        <v>3622052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-2242673.5120000001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U187"/>
  <sheetViews>
    <sheetView zoomScale="75" workbookViewId="0">
      <pane xSplit="3" ySplit="9" topLeftCell="AC10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20833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>
        <v>20833</v>
      </c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  <c r="AT11" s="60"/>
      <c r="AU11" s="38"/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66215</v>
      </c>
      <c r="F12" s="60">
        <f>'TIE-OUT'!T12+RECLASS!T12</f>
        <v>0</v>
      </c>
      <c r="G12" s="38">
        <f>'TIE-OUT'!U12+RECLASS!U12</f>
        <v>66215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>
        <v>0</v>
      </c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  <c r="AT12" s="60"/>
      <c r="AU12" s="38"/>
    </row>
    <row r="13" spans="1:47" x14ac:dyDescent="0.25">
      <c r="A13" s="9">
        <v>3</v>
      </c>
      <c r="B13" s="7"/>
      <c r="C13" s="18" t="s">
        <v>207</v>
      </c>
      <c r="D13" s="60">
        <f t="shared" si="0"/>
        <v>0</v>
      </c>
      <c r="E13" s="38">
        <f t="shared" si="0"/>
        <v>-6025953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>
        <v>-6014660</v>
      </c>
      <c r="Z13" s="60"/>
      <c r="AA13" s="38"/>
      <c r="AB13" s="60"/>
      <c r="AC13" s="38"/>
      <c r="AD13" s="60"/>
      <c r="AE13" s="38">
        <v>-11296</v>
      </c>
      <c r="AF13" s="60"/>
      <c r="AG13" s="38"/>
      <c r="AH13" s="60"/>
      <c r="AI13" s="38">
        <v>3</v>
      </c>
      <c r="AJ13" s="60"/>
      <c r="AK13" s="38"/>
      <c r="AL13" s="60"/>
      <c r="AM13" s="38"/>
      <c r="AN13" s="60"/>
      <c r="AO13" s="38"/>
      <c r="AP13" s="60"/>
      <c r="AQ13" s="38"/>
      <c r="AR13" s="60"/>
      <c r="AS13" s="38"/>
      <c r="AT13" s="60"/>
      <c r="AU13" s="38"/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  <c r="AT14" s="60"/>
      <c r="AU14" s="38"/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  <c r="AT15" s="60"/>
      <c r="AU15" s="38"/>
    </row>
    <row r="16" spans="1:47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-5938905</v>
      </c>
      <c r="F16" s="61">
        <f t="shared" ref="F16:AD16" si="1">SUM(F11:F15)</f>
        <v>0</v>
      </c>
      <c r="G16" s="39">
        <f t="shared" si="1"/>
        <v>66215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20833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-6014660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-11296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3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0</v>
      </c>
      <c r="E19" s="38">
        <f t="shared" si="5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  <c r="AT19" s="60"/>
      <c r="AU19" s="38"/>
    </row>
    <row r="20" spans="1:47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  <c r="AT20" s="60"/>
      <c r="AU20" s="38"/>
    </row>
    <row r="21" spans="1:47" x14ac:dyDescent="0.25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  <c r="AT21" s="60"/>
      <c r="AU21" s="38"/>
    </row>
    <row r="22" spans="1:47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  <c r="AT22" s="60"/>
      <c r="AU22" s="38"/>
    </row>
    <row r="23" spans="1:47" x14ac:dyDescent="0.25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  <c r="AT23" s="60"/>
      <c r="AU23" s="38"/>
    </row>
    <row r="24" spans="1:47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E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si="6"/>
        <v>0</v>
      </c>
      <c r="AE24" s="39">
        <f t="shared" si="7"/>
        <v>0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  <c r="AT27" s="60"/>
      <c r="AU27" s="38"/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  <c r="AT28" s="60"/>
      <c r="AU28" s="38"/>
    </row>
    <row r="29" spans="1:47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E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0</v>
      </c>
      <c r="E32" s="38">
        <f t="shared" si="14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  <c r="AT32" s="60"/>
      <c r="AU32" s="38"/>
    </row>
    <row r="33" spans="1:47" x14ac:dyDescent="0.25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  <c r="AT33" s="60"/>
      <c r="AU33" s="38"/>
    </row>
    <row r="34" spans="1:47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  <c r="AT34" s="60"/>
      <c r="AU34" s="38"/>
    </row>
    <row r="35" spans="1:47" x14ac:dyDescent="0.25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  <c r="AT35" s="60"/>
      <c r="AU35" s="38"/>
    </row>
    <row r="36" spans="1:47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E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si="15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0</v>
      </c>
      <c r="E39" s="38">
        <f t="shared" si="19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  <c r="AT39" s="60"/>
      <c r="AU39" s="38"/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  <c r="AT40" s="60"/>
      <c r="AU40" s="38"/>
    </row>
    <row r="41" spans="1:47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-117344</v>
      </c>
      <c r="F41" s="81">
        <f>'TIE-OUT'!T41+RECLASS!T41</f>
        <v>0</v>
      </c>
      <c r="G41" s="82">
        <f>'TIE-OUT'!U41+RECLASS!U41</f>
        <v>-117344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  <c r="AT41" s="60"/>
      <c r="AU41" s="38"/>
    </row>
    <row r="42" spans="1:47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-117344</v>
      </c>
      <c r="F42" s="61">
        <f t="shared" ref="F42:AD42" si="20">SUM(F40:F41)</f>
        <v>0</v>
      </c>
      <c r="G42" s="39">
        <f t="shared" si="20"/>
        <v>-117344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-117344</v>
      </c>
      <c r="F43" s="61">
        <f t="shared" ref="F43:AD43" si="24">F42+F39</f>
        <v>0</v>
      </c>
      <c r="G43" s="39">
        <f t="shared" si="24"/>
        <v>-117344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E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si="24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  <c r="AT45" s="60"/>
      <c r="AU45" s="38"/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  <c r="AT47" s="60"/>
      <c r="AU47" s="38"/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0</v>
      </c>
      <c r="E49" s="38">
        <f t="shared" si="28"/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  <c r="AT49" s="60">
        <v>0</v>
      </c>
      <c r="AU49" s="38">
        <v>0</v>
      </c>
    </row>
    <row r="50" spans="1:47" x14ac:dyDescent="0.25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8"/>
        <v>0</v>
      </c>
      <c r="E51" s="38">
        <f t="shared" si="28"/>
        <v>-105777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-22627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-83150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  <c r="AT51" s="60">
        <v>0</v>
      </c>
      <c r="AU51" s="38"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  <c r="AT54" s="60"/>
      <c r="AU54" s="38"/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>
        <v>635000</v>
      </c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172">
        <v>-635000</v>
      </c>
      <c r="AF55" s="60"/>
      <c r="AG55" s="172"/>
      <c r="AH55" s="60"/>
      <c r="AI55" s="172"/>
      <c r="AJ55" s="60"/>
      <c r="AK55" s="172"/>
      <c r="AL55" s="60"/>
      <c r="AM55" s="172"/>
      <c r="AN55" s="60"/>
      <c r="AO55" s="172"/>
      <c r="AP55" s="60"/>
      <c r="AQ55" s="172"/>
      <c r="AR55" s="60"/>
      <c r="AS55" s="172"/>
      <c r="AT55" s="60"/>
      <c r="AU55" s="172"/>
    </row>
    <row r="56" spans="1:47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635000</v>
      </c>
      <c r="T56" s="61">
        <f t="shared" si="29"/>
        <v>0</v>
      </c>
      <c r="U56" s="39">
        <f t="shared" ref="U56:AE56" si="30">SUM(U54:U55)</f>
        <v>0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si="29"/>
        <v>0</v>
      </c>
      <c r="AE56" s="39">
        <f t="shared" si="30"/>
        <v>-635000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  <c r="AT59" s="60"/>
      <c r="AU59" s="38"/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202828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172">
        <f>111833-19005</f>
        <v>92828</v>
      </c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>
        <v>110000</v>
      </c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  <c r="AT60" s="60"/>
      <c r="AU60" s="38"/>
    </row>
    <row r="61" spans="1:4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202828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92828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110000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D66" si="37">SUM(F64:F65)</f>
        <v>0</v>
      </c>
      <c r="G66" s="39">
        <f t="shared" si="37"/>
        <v>289617</v>
      </c>
      <c r="H66" s="61">
        <f t="shared" si="37"/>
        <v>0</v>
      </c>
      <c r="I66" s="39">
        <f t="shared" si="37"/>
        <v>0</v>
      </c>
      <c r="J66" s="61">
        <f t="shared" si="37"/>
        <v>0</v>
      </c>
      <c r="K66" s="154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ref="U66:AE66" si="38">SUM(U64:U65)</f>
        <v>0</v>
      </c>
      <c r="V66" s="61">
        <f t="shared" si="37"/>
        <v>0</v>
      </c>
      <c r="W66" s="39">
        <f t="shared" si="38"/>
        <v>0</v>
      </c>
      <c r="X66" s="61">
        <f t="shared" si="37"/>
        <v>0</v>
      </c>
      <c r="Y66" s="39">
        <f t="shared" si="38"/>
        <v>0</v>
      </c>
      <c r="Z66" s="61">
        <f t="shared" si="37"/>
        <v>0</v>
      </c>
      <c r="AA66" s="39">
        <f t="shared" si="38"/>
        <v>0</v>
      </c>
      <c r="AB66" s="61">
        <f t="shared" si="37"/>
        <v>0</v>
      </c>
      <c r="AC66" s="39">
        <f t="shared" si="38"/>
        <v>0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37841</v>
      </c>
      <c r="F70" s="64">
        <f>'TIE-OUT'!T70+RECLASS!T70</f>
        <v>0</v>
      </c>
      <c r="G70" s="68">
        <f>'TIE-OUT'!U70+RECLASS!U70</f>
        <v>37841</v>
      </c>
      <c r="H70" s="60"/>
      <c r="I70" s="38"/>
      <c r="J70" s="60"/>
      <c r="K70" s="153"/>
      <c r="L70" s="60"/>
      <c r="M70" s="38">
        <v>6921606</v>
      </c>
      <c r="N70" s="60"/>
      <c r="O70" s="38">
        <v>-12923089</v>
      </c>
      <c r="P70" s="60"/>
      <c r="Q70" s="38"/>
      <c r="R70" s="60"/>
      <c r="S70" s="38"/>
      <c r="T70" s="60"/>
      <c r="U70" s="38"/>
      <c r="V70" s="60"/>
      <c r="W70" s="38"/>
      <c r="X70" s="60"/>
      <c r="Y70" s="38">
        <f>-13177+6014660</f>
        <v>6001483</v>
      </c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  <c r="AT70" s="60"/>
      <c r="AU70" s="38"/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  <c r="AT71" s="60"/>
      <c r="AU71" s="38"/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37841</v>
      </c>
      <c r="F72" s="61">
        <f t="shared" ref="F72:AD72" si="41">SUM(F70:F71)</f>
        <v>0</v>
      </c>
      <c r="G72" s="39">
        <f t="shared" si="41"/>
        <v>37841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154">
        <f t="shared" si="41"/>
        <v>0</v>
      </c>
      <c r="L72" s="61">
        <f t="shared" si="41"/>
        <v>0</v>
      </c>
      <c r="M72" s="39">
        <f t="shared" si="41"/>
        <v>6921606</v>
      </c>
      <c r="N72" s="61">
        <f t="shared" si="41"/>
        <v>0</v>
      </c>
      <c r="O72" s="39">
        <f t="shared" si="41"/>
        <v>-12923089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6001483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  <c r="AT73" s="60"/>
      <c r="AU73" s="38"/>
    </row>
    <row r="74" spans="1:47" x14ac:dyDescent="0.25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7418139.6600000001</v>
      </c>
      <c r="F74" s="60">
        <f>'TIE-OUT'!T74+RECLASS!T74</f>
        <v>0</v>
      </c>
      <c r="G74" s="60">
        <f>'TIE-OUT'!U74+RECLASS!U74</f>
        <v>7418139.6600000001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  <c r="AT74" s="60"/>
      <c r="AU74" s="38"/>
    </row>
    <row r="75" spans="1:47" x14ac:dyDescent="0.25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  <c r="AT75" s="60"/>
      <c r="AU75" s="38"/>
    </row>
    <row r="76" spans="1:47" x14ac:dyDescent="0.25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0</v>
      </c>
      <c r="F76" s="60">
        <f>'TIE-OUT'!T76+RECLASS!T76</f>
        <v>0</v>
      </c>
      <c r="G76" s="60">
        <f>'TIE-OUT'!U76+RECLASS!U76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  <c r="AT76" s="60"/>
      <c r="AU76" s="38"/>
    </row>
    <row r="77" spans="1:47" x14ac:dyDescent="0.25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-213583</v>
      </c>
      <c r="F77" s="60">
        <f>'TIE-OUT'!T77+RECLASS!T77</f>
        <v>0</v>
      </c>
      <c r="G77" s="60">
        <f>'TIE-OUT'!U77+RECLASS!U77</f>
        <v>-657000</v>
      </c>
      <c r="H77" s="60"/>
      <c r="I77" s="38"/>
      <c r="J77" s="60"/>
      <c r="K77" s="153"/>
      <c r="L77" s="60"/>
      <c r="M77" s="38"/>
      <c r="N77" s="60"/>
      <c r="O77" s="38">
        <f>-376583+820000</f>
        <v>443417</v>
      </c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  <c r="AT77" s="60"/>
      <c r="AU77" s="38"/>
    </row>
    <row r="78" spans="1:47" x14ac:dyDescent="0.25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  <c r="AT78" s="60"/>
      <c r="AU78" s="38"/>
    </row>
    <row r="79" spans="1:47" x14ac:dyDescent="0.25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  <c r="AT79" s="60"/>
      <c r="AU79" s="38"/>
    </row>
    <row r="80" spans="1:47" x14ac:dyDescent="0.25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  <c r="AT80" s="60"/>
      <c r="AU80" s="38"/>
    </row>
    <row r="81" spans="1:47" x14ac:dyDescent="0.25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-92704</v>
      </c>
      <c r="F81" s="60">
        <f>'TIE-OUT'!T81+RECLASS!T81</f>
        <v>0</v>
      </c>
      <c r="G81" s="60">
        <f>'TIE-OUT'!U81+RECLASS!U81</f>
        <v>0</v>
      </c>
      <c r="H81" s="60"/>
      <c r="I81" s="38"/>
      <c r="J81" s="60"/>
      <c r="K81" s="153"/>
      <c r="L81" s="60"/>
      <c r="M81" s="38"/>
      <c r="N81" s="60"/>
      <c r="O81" s="38">
        <v>-125739</v>
      </c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>
        <f>35744-2709</f>
        <v>33035</v>
      </c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  <c r="AT81" s="60"/>
      <c r="AU81" s="38"/>
    </row>
    <row r="82" spans="1:4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1480112.6600000001</v>
      </c>
      <c r="F82" s="92">
        <f>F16+F24+F29+F36+F43+F45+F47+F49</f>
        <v>0</v>
      </c>
      <c r="G82" s="93">
        <f>SUM(G72:G81)+G16+G24+G29+G36+G43+G45+G47+G49+G51+G56+G61+G66</f>
        <v>7037468.6600000001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6921606</v>
      </c>
      <c r="N82" s="92">
        <f>N16+N24+N29+N36+N43+N45+N47+N49</f>
        <v>0</v>
      </c>
      <c r="O82" s="93">
        <f>SUM(O72:O81)+O16+O24+O29+O36+O43+O45+O47+O49+O51+O56+O61+O66</f>
        <v>-12535210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655833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-13177</v>
      </c>
      <c r="Z82" s="92">
        <f>Z16+Z24+Z29+Z36+Z43+Z45+Z47+Z49</f>
        <v>0</v>
      </c>
      <c r="AA82" s="93">
        <f>SUM(AA72:AA81)+AA16+AA24+AA29+AA36+AA43+AA45+AA47+AA49+AA51+AA56+AA61+AA66</f>
        <v>-50115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-536296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3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47" ht="13.8" thickTop="1" x14ac:dyDescent="0.25">
      <c r="A83" s="4"/>
      <c r="B83" s="3"/>
    </row>
    <row r="84" spans="1:47" x14ac:dyDescent="0.25">
      <c r="A84" s="4"/>
      <c r="B84" s="3"/>
      <c r="E84" s="31">
        <f>+E72+E12-G12</f>
        <v>37841</v>
      </c>
    </row>
    <row r="85" spans="1:47" x14ac:dyDescent="0.25">
      <c r="A85" s="4"/>
      <c r="B85" s="3"/>
    </row>
    <row r="86" spans="1:47" x14ac:dyDescent="0.25">
      <c r="A86" s="4"/>
      <c r="B86" s="3"/>
    </row>
    <row r="87" spans="1:47" x14ac:dyDescent="0.25">
      <c r="A87" s="4"/>
      <c r="B87" s="3"/>
    </row>
    <row r="88" spans="1:47" x14ac:dyDescent="0.25">
      <c r="A88" s="4"/>
      <c r="B88" s="3"/>
    </row>
    <row r="89" spans="1:47" x14ac:dyDescent="0.25">
      <c r="A89" s="4"/>
      <c r="B89" s="3"/>
    </row>
    <row r="90" spans="1:47" x14ac:dyDescent="0.25">
      <c r="A90" s="4"/>
      <c r="B90" s="3"/>
    </row>
    <row r="91" spans="1:47" x14ac:dyDescent="0.25">
      <c r="A91" s="4"/>
      <c r="B91" s="3"/>
    </row>
    <row r="92" spans="1:47" x14ac:dyDescent="0.25">
      <c r="A92" s="4"/>
      <c r="B92" s="3"/>
    </row>
    <row r="93" spans="1:47" x14ac:dyDescent="0.25">
      <c r="A93" s="4"/>
      <c r="B93" s="3"/>
    </row>
    <row r="94" spans="1:47" x14ac:dyDescent="0.25">
      <c r="A94" s="4"/>
      <c r="B94" s="3"/>
    </row>
    <row r="95" spans="1:47" x14ac:dyDescent="0.25">
      <c r="A95" s="4"/>
      <c r="B95" s="3"/>
    </row>
    <row r="96" spans="1:4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CA187"/>
  <sheetViews>
    <sheetView zoomScale="75" workbookViewId="0">
      <pane xSplit="3" ySplit="9" topLeftCell="S71" activePane="bottomRight" state="frozen"/>
      <selection activeCell="AO644" sqref="AO644"/>
      <selection pane="topRight" activeCell="AO644" sqref="AO644"/>
      <selection pane="bottomLeft" activeCell="AO644" sqref="AO644"/>
      <selection pane="bottomRight" activeCell="AO644" sqref="AO64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7" width="15.44140625" customWidth="1"/>
  </cols>
  <sheetData>
    <row r="1" spans="1:47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5" t="s">
        <v>183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</row>
    <row r="4" spans="1:47" x14ac:dyDescent="0.25">
      <c r="A4" s="5" t="s">
        <v>183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/>
      <c r="B7" s="19"/>
      <c r="C7" s="19"/>
    </row>
    <row r="8" spans="1:47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February</v>
      </c>
      <c r="I8" s="27"/>
      <c r="J8" s="26" t="str">
        <f>CE_GL!J8</f>
        <v>March</v>
      </c>
      <c r="K8" s="150"/>
      <c r="L8" s="26" t="str">
        <f>CE_GL!L8</f>
        <v>April</v>
      </c>
      <c r="M8" s="27"/>
      <c r="N8" s="26" t="str">
        <f>CE_GL!N8</f>
        <v>May</v>
      </c>
      <c r="O8" s="27"/>
      <c r="P8" s="26" t="str">
        <f>CE_GL!P8</f>
        <v>June</v>
      </c>
      <c r="Q8" s="27"/>
      <c r="R8" s="26" t="str">
        <f>CE_GL!R8</f>
        <v>July</v>
      </c>
      <c r="S8" s="27"/>
      <c r="T8" s="26" t="str">
        <f>CE_GL!T8</f>
        <v>August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206</v>
      </c>
      <c r="AC8" s="27"/>
      <c r="AD8" s="26" t="s">
        <v>208</v>
      </c>
      <c r="AE8" s="27"/>
      <c r="AF8" s="26" t="s">
        <v>179</v>
      </c>
      <c r="AG8" s="27"/>
      <c r="AH8" s="26" t="s">
        <v>184</v>
      </c>
      <c r="AI8" s="27"/>
      <c r="AJ8" s="26" t="s">
        <v>186</v>
      </c>
      <c r="AK8" s="27"/>
      <c r="AL8" s="26" t="s">
        <v>187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  <c r="AT8" s="26" t="s">
        <v>203</v>
      </c>
      <c r="AU8" s="27"/>
    </row>
    <row r="9" spans="1:47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  <c r="AT9" s="30" t="s">
        <v>26</v>
      </c>
      <c r="AU9" s="29" t="s">
        <v>27</v>
      </c>
    </row>
    <row r="10" spans="1:47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</row>
    <row r="11" spans="1:47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SUM(F11,H11,J11,L11,N11,P11,R11,T11,V11,X11,Z11,AB11,AD11,AF11,AH11,AJ11,AL11,AN11,AP11,AR11,AT11)</f>
        <v>0</v>
      </c>
      <c r="E11" s="38">
        <f t="shared" si="0"/>
        <v>0</v>
      </c>
      <c r="F11" s="60">
        <f>'TIE-OUT'!V11+RECLASS!V11</f>
        <v>0</v>
      </c>
      <c r="G11" s="38">
        <f>'TIE-OUT'!W11+RECLASS!W11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  <c r="AT11" s="60"/>
      <c r="AU11" s="38"/>
    </row>
    <row r="12" spans="1:47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'TIE-OUT'!V12+RECLASS!V12</f>
        <v>0</v>
      </c>
      <c r="G12" s="38">
        <f>'TIE-OUT'!W12+RECLASS!W12</f>
        <v>0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  <c r="AT12" s="60"/>
      <c r="AU12" s="38"/>
    </row>
    <row r="13" spans="1:47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'TIE-OUT'!V13+RECLASS!V13</f>
        <v>0</v>
      </c>
      <c r="G13" s="38">
        <f>'TIE-OUT'!W13+RECLASS!W13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  <c r="AT13" s="60"/>
      <c r="AU13" s="38"/>
    </row>
    <row r="14" spans="1:47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  <c r="AT14" s="60"/>
      <c r="AU14" s="38"/>
    </row>
    <row r="15" spans="1:47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  <c r="AT15" s="60"/>
      <c r="AU15" s="38"/>
    </row>
    <row r="16" spans="1:47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AD16" si="1">SUM(F11:F15)</f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E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si="1"/>
        <v>0</v>
      </c>
      <c r="AE16" s="39">
        <f t="shared" si="2"/>
        <v>0</v>
      </c>
      <c r="AF16" s="61">
        <f t="shared" ref="AF16:AK16" si="3">SUM(AF11:AF15)</f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si="3"/>
        <v>0</v>
      </c>
      <c r="AK16" s="39">
        <f t="shared" si="3"/>
        <v>0</v>
      </c>
      <c r="AL16" s="61">
        <f t="shared" ref="AL16:AQ16" si="4">SUM(AL11:AL15)</f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 t="shared" si="4"/>
        <v>0</v>
      </c>
      <c r="AQ16" s="39">
        <f t="shared" si="4"/>
        <v>0</v>
      </c>
      <c r="AR16" s="61">
        <f>SUM(AR11:AR15)</f>
        <v>0</v>
      </c>
      <c r="AS16" s="39">
        <f>SUM(AS11:AS15)</f>
        <v>0</v>
      </c>
      <c r="AT16" s="61">
        <f>SUM(AT11:AT15)</f>
        <v>0</v>
      </c>
      <c r="AU16" s="39">
        <f>SUM(AU11:AU15)</f>
        <v>0</v>
      </c>
    </row>
    <row r="17" spans="1:47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  <c r="AT17" s="60"/>
      <c r="AU17" s="38"/>
    </row>
    <row r="18" spans="1:47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  <c r="AT18" s="60"/>
      <c r="AU18" s="38"/>
    </row>
    <row r="19" spans="1:47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SUM(F19,H19,J19,L19,N19,P19,R19,T19,V19,X19,Z19,AB19,AD19,AF19,AH19,AJ19,AL19,AN19,AP19,AR19,AT19)</f>
        <v>0</v>
      </c>
      <c r="E19" s="38">
        <f t="shared" si="5"/>
        <v>0</v>
      </c>
      <c r="F19" s="64">
        <f>'TIE-OUT'!V19+RECLASS!V19</f>
        <v>0</v>
      </c>
      <c r="G19" s="68">
        <f>'TIE-OUT'!W19+RECLASS!W19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  <c r="AT19" s="60"/>
      <c r="AU19" s="38"/>
    </row>
    <row r="20" spans="1:47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'TIE-OUT'!V20+RECLASS!V20</f>
        <v>0</v>
      </c>
      <c r="G20" s="38">
        <f>'TIE-OUT'!W20+RECLASS!W20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  <c r="AT20" s="60"/>
      <c r="AU20" s="38"/>
    </row>
    <row r="21" spans="1:47" x14ac:dyDescent="0.25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'TIE-OUT'!V21+RECLASS!V21</f>
        <v>0</v>
      </c>
      <c r="G21" s="38">
        <f>'TIE-OUT'!W21+RECLASS!W21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  <c r="AT21" s="60"/>
      <c r="AU21" s="38"/>
    </row>
    <row r="22" spans="1:47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  <c r="AT22" s="60"/>
      <c r="AU22" s="38"/>
    </row>
    <row r="23" spans="1:47" x14ac:dyDescent="0.25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  <c r="AT23" s="60"/>
      <c r="AU23" s="38"/>
    </row>
    <row r="24" spans="1:47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D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E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si="6"/>
        <v>0</v>
      </c>
      <c r="AE24" s="39">
        <f t="shared" si="7"/>
        <v>0</v>
      </c>
      <c r="AF24" s="61">
        <f t="shared" ref="AF24:AK24" si="8">SUM(AF19:AF23)</f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si="8"/>
        <v>0</v>
      </c>
      <c r="AK24" s="39">
        <f t="shared" si="8"/>
        <v>0</v>
      </c>
      <c r="AL24" s="61">
        <f t="shared" ref="AL24:AQ24" si="9">SUM(AL19:AL23)</f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 t="shared" si="9"/>
        <v>0</v>
      </c>
      <c r="AQ24" s="39">
        <f t="shared" si="9"/>
        <v>0</v>
      </c>
      <c r="AR24" s="61">
        <f>SUM(AR19:AR23)</f>
        <v>0</v>
      </c>
      <c r="AS24" s="39">
        <f>SUM(AS19:AS23)</f>
        <v>0</v>
      </c>
      <c r="AT24" s="61">
        <f>SUM(AT19:AT23)</f>
        <v>0</v>
      </c>
      <c r="AU24" s="39">
        <f>SUM(AU19:AU23)</f>
        <v>0</v>
      </c>
    </row>
    <row r="25" spans="1:47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  <c r="AT25" s="60"/>
      <c r="AU25" s="38"/>
    </row>
    <row r="26" spans="1:47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  <c r="AT26" s="60"/>
      <c r="AU26" s="38"/>
    </row>
    <row r="27" spans="1:47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SUM(F27,H27,J27,L27,N27,P27,R27,T27,V27,X27,Z27,AB27,AD27,AF27,AH27,AJ27,AL27,AN27,AP27,AR27,AT27)</f>
        <v>0</v>
      </c>
      <c r="E27" s="38">
        <f>SUM(G27,I27,K27,M27,O27,Q27,S27,U27,W27,Y27,AA27,AC27,AE27,AG27,AI27,AK27,AM27,AO27,AQ27,AS27,AU27)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  <c r="AT27" s="60"/>
      <c r="AU27" s="38"/>
    </row>
    <row r="28" spans="1:47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SUM(F28,H28,J28,L28,N28,P28,R28,T28,V28,X28,Z28,AB28,AD28,AF28,AH28,AJ28,AL28,AN28,AP28,AR28,AT28)</f>
        <v>0</v>
      </c>
      <c r="E28" s="38">
        <f>SUM(G28,I28,K28,M28,O28,Q28,S28,U28,W28,Y28,AA28,AC28,AE28,AG28,AI28,AK28,AM28,AO28,AQ28,AS28,AU28)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  <c r="AT28" s="60"/>
      <c r="AU28" s="38"/>
    </row>
    <row r="29" spans="1:47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D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E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si="10"/>
        <v>0</v>
      </c>
      <c r="AE29" s="39">
        <f t="shared" si="11"/>
        <v>0</v>
      </c>
      <c r="AF29" s="61">
        <f t="shared" ref="AF29:AK29" si="12">SUM(AF27:AF28)</f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si="12"/>
        <v>0</v>
      </c>
      <c r="AK29" s="39">
        <f t="shared" si="12"/>
        <v>0</v>
      </c>
      <c r="AL29" s="61">
        <f t="shared" ref="AL29:AQ29" si="13">SUM(AL27:AL28)</f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 t="shared" si="13"/>
        <v>0</v>
      </c>
      <c r="AQ29" s="39">
        <f t="shared" si="13"/>
        <v>0</v>
      </c>
      <c r="AR29" s="61">
        <f>SUM(AR27:AR28)</f>
        <v>0</v>
      </c>
      <c r="AS29" s="39">
        <f>SUM(AS27:AS28)</f>
        <v>0</v>
      </c>
      <c r="AT29" s="61">
        <f>SUM(AT27:AT28)</f>
        <v>0</v>
      </c>
      <c r="AU29" s="39">
        <f>SUM(AU27:AU28)</f>
        <v>0</v>
      </c>
    </row>
    <row r="30" spans="1:47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  <c r="AT30" s="60"/>
      <c r="AU30" s="38"/>
    </row>
    <row r="31" spans="1:47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  <c r="AT31" s="60"/>
      <c r="AU31" s="38"/>
    </row>
    <row r="32" spans="1:47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SUM(F32,H32,J32,L32,N32,P32,R32,T32,V32,X32,Z32,AB32,AD32,AF32,AH32,AJ32,AL32,AN32,AP32,AR32,AT32)</f>
        <v>0</v>
      </c>
      <c r="E32" s="38">
        <f t="shared" si="14"/>
        <v>0</v>
      </c>
      <c r="F32" s="64">
        <f>'TIE-OUT'!V32+RECLASS!V32</f>
        <v>0</v>
      </c>
      <c r="G32" s="68">
        <f>'TIE-OUT'!W32+RECLASS!W32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  <c r="AT32" s="60"/>
      <c r="AU32" s="38"/>
    </row>
    <row r="33" spans="1:47" x14ac:dyDescent="0.25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  <c r="AT33" s="60"/>
      <c r="AU33" s="38"/>
    </row>
    <row r="34" spans="1:47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  <c r="AT34" s="60"/>
      <c r="AU34" s="38"/>
    </row>
    <row r="35" spans="1:47" x14ac:dyDescent="0.25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  <c r="AT35" s="60"/>
      <c r="AU35" s="38"/>
    </row>
    <row r="36" spans="1:47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D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E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si="15"/>
        <v>0</v>
      </c>
      <c r="AE36" s="39">
        <f t="shared" si="16"/>
        <v>0</v>
      </c>
      <c r="AF36" s="61">
        <f t="shared" ref="AF36:AK36" si="17">SUM(AF32:AF35)</f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si="17"/>
        <v>0</v>
      </c>
      <c r="AK36" s="39">
        <f t="shared" si="17"/>
        <v>0</v>
      </c>
      <c r="AL36" s="61">
        <f t="shared" ref="AL36:AQ36" si="18">SUM(AL32:AL35)</f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 t="shared" si="18"/>
        <v>0</v>
      </c>
      <c r="AQ36" s="39">
        <f t="shared" si="18"/>
        <v>0</v>
      </c>
      <c r="AR36" s="61">
        <f>SUM(AR32:AR35)</f>
        <v>0</v>
      </c>
      <c r="AS36" s="39">
        <f>SUM(AS32:AS35)</f>
        <v>0</v>
      </c>
      <c r="AT36" s="61">
        <f>SUM(AT32:AT35)</f>
        <v>0</v>
      </c>
      <c r="AU36" s="39">
        <f>SUM(AU32:AU35)</f>
        <v>0</v>
      </c>
    </row>
    <row r="37" spans="1:47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  <c r="AT37" s="60"/>
      <c r="AU37" s="38"/>
    </row>
    <row r="38" spans="1:47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  <c r="AT38" s="60"/>
      <c r="AU38" s="38"/>
    </row>
    <row r="39" spans="1:47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SUM(F39,H39,J39,L39,N39,P39,R39,T39,V39,X39,Z39,AB39,AD39,AF39,AH39,AJ39,AL39,AN39,AP39,AR39,AT39)</f>
        <v>0</v>
      </c>
      <c r="E39" s="38">
        <f t="shared" si="19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  <c r="AT39" s="60"/>
      <c r="AU39" s="38"/>
    </row>
    <row r="40" spans="1:47" ht="22.5" customHeight="1" x14ac:dyDescent="0.25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  <c r="AT40" s="60"/>
      <c r="AU40" s="38"/>
    </row>
    <row r="41" spans="1:47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  <c r="AT41" s="60"/>
      <c r="AU41" s="38"/>
    </row>
    <row r="42" spans="1:47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D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E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si="20"/>
        <v>0</v>
      </c>
      <c r="AE42" s="39">
        <f t="shared" si="21"/>
        <v>0</v>
      </c>
      <c r="AF42" s="61">
        <f t="shared" ref="AF42:AK42" si="22">SUM(AF40:AF41)</f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si="22"/>
        <v>0</v>
      </c>
      <c r="AK42" s="39">
        <f t="shared" si="22"/>
        <v>0</v>
      </c>
      <c r="AL42" s="61">
        <f t="shared" ref="AL42:AQ42" si="23">SUM(AL40:AL41)</f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 t="shared" si="23"/>
        <v>0</v>
      </c>
      <c r="AQ42" s="39">
        <f t="shared" si="23"/>
        <v>0</v>
      </c>
      <c r="AR42" s="61">
        <f>SUM(AR40:AR41)</f>
        <v>0</v>
      </c>
      <c r="AS42" s="39">
        <f>SUM(AS40:AS41)</f>
        <v>0</v>
      </c>
      <c r="AT42" s="61">
        <f>SUM(AT40:AT41)</f>
        <v>0</v>
      </c>
      <c r="AU42" s="39">
        <f>SUM(AU40:AU41)</f>
        <v>0</v>
      </c>
    </row>
    <row r="43" spans="1:47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D43" si="24">F42+F39</f>
        <v>0</v>
      </c>
      <c r="G43" s="39">
        <f t="shared" si="24"/>
        <v>0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E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si="24"/>
        <v>0</v>
      </c>
      <c r="AE43" s="39">
        <f t="shared" si="25"/>
        <v>0</v>
      </c>
      <c r="AF43" s="61">
        <f t="shared" ref="AF43:AK43" si="26">AF42+AF39</f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si="26"/>
        <v>0</v>
      </c>
      <c r="AK43" s="39">
        <f t="shared" si="26"/>
        <v>0</v>
      </c>
      <c r="AL43" s="61">
        <f t="shared" ref="AL43:AQ43" si="27">AL42+AL39</f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 t="shared" si="27"/>
        <v>0</v>
      </c>
      <c r="AQ43" s="39">
        <f t="shared" si="27"/>
        <v>0</v>
      </c>
      <c r="AR43" s="61">
        <f>AR42+AR39</f>
        <v>0</v>
      </c>
      <c r="AS43" s="39">
        <f>AS42+AS39</f>
        <v>0</v>
      </c>
      <c r="AT43" s="61">
        <f>AT42+AT39</f>
        <v>0</v>
      </c>
      <c r="AU43" s="39">
        <f>AU42+AU39</f>
        <v>0</v>
      </c>
    </row>
    <row r="44" spans="1:47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  <c r="AT44" s="60"/>
      <c r="AU44" s="38"/>
    </row>
    <row r="45" spans="1:47" x14ac:dyDescent="0.25">
      <c r="A45" s="9">
        <v>20</v>
      </c>
      <c r="B45" s="11" t="s">
        <v>54</v>
      </c>
      <c r="C45" s="6"/>
      <c r="D45" s="60">
        <f>SUM(F45,H45,J45,L45,N45,P45,R45,T45,V45,X45,Z45,AB45,AD45,AF45,AH45,AJ45,AL45,AN45,AP45,AR45,AT45)</f>
        <v>0</v>
      </c>
      <c r="E45" s="38">
        <f>SUM(G45,I45,K45,M45,O45,Q45,S45,U45,W45,Y45,AA45,AC45,AE45,AG45,AI45,AK45,AM45,AO45,AQ45,AS45,AU45)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  <c r="AT45" s="60"/>
      <c r="AU45" s="38"/>
    </row>
    <row r="46" spans="1:47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  <c r="AT46" s="60"/>
      <c r="AU46" s="38"/>
    </row>
    <row r="47" spans="1:47" x14ac:dyDescent="0.25">
      <c r="A47" s="9">
        <v>21</v>
      </c>
      <c r="B47" s="11" t="s">
        <v>55</v>
      </c>
      <c r="C47" s="6"/>
      <c r="D47" s="60">
        <f>SUM(F47,H47,J47,L47,N47,P47,R47,T47,V47,X47,Z47,AB47,AD47,AF47,AH47,AJ47,AL47,AN47,AP47,AR47,AT47)</f>
        <v>0</v>
      </c>
      <c r="E47" s="38">
        <f>SUM(G47,I47,K47,M47,O47,Q47,S47,U47,W47,Y47,AA47,AC47,AE47,AG47,AI47,AK47,AM47,AO47,AQ47,AS47,AU47)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  <c r="AT47" s="60"/>
      <c r="AU47" s="38"/>
    </row>
    <row r="48" spans="1:47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  <c r="AT48" s="60"/>
      <c r="AU48" s="38"/>
    </row>
    <row r="49" spans="1:47" x14ac:dyDescent="0.25">
      <c r="A49" s="9">
        <v>22</v>
      </c>
      <c r="B49" s="11" t="s">
        <v>56</v>
      </c>
      <c r="C49" s="6"/>
      <c r="D49" s="60">
        <f t="shared" ref="D49:E51" si="28">SUM(F49,H49,J49,L49,N49,P49,R49,T49,V49,X49,Z49,AB49,AD49,AF49,AH49,AJ49,AL49,AN49,AP49,AR49,AT49)</f>
        <v>0</v>
      </c>
      <c r="E49" s="38">
        <f t="shared" si="28"/>
        <v>0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  <c r="AT49" s="60">
        <v>0</v>
      </c>
      <c r="AU49" s="38">
        <v>0</v>
      </c>
    </row>
    <row r="50" spans="1:47" x14ac:dyDescent="0.25">
      <c r="A50" s="9"/>
      <c r="B50" s="7"/>
      <c r="C50" s="6"/>
      <c r="D50" s="60">
        <f t="shared" si="28"/>
        <v>0</v>
      </c>
      <c r="E50" s="38">
        <f t="shared" si="28"/>
        <v>0</v>
      </c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  <c r="AT50" s="60"/>
      <c r="AU50" s="38"/>
    </row>
    <row r="51" spans="1:47" x14ac:dyDescent="0.25">
      <c r="A51" s="9">
        <v>23</v>
      </c>
      <c r="B51" s="11" t="s">
        <v>57</v>
      </c>
      <c r="C51" s="6"/>
      <c r="D51" s="60">
        <f t="shared" si="28"/>
        <v>0</v>
      </c>
      <c r="E51" s="38">
        <f t="shared" si="28"/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  <c r="AT51" s="60">
        <v>0</v>
      </c>
      <c r="AU51" s="38">
        <v>0</v>
      </c>
    </row>
    <row r="52" spans="1:47" x14ac:dyDescent="0.25">
      <c r="A52" s="9"/>
      <c r="B52" s="7"/>
      <c r="C52" s="6"/>
      <c r="D52" s="60">
        <f>SUM(F52,H52,J52,L52,N52,P52,R52,T52,V52,X52,Z52,AB52,AD52,AF52,AH52,AJ52,AL52,AN52,AP52,AR52)</f>
        <v>0</v>
      </c>
      <c r="E52" s="38">
        <f>SUM(G52,I52,K52,M52,O52,Q52,S52,U52,W52,Y52,AA52,AC52,AE52,AG52,AI52,AK52,AM52,AO52,AQ52,AS52)</f>
        <v>0</v>
      </c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  <c r="AT52" s="60"/>
      <c r="AU52" s="38"/>
    </row>
    <row r="53" spans="1:47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  <c r="AT53" s="60"/>
      <c r="AU53" s="38"/>
    </row>
    <row r="54" spans="1:47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SUM(F54,H54,J54,L54,N54,P54,R54,T54,V54,X54,Z54,AB54,AD54,AF54,AH54,AJ54,AL54,AN54,AP54,AR54,AT54)</f>
        <v>0</v>
      </c>
      <c r="E54" s="38">
        <f>SUM(G54,I54,K54,M54,O54,Q54,S54,U54,W54,Y54,AA54,AC54,AE54,AG54,AI54,AK54,AM54,AO54,AQ54,AS54,AU54)</f>
        <v>619010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53">
        <v>15705</v>
      </c>
      <c r="L54" s="60"/>
      <c r="M54" s="38">
        <v>604295</v>
      </c>
      <c r="N54" s="60"/>
      <c r="O54" s="38"/>
      <c r="P54" s="60"/>
      <c r="Q54" s="38"/>
      <c r="R54" s="60"/>
      <c r="S54" s="38"/>
      <c r="T54" s="60"/>
      <c r="U54" s="38"/>
      <c r="V54" s="60"/>
      <c r="W54" s="38">
        <v>-990</v>
      </c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  <c r="AT54" s="60"/>
      <c r="AU54" s="38"/>
    </row>
    <row r="55" spans="1:47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SUM(F55,H55,J55,L55,N55,P55,R55,T55,V55,X55,Z55,AB55,AD55,AF55,AH55,AJ55,AL55,AN55,AP55,AR55,AT55)</f>
        <v>0</v>
      </c>
      <c r="E55" s="38">
        <f>SUM(G55,I55,K55,M55,O55,Q55,S55,U55,W55,Y55,AA55,AC55,AE55,AG55,AI55,AK55,AM55,AO55,AQ55,AS55,AU55)</f>
        <v>0</v>
      </c>
      <c r="F55" s="81">
        <f>'TIE-OUT'!V55+RECLASS!V55</f>
        <v>0</v>
      </c>
      <c r="G55" s="82">
        <f>'TIE-OUT'!W55+RECLASS!W55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  <c r="AT55" s="60"/>
      <c r="AU55" s="38"/>
    </row>
    <row r="56" spans="1:47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619010</v>
      </c>
      <c r="F56" s="61">
        <f t="shared" ref="F56:AD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15705</v>
      </c>
      <c r="L56" s="61">
        <f t="shared" si="29"/>
        <v>0</v>
      </c>
      <c r="M56" s="39">
        <f t="shared" si="29"/>
        <v>604295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E56" si="30">SUM(U54:U55)</f>
        <v>0</v>
      </c>
      <c r="V56" s="61">
        <f t="shared" si="29"/>
        <v>0</v>
      </c>
      <c r="W56" s="39">
        <f t="shared" si="30"/>
        <v>-990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si="29"/>
        <v>0</v>
      </c>
      <c r="AE56" s="39">
        <f t="shared" si="30"/>
        <v>0</v>
      </c>
      <c r="AF56" s="61">
        <f t="shared" ref="AF56:AK56" si="31">SUM(AF54:AF55)</f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si="31"/>
        <v>0</v>
      </c>
      <c r="AK56" s="39">
        <f t="shared" si="31"/>
        <v>0</v>
      </c>
      <c r="AL56" s="61">
        <f t="shared" ref="AL56:AQ56" si="32">SUM(AL54:AL55)</f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 t="shared" si="32"/>
        <v>0</v>
      </c>
      <c r="AQ56" s="39">
        <f t="shared" si="32"/>
        <v>0</v>
      </c>
      <c r="AR56" s="61">
        <f>SUM(AR54:AR55)</f>
        <v>0</v>
      </c>
      <c r="AS56" s="39">
        <f>SUM(AS54:AS55)</f>
        <v>0</v>
      </c>
      <c r="AT56" s="61">
        <f>SUM(AT54:AT55)</f>
        <v>0</v>
      </c>
      <c r="AU56" s="39">
        <f>SUM(AU54:AU55)</f>
        <v>0</v>
      </c>
    </row>
    <row r="57" spans="1:47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  <c r="AT57" s="60"/>
      <c r="AU57" s="38"/>
    </row>
    <row r="58" spans="1:47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  <c r="AT58" s="60"/>
      <c r="AU58" s="38"/>
    </row>
    <row r="59" spans="1:47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SUM(F59,H59,J59,L59,N59,P59,R59,T59,V59,X59,Z59,AB59,AD59,AF59,AH59,AJ59,AL59,AN59,AP59,AR59,AT59)</f>
        <v>0</v>
      </c>
      <c r="E59" s="38">
        <f>SUM(G59,I59,K59,M59,O59,Q59,S59,U59,W59,Y59,AA59,AC59,AE59,AG59,AI59,AK59,AM59,AO59,AQ59,AS59,AU59)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  <c r="AT59" s="60"/>
      <c r="AU59" s="38"/>
    </row>
    <row r="60" spans="1:47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SUM(F60,H60,J60,L60,N60,P60,R60,T60,V60,X60,Z60,AB60,AD60,AF60,AH60,AJ60,AL60,AN60,AP60,AR60,AT60)</f>
        <v>0</v>
      </c>
      <c r="E60" s="38">
        <f>SUM(G60,I60,K60,M60,O60,Q60,S60,U60,W60,Y60,AA60,AC60,AE60,AG60,AI60,AK60,AM60,AO60,AQ60,AS60,AU60)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  <c r="AT60" s="60"/>
      <c r="AU60" s="38"/>
    </row>
    <row r="61" spans="1:47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D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E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si="33"/>
        <v>0</v>
      </c>
      <c r="AE61" s="39">
        <f t="shared" si="34"/>
        <v>0</v>
      </c>
      <c r="AF61" s="61">
        <f t="shared" ref="AF61:AK61" si="35">SUM(AF59:AF60)</f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si="35"/>
        <v>0</v>
      </c>
      <c r="AK61" s="39">
        <f t="shared" si="35"/>
        <v>0</v>
      </c>
      <c r="AL61" s="61">
        <f t="shared" ref="AL61:AQ61" si="36">SUM(AL59:AL60)</f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 t="shared" si="36"/>
        <v>0</v>
      </c>
      <c r="AQ61" s="39">
        <f t="shared" si="36"/>
        <v>0</v>
      </c>
      <c r="AR61" s="61">
        <f>SUM(AR59:AR60)</f>
        <v>0</v>
      </c>
      <c r="AS61" s="39">
        <f>SUM(AS59:AS60)</f>
        <v>0</v>
      </c>
      <c r="AT61" s="61">
        <f>SUM(AT59:AT60)</f>
        <v>0</v>
      </c>
      <c r="AU61" s="39">
        <f>SUM(AU59:AU60)</f>
        <v>0</v>
      </c>
    </row>
    <row r="62" spans="1:47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  <c r="AT62" s="60"/>
      <c r="AU62" s="38"/>
    </row>
    <row r="63" spans="1:47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  <c r="AT63" s="60"/>
      <c r="AU63" s="38"/>
    </row>
    <row r="64" spans="1:47" x14ac:dyDescent="0.25">
      <c r="A64" s="9">
        <v>28</v>
      </c>
      <c r="B64" s="7"/>
      <c r="C64" s="18" t="s">
        <v>66</v>
      </c>
      <c r="D64" s="60">
        <f>SUM(F64,H64,J64,L64,N64,P64,R64,T64,V64,X64,Z64,AB64,AD64,AF64,AH64,AJ64,AL64,AN64,AP64,AR64,AT64)</f>
        <v>0</v>
      </c>
      <c r="E64" s="38">
        <f>SUM(G64,I64,K64,M64,O64,Q64,S64,U64,W64,Y64,AA64,AC64,AE64,AG64,AI64,AK64,AM64,AO64,AQ64,AS64,AU64)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  <c r="AT64" s="60"/>
      <c r="AU64" s="38"/>
    </row>
    <row r="65" spans="1:47" x14ac:dyDescent="0.25">
      <c r="A65" s="9">
        <v>29</v>
      </c>
      <c r="B65" s="11"/>
      <c r="C65" s="18" t="s">
        <v>67</v>
      </c>
      <c r="D65" s="60">
        <f>SUM(F65,H65,J65,L65,N65,P65,R65,T65,V65,X65,Z65,AB65,AD65,AF65,AH65,AJ65,AL65,AN65,AP65,AR65,AT65)</f>
        <v>0</v>
      </c>
      <c r="E65" s="38">
        <f>SUM(G65,I65,K65,M65,O65,Q65,S65,U65,W65,Y65,AA65,AC65,AE65,AG65,AI65,AK65,AM65,AO65,AQ65,AS65,AU65)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  <c r="AT65" s="60"/>
      <c r="AU65" s="38"/>
    </row>
    <row r="66" spans="1:47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AD66" si="37">SUM(F64:F65)</f>
        <v>0</v>
      </c>
      <c r="G66" s="39">
        <f t="shared" si="37"/>
        <v>0</v>
      </c>
      <c r="H66" s="61">
        <f t="shared" si="37"/>
        <v>0</v>
      </c>
      <c r="I66" s="39">
        <f t="shared" si="37"/>
        <v>0</v>
      </c>
      <c r="J66" s="61">
        <f t="shared" si="37"/>
        <v>0</v>
      </c>
      <c r="K66" s="154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ref="U66:AE66" si="38">SUM(U64:U65)</f>
        <v>0</v>
      </c>
      <c r="V66" s="61">
        <f t="shared" si="37"/>
        <v>0</v>
      </c>
      <c r="W66" s="39">
        <f t="shared" si="38"/>
        <v>0</v>
      </c>
      <c r="X66" s="61">
        <f t="shared" si="37"/>
        <v>0</v>
      </c>
      <c r="Y66" s="39">
        <f t="shared" si="38"/>
        <v>0</v>
      </c>
      <c r="Z66" s="61">
        <f t="shared" si="37"/>
        <v>0</v>
      </c>
      <c r="AA66" s="39">
        <f t="shared" si="38"/>
        <v>0</v>
      </c>
      <c r="AB66" s="61">
        <f t="shared" si="37"/>
        <v>0</v>
      </c>
      <c r="AC66" s="39">
        <f t="shared" si="38"/>
        <v>0</v>
      </c>
      <c r="AD66" s="61">
        <f t="shared" si="37"/>
        <v>0</v>
      </c>
      <c r="AE66" s="39">
        <f t="shared" si="38"/>
        <v>0</v>
      </c>
      <c r="AF66" s="61">
        <f t="shared" ref="AF66:AK66" si="39">SUM(AF64:AF65)</f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 t="shared" si="39"/>
        <v>0</v>
      </c>
      <c r="AK66" s="39">
        <f t="shared" si="39"/>
        <v>0</v>
      </c>
      <c r="AL66" s="61">
        <f t="shared" ref="AL66:AQ66" si="40">SUM(AL64:AL65)</f>
        <v>0</v>
      </c>
      <c r="AM66" s="39">
        <f t="shared" si="40"/>
        <v>0</v>
      </c>
      <c r="AN66" s="61">
        <f t="shared" si="40"/>
        <v>0</v>
      </c>
      <c r="AO66" s="39">
        <f t="shared" si="40"/>
        <v>0</v>
      </c>
      <c r="AP66" s="61">
        <f t="shared" si="40"/>
        <v>0</v>
      </c>
      <c r="AQ66" s="39">
        <f t="shared" si="40"/>
        <v>0</v>
      </c>
      <c r="AR66" s="61">
        <f>SUM(AR64:AR65)</f>
        <v>0</v>
      </c>
      <c r="AS66" s="39">
        <f>SUM(AS64:AS65)</f>
        <v>0</v>
      </c>
      <c r="AT66" s="61">
        <f>SUM(AT64:AT65)</f>
        <v>0</v>
      </c>
      <c r="AU66" s="39">
        <f>SUM(AU64:AU65)</f>
        <v>0</v>
      </c>
    </row>
    <row r="67" spans="1:47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  <c r="AT67" s="60"/>
      <c r="AU67" s="38"/>
    </row>
    <row r="68" spans="1:47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  <c r="AT68" s="60"/>
      <c r="AU68" s="38"/>
    </row>
    <row r="69" spans="1:47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  <c r="AT69" s="60"/>
      <c r="AU69" s="38"/>
    </row>
    <row r="70" spans="1:47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SUM(F70,H70,J70,L70,N70,P70,R70,T70,V70,X70,Z70,AB70,AD70,AF70,AH70,AJ70,AL70,AN70,AP70,AR70,AT70)</f>
        <v>0</v>
      </c>
      <c r="E70" s="38">
        <f>SUM(G70,I70,K70,M70,O70,Q70,S70,U70,W70,Y70,AA70,AC70,AE70,AG70,AI70,AK70,AM70,AO70,AQ70,AS70,AU70)</f>
        <v>176228</v>
      </c>
      <c r="F70" s="64">
        <f>'TIE-OUT'!V70+RECLASS!V70</f>
        <v>0</v>
      </c>
      <c r="G70" s="68">
        <f>'TIE-OUT'!W70+RECLASS!W70</f>
        <v>176228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  <c r="AT70" s="60"/>
      <c r="AU70" s="38"/>
    </row>
    <row r="71" spans="1:47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SUM(F71,H71,J71,L71,N71,P71,R71,T71,V71,X71,Z71,AB71,AD71,AF71,AH71,AJ71,AL71,AN71,AP71,AR71,AT71)</f>
        <v>0</v>
      </c>
      <c r="E71" s="38">
        <f>SUM(G71,I71,K71,M71,O71,Q71,S71,U71,W71,Y71,AA71,AC71,AE71,AG71,AI71,AK71,AM71,AO71,AQ71,AS71,AU71)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  <c r="AT71" s="60"/>
      <c r="AU71" s="38"/>
    </row>
    <row r="72" spans="1:47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176228</v>
      </c>
      <c r="F72" s="61">
        <f t="shared" ref="F72:AD72" si="41">SUM(F70:F71)</f>
        <v>0</v>
      </c>
      <c r="G72" s="39">
        <f t="shared" si="41"/>
        <v>176228</v>
      </c>
      <c r="H72" s="61">
        <f t="shared" si="41"/>
        <v>0</v>
      </c>
      <c r="I72" s="39">
        <f t="shared" si="41"/>
        <v>0</v>
      </c>
      <c r="J72" s="61">
        <f t="shared" si="41"/>
        <v>0</v>
      </c>
      <c r="K72" s="154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ref="U72:AE72" si="42">SUM(U70:U71)</f>
        <v>0</v>
      </c>
      <c r="V72" s="61">
        <f t="shared" si="41"/>
        <v>0</v>
      </c>
      <c r="W72" s="39">
        <f t="shared" si="42"/>
        <v>0</v>
      </c>
      <c r="X72" s="61">
        <f t="shared" si="41"/>
        <v>0</v>
      </c>
      <c r="Y72" s="39">
        <f t="shared" si="42"/>
        <v>0</v>
      </c>
      <c r="Z72" s="61">
        <f t="shared" si="41"/>
        <v>0</v>
      </c>
      <c r="AA72" s="39">
        <f t="shared" si="42"/>
        <v>0</v>
      </c>
      <c r="AB72" s="61">
        <f t="shared" si="41"/>
        <v>0</v>
      </c>
      <c r="AC72" s="39">
        <f t="shared" si="42"/>
        <v>0</v>
      </c>
      <c r="AD72" s="61">
        <f t="shared" si="41"/>
        <v>0</v>
      </c>
      <c r="AE72" s="39">
        <f t="shared" si="42"/>
        <v>0</v>
      </c>
      <c r="AF72" s="61">
        <f t="shared" ref="AF72:AK72" si="43">SUM(AF70:AF71)</f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 t="shared" si="43"/>
        <v>0</v>
      </c>
      <c r="AK72" s="39">
        <f t="shared" si="43"/>
        <v>0</v>
      </c>
      <c r="AL72" s="61">
        <f t="shared" ref="AL72:AQ72" si="44">SUM(AL70:AL71)</f>
        <v>0</v>
      </c>
      <c r="AM72" s="39">
        <f t="shared" si="44"/>
        <v>0</v>
      </c>
      <c r="AN72" s="61">
        <f t="shared" si="44"/>
        <v>0</v>
      </c>
      <c r="AO72" s="39">
        <f t="shared" si="44"/>
        <v>0</v>
      </c>
      <c r="AP72" s="61">
        <f t="shared" si="44"/>
        <v>0</v>
      </c>
      <c r="AQ72" s="39">
        <f t="shared" si="44"/>
        <v>0</v>
      </c>
      <c r="AR72" s="61">
        <f>SUM(AR70:AR71)</f>
        <v>0</v>
      </c>
      <c r="AS72" s="39">
        <f>SUM(AS70:AS71)</f>
        <v>0</v>
      </c>
      <c r="AT72" s="61">
        <f>SUM(AT70:AT71)</f>
        <v>0</v>
      </c>
      <c r="AU72" s="39">
        <f>SUM(AU70:AU71)</f>
        <v>0</v>
      </c>
    </row>
    <row r="73" spans="1:47" x14ac:dyDescent="0.25">
      <c r="A73" s="9">
        <v>32</v>
      </c>
      <c r="B73" s="3"/>
      <c r="C73" s="10" t="s">
        <v>74</v>
      </c>
      <c r="D73" s="60">
        <f t="shared" ref="D73:D81" si="45">SUM(F73,H73,J73,L73,N73,P73,R73,T73,V73,X73,Z73,AB73,AD73,AF73,AH73,AJ73,AL73,AN73,AP73,AR73,AT73)</f>
        <v>0</v>
      </c>
      <c r="E73" s="38">
        <f t="shared" ref="E73:E81" si="46">SUM(G73,I73,K73,M73,O73,Q73,S73,U73,W73,Y73,AA73,AC73,AE73,AG73,AI73,AK73,AM73,AO73,AQ73,AS73,AU73)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  <c r="AT73" s="60"/>
      <c r="AU73" s="38"/>
    </row>
    <row r="74" spans="1:47" x14ac:dyDescent="0.25">
      <c r="A74" s="9">
        <v>33</v>
      </c>
      <c r="B74" s="3"/>
      <c r="C74" s="10" t="s">
        <v>75</v>
      </c>
      <c r="D74" s="60">
        <f t="shared" si="45"/>
        <v>0</v>
      </c>
      <c r="E74" s="38">
        <f t="shared" si="46"/>
        <v>0</v>
      </c>
      <c r="F74" s="60">
        <f>'TIE-OUT'!V74+RECLASS!V74</f>
        <v>0</v>
      </c>
      <c r="G74" s="60">
        <f>'TIE-OUT'!W74+RECLASS!W74</f>
        <v>0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  <c r="AT74" s="60"/>
      <c r="AU74" s="38"/>
    </row>
    <row r="75" spans="1:47" x14ac:dyDescent="0.25">
      <c r="A75" s="9">
        <v>34</v>
      </c>
      <c r="B75" s="3"/>
      <c r="C75" s="10" t="s">
        <v>76</v>
      </c>
      <c r="D75" s="60">
        <f t="shared" si="45"/>
        <v>0</v>
      </c>
      <c r="E75" s="38">
        <f t="shared" si="46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  <c r="AT75" s="60"/>
      <c r="AU75" s="38"/>
    </row>
    <row r="76" spans="1:47" x14ac:dyDescent="0.25">
      <c r="A76" s="9">
        <v>35</v>
      </c>
      <c r="B76" s="3"/>
      <c r="C76" s="10" t="s">
        <v>77</v>
      </c>
      <c r="D76" s="60">
        <f t="shared" si="45"/>
        <v>0</v>
      </c>
      <c r="E76" s="38">
        <f t="shared" si="46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  <c r="AT76" s="60"/>
      <c r="AU76" s="38"/>
    </row>
    <row r="77" spans="1:47" x14ac:dyDescent="0.25">
      <c r="A77" s="9">
        <v>36</v>
      </c>
      <c r="B77" s="3"/>
      <c r="C77" s="10" t="s">
        <v>78</v>
      </c>
      <c r="D77" s="60">
        <f t="shared" si="45"/>
        <v>0</v>
      </c>
      <c r="E77" s="38">
        <f t="shared" si="46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  <c r="AT77" s="60"/>
      <c r="AU77" s="38"/>
    </row>
    <row r="78" spans="1:47" x14ac:dyDescent="0.25">
      <c r="A78" s="9">
        <v>37</v>
      </c>
      <c r="B78" s="3"/>
      <c r="C78" s="10" t="s">
        <v>79</v>
      </c>
      <c r="D78" s="60">
        <f t="shared" si="45"/>
        <v>0</v>
      </c>
      <c r="E78" s="38">
        <f t="shared" si="46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  <c r="AT78" s="60"/>
      <c r="AU78" s="38"/>
    </row>
    <row r="79" spans="1:47" x14ac:dyDescent="0.25">
      <c r="A79" s="9">
        <v>38</v>
      </c>
      <c r="B79" s="3"/>
      <c r="C79" s="10" t="s">
        <v>80</v>
      </c>
      <c r="D79" s="60">
        <f t="shared" si="45"/>
        <v>0</v>
      </c>
      <c r="E79" s="38">
        <f t="shared" si="46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  <c r="AT79" s="60"/>
      <c r="AU79" s="38"/>
    </row>
    <row r="80" spans="1:47" x14ac:dyDescent="0.25">
      <c r="A80" s="9">
        <v>39</v>
      </c>
      <c r="B80" s="3"/>
      <c r="C80" s="10" t="s">
        <v>81</v>
      </c>
      <c r="D80" s="60">
        <f t="shared" si="45"/>
        <v>0</v>
      </c>
      <c r="E80" s="38">
        <f t="shared" si="46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  <c r="AT80" s="60"/>
      <c r="AU80" s="38"/>
    </row>
    <row r="81" spans="1:79" x14ac:dyDescent="0.25">
      <c r="A81" s="9">
        <v>40</v>
      </c>
      <c r="B81" s="3"/>
      <c r="C81" s="10" t="s">
        <v>82</v>
      </c>
      <c r="D81" s="60">
        <f t="shared" si="45"/>
        <v>0</v>
      </c>
      <c r="E81" s="38">
        <f t="shared" si="46"/>
        <v>-620000</v>
      </c>
      <c r="F81" s="60">
        <f>'TIE-OUT'!V81+RECLASS!V81</f>
        <v>0</v>
      </c>
      <c r="G81" s="60">
        <f>'TIE-OUT'!W81+RECLASS!W81</f>
        <v>0</v>
      </c>
      <c r="H81" s="60"/>
      <c r="I81" s="38">
        <v>-140148</v>
      </c>
      <c r="J81" s="60"/>
      <c r="K81" s="153">
        <v>0</v>
      </c>
      <c r="L81" s="60"/>
      <c r="M81" s="38"/>
      <c r="N81" s="60"/>
      <c r="O81" s="38">
        <v>140148</v>
      </c>
      <c r="P81" s="60"/>
      <c r="Q81" s="38"/>
      <c r="R81" s="60"/>
      <c r="S81" s="38"/>
      <c r="T81" s="60"/>
      <c r="U81" s="38">
        <v>-620000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  <c r="AT81" s="60"/>
      <c r="AU81" s="38"/>
    </row>
    <row r="82" spans="1:79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175238</v>
      </c>
      <c r="F82" s="92">
        <f>F16+F24+F29+F36+F43+F45+F47+F49</f>
        <v>0</v>
      </c>
      <c r="G82" s="93">
        <f>SUM(G72:G81)+G16+G24+G29+G36+G43+G45+G47+G49+G51+G56+G61+G66</f>
        <v>176228</v>
      </c>
      <c r="H82" s="92">
        <f>H16+H24+H29+H36+H43+H45+H47+H49</f>
        <v>0</v>
      </c>
      <c r="I82" s="93">
        <f>SUM(I72:I81)+I16+I24+I29+I36+I43+I45+I47+I49+I51+I56+I61+I66</f>
        <v>-140148</v>
      </c>
      <c r="J82" s="92">
        <f>J16+J24+J29+J36+J43+J45+J47+J49</f>
        <v>0</v>
      </c>
      <c r="K82" s="118">
        <f>SUM(K72:K81)+K16+K24+K29+K36+K43+K45+K47+K49+K51+K56+K61+K66</f>
        <v>15705</v>
      </c>
      <c r="L82" s="92">
        <f>L16+L24+L29+L36+L43+L45+L47+L49</f>
        <v>0</v>
      </c>
      <c r="M82" s="93">
        <f>SUM(M72:M81)+M16+M24+M29+M36+M43+M45+M47+M49+M51+M56+M61+M66</f>
        <v>604295</v>
      </c>
      <c r="N82" s="92">
        <f>N16+N24+N29+N36+N43+N45+N47+N49</f>
        <v>0</v>
      </c>
      <c r="O82" s="93">
        <f>SUM(O72:O81)+O16+O24+O29+O36+O43+O45+O47+O49+O51+O56+O61+O66</f>
        <v>140148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-620000</v>
      </c>
      <c r="V82" s="92">
        <f>V16+V24+V29+V36+V43+V45+V47+V49</f>
        <v>0</v>
      </c>
      <c r="W82" s="93">
        <f>SUM(W72:W81)+W16+W24+W29+W36+W43+W45+W47+W49+W51+W56+W61+W66</f>
        <v>-990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  <c r="AT82" s="92">
        <f>AT16+AT24+AT29+AT36+AT43+AT45+AT47+AT49</f>
        <v>0</v>
      </c>
      <c r="AU82" s="93">
        <f>SUM(AU72:AU81)+AU16+AU24+AU29+AU36+AU43+AU45+AU47+AU49+AU51+AU56+AU61+AU66</f>
        <v>0</v>
      </c>
    </row>
    <row r="83" spans="1:79" ht="13.8" thickTop="1" x14ac:dyDescent="0.25">
      <c r="A83" s="4"/>
      <c r="B83" s="3"/>
    </row>
    <row r="84" spans="1:79" x14ac:dyDescent="0.25">
      <c r="A84" s="4"/>
      <c r="B84" s="3"/>
    </row>
    <row r="85" spans="1:79" x14ac:dyDescent="0.25">
      <c r="A85" s="4" t="s">
        <v>188</v>
      </c>
      <c r="B85" s="3"/>
      <c r="F85" s="31"/>
      <c r="G85" s="31"/>
      <c r="H85" s="31"/>
      <c r="I85" s="31"/>
      <c r="K85"/>
      <c r="L85" s="45"/>
    </row>
    <row r="86" spans="1:79" s="3" customFormat="1" x14ac:dyDescent="0.25">
      <c r="A86" s="183"/>
      <c r="C86" s="10" t="s">
        <v>189</v>
      </c>
      <c r="D86" s="184">
        <f t="shared" ref="D86:E88" si="47">SUM(F86,H86,J86,L86,N86,P86,R86,T86,V86,X86,Z86,AB86,AD86)</f>
        <v>0</v>
      </c>
      <c r="E86" s="184">
        <f t="shared" si="47"/>
        <v>132179</v>
      </c>
      <c r="F86" s="184">
        <f>'TIE-OUT'!V86+RECLASS!V86</f>
        <v>0</v>
      </c>
      <c r="G86" s="184">
        <f>'TIE-OUT'!W86+RECLASS!W86</f>
        <v>0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0</v>
      </c>
      <c r="N86" s="184">
        <v>0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132179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84">
        <v>0</v>
      </c>
      <c r="AF86" s="184">
        <v>0</v>
      </c>
      <c r="AG86" s="184">
        <v>0</v>
      </c>
      <c r="AH86" s="184">
        <v>0</v>
      </c>
      <c r="AI86" s="184">
        <v>0</v>
      </c>
      <c r="AJ86" s="184">
        <v>0</v>
      </c>
      <c r="AK86" s="184">
        <v>0</v>
      </c>
      <c r="AL86" s="184">
        <v>0</v>
      </c>
      <c r="AM86" s="184">
        <v>0</v>
      </c>
      <c r="AN86" s="184">
        <v>0</v>
      </c>
      <c r="AO86" s="184">
        <v>0</v>
      </c>
      <c r="AP86" s="184">
        <v>0</v>
      </c>
      <c r="AQ86" s="184">
        <v>0</v>
      </c>
      <c r="AR86" s="184">
        <v>0</v>
      </c>
      <c r="AS86" s="184">
        <v>0</v>
      </c>
      <c r="AT86" s="184">
        <v>0</v>
      </c>
      <c r="AU86" s="184">
        <v>0</v>
      </c>
    </row>
    <row r="87" spans="1:79" s="3" customFormat="1" x14ac:dyDescent="0.25">
      <c r="A87" s="183"/>
      <c r="C87" s="10" t="s">
        <v>75</v>
      </c>
      <c r="D87" s="185">
        <f t="shared" si="47"/>
        <v>0</v>
      </c>
      <c r="E87" s="185">
        <f t="shared" si="47"/>
        <v>0</v>
      </c>
      <c r="F87" s="185">
        <f>'TIE-OUT'!V87+RECLASS!V87</f>
        <v>0</v>
      </c>
      <c r="G87" s="185">
        <f>'TIE-OUT'!W87+RECLASS!W87</f>
        <v>0</v>
      </c>
      <c r="H87" s="185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O87" s="185">
        <v>0</v>
      </c>
      <c r="P87" s="185">
        <v>0</v>
      </c>
      <c r="Q87" s="185">
        <v>0</v>
      </c>
      <c r="R87" s="185">
        <v>0</v>
      </c>
      <c r="S87" s="185">
        <v>0</v>
      </c>
      <c r="T87" s="185">
        <v>0</v>
      </c>
      <c r="U87" s="185">
        <v>0</v>
      </c>
      <c r="V87" s="185">
        <v>0</v>
      </c>
      <c r="W87" s="185">
        <v>0</v>
      </c>
      <c r="X87" s="185">
        <v>0</v>
      </c>
      <c r="Y87" s="185">
        <v>0</v>
      </c>
      <c r="Z87" s="185">
        <v>0</v>
      </c>
      <c r="AA87" s="185">
        <v>0</v>
      </c>
      <c r="AB87" s="185">
        <v>0</v>
      </c>
      <c r="AC87" s="185">
        <v>0</v>
      </c>
      <c r="AD87" s="185">
        <v>0</v>
      </c>
      <c r="AE87" s="185">
        <v>0</v>
      </c>
      <c r="AF87" s="185">
        <v>0</v>
      </c>
      <c r="AG87" s="185">
        <v>0</v>
      </c>
      <c r="AH87" s="185">
        <v>0</v>
      </c>
      <c r="AI87" s="185">
        <v>0</v>
      </c>
      <c r="AJ87" s="185">
        <v>0</v>
      </c>
      <c r="AK87" s="185">
        <v>0</v>
      </c>
      <c r="AL87" s="185">
        <v>0</v>
      </c>
      <c r="AM87" s="185">
        <v>0</v>
      </c>
      <c r="AN87" s="185">
        <v>0</v>
      </c>
      <c r="AO87" s="185">
        <v>0</v>
      </c>
      <c r="AP87" s="185">
        <v>0</v>
      </c>
      <c r="AQ87" s="185">
        <v>0</v>
      </c>
      <c r="AR87" s="185">
        <v>0</v>
      </c>
      <c r="AS87" s="185">
        <v>0</v>
      </c>
      <c r="AT87" s="185">
        <v>0</v>
      </c>
      <c r="AU87" s="185">
        <v>0</v>
      </c>
    </row>
    <row r="88" spans="1:79" s="3" customFormat="1" x14ac:dyDescent="0.25">
      <c r="A88" s="183"/>
      <c r="C88" s="10" t="s">
        <v>76</v>
      </c>
      <c r="D88" s="186">
        <f t="shared" si="47"/>
        <v>0</v>
      </c>
      <c r="E88" s="186">
        <f t="shared" si="47"/>
        <v>-3049</v>
      </c>
      <c r="F88" s="186">
        <f>'TIE-OUT'!V88+RECLASS!V88</f>
        <v>0</v>
      </c>
      <c r="G88" s="186">
        <f>'TIE-OUT'!W88+RECLASS!W88</f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-3049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</row>
    <row r="89" spans="1:79" s="44" customFormat="1" ht="20.25" customHeight="1" x14ac:dyDescent="0.25">
      <c r="A89" s="192"/>
      <c r="B89" s="193"/>
      <c r="C89" s="189" t="s">
        <v>190</v>
      </c>
      <c r="D89" s="196">
        <f>SUM(D86:D88)</f>
        <v>0</v>
      </c>
      <c r="E89" s="196">
        <f t="shared" ref="E89:AE89" si="48">SUM(E86:E88)</f>
        <v>129130</v>
      </c>
      <c r="F89" s="196">
        <f t="shared" si="48"/>
        <v>0</v>
      </c>
      <c r="G89" s="196">
        <f t="shared" si="48"/>
        <v>0</v>
      </c>
      <c r="H89" s="196">
        <f t="shared" si="48"/>
        <v>0</v>
      </c>
      <c r="I89" s="196">
        <f t="shared" si="48"/>
        <v>0</v>
      </c>
      <c r="J89" s="196">
        <f t="shared" si="48"/>
        <v>0</v>
      </c>
      <c r="K89" s="196">
        <f t="shared" si="48"/>
        <v>0</v>
      </c>
      <c r="L89" s="196">
        <f t="shared" si="48"/>
        <v>0</v>
      </c>
      <c r="M89" s="196">
        <f t="shared" si="48"/>
        <v>0</v>
      </c>
      <c r="N89" s="196">
        <f t="shared" si="48"/>
        <v>0</v>
      </c>
      <c r="O89" s="196">
        <f t="shared" si="48"/>
        <v>0</v>
      </c>
      <c r="P89" s="196">
        <f t="shared" si="48"/>
        <v>0</v>
      </c>
      <c r="Q89" s="196">
        <f t="shared" si="48"/>
        <v>0</v>
      </c>
      <c r="R89" s="196">
        <f t="shared" si="48"/>
        <v>0</v>
      </c>
      <c r="S89" s="196">
        <f t="shared" si="48"/>
        <v>0</v>
      </c>
      <c r="T89" s="196">
        <f t="shared" si="48"/>
        <v>0</v>
      </c>
      <c r="U89" s="196">
        <f t="shared" si="48"/>
        <v>0</v>
      </c>
      <c r="V89" s="196">
        <f t="shared" si="48"/>
        <v>0</v>
      </c>
      <c r="W89" s="196">
        <f t="shared" si="48"/>
        <v>129130</v>
      </c>
      <c r="X89" s="196">
        <f t="shared" si="48"/>
        <v>0</v>
      </c>
      <c r="Y89" s="196">
        <f t="shared" si="48"/>
        <v>0</v>
      </c>
      <c r="Z89" s="196">
        <f t="shared" si="48"/>
        <v>0</v>
      </c>
      <c r="AA89" s="196">
        <f t="shared" si="48"/>
        <v>0</v>
      </c>
      <c r="AB89" s="196">
        <f t="shared" si="48"/>
        <v>0</v>
      </c>
      <c r="AC89" s="196">
        <f t="shared" si="48"/>
        <v>0</v>
      </c>
      <c r="AD89" s="196">
        <f t="shared" si="48"/>
        <v>0</v>
      </c>
      <c r="AE89" s="196">
        <f t="shared" si="48"/>
        <v>0</v>
      </c>
      <c r="AF89" s="196">
        <f t="shared" ref="AF89:AK89" si="49">SUM(AF86:AF88)</f>
        <v>0</v>
      </c>
      <c r="AG89" s="196">
        <f t="shared" si="49"/>
        <v>0</v>
      </c>
      <c r="AH89" s="196">
        <f t="shared" si="49"/>
        <v>0</v>
      </c>
      <c r="AI89" s="196">
        <f t="shared" si="49"/>
        <v>0</v>
      </c>
      <c r="AJ89" s="196">
        <f t="shared" si="49"/>
        <v>0</v>
      </c>
      <c r="AK89" s="196">
        <f t="shared" si="49"/>
        <v>0</v>
      </c>
      <c r="AL89" s="196">
        <f t="shared" ref="AL89:AQ89" si="50">SUM(AL86:AL88)</f>
        <v>0</v>
      </c>
      <c r="AM89" s="196">
        <f t="shared" si="50"/>
        <v>0</v>
      </c>
      <c r="AN89" s="196">
        <f t="shared" si="50"/>
        <v>0</v>
      </c>
      <c r="AO89" s="196">
        <f t="shared" si="50"/>
        <v>0</v>
      </c>
      <c r="AP89" s="196">
        <f t="shared" si="50"/>
        <v>0</v>
      </c>
      <c r="AQ89" s="196">
        <f t="shared" si="50"/>
        <v>0</v>
      </c>
      <c r="AR89" s="196">
        <f>SUM(AR86:AR88)</f>
        <v>0</v>
      </c>
      <c r="AS89" s="196">
        <f>SUM(AS86:AS88)</f>
        <v>0</v>
      </c>
      <c r="AT89" s="196">
        <f>SUM(AT86:AT88)</f>
        <v>0</v>
      </c>
      <c r="AU89" s="196">
        <f>SUM(AU86:AU88)</f>
        <v>0</v>
      </c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</row>
    <row r="90" spans="1:79" x14ac:dyDescent="0.25">
      <c r="A90" s="4"/>
      <c r="B90" s="3"/>
      <c r="F90" s="31"/>
      <c r="G90" s="31"/>
      <c r="H90" s="31"/>
      <c r="I90" s="31"/>
      <c r="K90"/>
    </row>
    <row r="91" spans="1:79" s="44" customFormat="1" ht="20.25" customHeight="1" x14ac:dyDescent="0.25">
      <c r="A91" s="192"/>
      <c r="B91" s="193"/>
      <c r="C91" s="189" t="s">
        <v>191</v>
      </c>
      <c r="D91" s="196">
        <f>+D82+D89</f>
        <v>0</v>
      </c>
      <c r="E91" s="196">
        <f t="shared" ref="E91:AE91" si="51">+E82+E89</f>
        <v>304368</v>
      </c>
      <c r="F91" s="196">
        <f t="shared" si="51"/>
        <v>0</v>
      </c>
      <c r="G91" s="196">
        <f t="shared" si="51"/>
        <v>176228</v>
      </c>
      <c r="H91" s="196">
        <f t="shared" si="51"/>
        <v>0</v>
      </c>
      <c r="I91" s="196">
        <f t="shared" si="51"/>
        <v>-140148</v>
      </c>
      <c r="J91" s="196">
        <f t="shared" si="51"/>
        <v>0</v>
      </c>
      <c r="K91" s="196">
        <f t="shared" si="51"/>
        <v>15705</v>
      </c>
      <c r="L91" s="196">
        <f t="shared" si="51"/>
        <v>0</v>
      </c>
      <c r="M91" s="196">
        <f t="shared" si="51"/>
        <v>604295</v>
      </c>
      <c r="N91" s="196">
        <f t="shared" si="51"/>
        <v>0</v>
      </c>
      <c r="O91" s="196">
        <f t="shared" si="51"/>
        <v>140148</v>
      </c>
      <c r="P91" s="196">
        <f t="shared" si="51"/>
        <v>0</v>
      </c>
      <c r="Q91" s="196">
        <f t="shared" si="51"/>
        <v>0</v>
      </c>
      <c r="R91" s="196">
        <f t="shared" si="51"/>
        <v>0</v>
      </c>
      <c r="S91" s="196">
        <f t="shared" si="51"/>
        <v>0</v>
      </c>
      <c r="T91" s="196">
        <f t="shared" si="51"/>
        <v>0</v>
      </c>
      <c r="U91" s="196">
        <f t="shared" si="51"/>
        <v>-620000</v>
      </c>
      <c r="V91" s="196">
        <f t="shared" si="51"/>
        <v>0</v>
      </c>
      <c r="W91" s="196">
        <f t="shared" si="51"/>
        <v>128140</v>
      </c>
      <c r="X91" s="196">
        <f t="shared" si="51"/>
        <v>0</v>
      </c>
      <c r="Y91" s="196">
        <f t="shared" si="51"/>
        <v>0</v>
      </c>
      <c r="Z91" s="196">
        <f t="shared" si="51"/>
        <v>0</v>
      </c>
      <c r="AA91" s="196">
        <f t="shared" si="51"/>
        <v>0</v>
      </c>
      <c r="AB91" s="196">
        <f t="shared" si="51"/>
        <v>0</v>
      </c>
      <c r="AC91" s="196">
        <f t="shared" si="51"/>
        <v>0</v>
      </c>
      <c r="AD91" s="196">
        <f t="shared" si="51"/>
        <v>0</v>
      </c>
      <c r="AE91" s="196">
        <f t="shared" si="51"/>
        <v>0</v>
      </c>
      <c r="AF91" s="196">
        <f t="shared" ref="AF91:AK91" si="52">+AF82+AF89</f>
        <v>0</v>
      </c>
      <c r="AG91" s="196">
        <f t="shared" si="52"/>
        <v>0</v>
      </c>
      <c r="AH91" s="196">
        <f t="shared" si="52"/>
        <v>0</v>
      </c>
      <c r="AI91" s="196">
        <f t="shared" si="52"/>
        <v>0</v>
      </c>
      <c r="AJ91" s="196">
        <f t="shared" si="52"/>
        <v>0</v>
      </c>
      <c r="AK91" s="196">
        <f t="shared" si="52"/>
        <v>0</v>
      </c>
      <c r="AL91" s="196">
        <f t="shared" ref="AL91:AQ91" si="53">+AL82+AL89</f>
        <v>0</v>
      </c>
      <c r="AM91" s="196">
        <f t="shared" si="53"/>
        <v>0</v>
      </c>
      <c r="AN91" s="196">
        <f t="shared" si="53"/>
        <v>0</v>
      </c>
      <c r="AO91" s="196">
        <f t="shared" si="53"/>
        <v>0</v>
      </c>
      <c r="AP91" s="196">
        <f t="shared" si="53"/>
        <v>0</v>
      </c>
      <c r="AQ91" s="196">
        <f t="shared" si="53"/>
        <v>0</v>
      </c>
      <c r="AR91" s="196">
        <f>+AR82+AR89</f>
        <v>0</v>
      </c>
      <c r="AS91" s="196">
        <f>+AS82+AS89</f>
        <v>0</v>
      </c>
      <c r="AT91" s="196">
        <f>+AT82+AT89</f>
        <v>0</v>
      </c>
      <c r="AU91" s="196">
        <f>+AU82+AU89</f>
        <v>0</v>
      </c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</row>
    <row r="92" spans="1:79" x14ac:dyDescent="0.25">
      <c r="A92" s="4"/>
      <c r="B92" s="3"/>
    </row>
    <row r="93" spans="1:79" x14ac:dyDescent="0.25">
      <c r="A93" s="4"/>
      <c r="B93" s="3"/>
    </row>
    <row r="94" spans="1:79" x14ac:dyDescent="0.25">
      <c r="A94" s="4"/>
      <c r="B94" s="3"/>
    </row>
    <row r="95" spans="1:79" x14ac:dyDescent="0.25">
      <c r="A95" s="4"/>
      <c r="B95" s="3"/>
    </row>
    <row r="96" spans="1:7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29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C651" sqref="AC651"/>
      <selection pane="topRight" activeCell="AC651" sqref="AC651"/>
      <selection pane="bottomLeft" activeCell="AC651" sqref="AC651"/>
      <selection pane="bottomRight" activeCell="AC651" sqref="AC65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'CE-FLSH'!L11</f>
        <v>44934747</v>
      </c>
      <c r="E11" s="66">
        <f>'CE-FLSH'!M11</f>
        <v>81138704</v>
      </c>
      <c r="F11" s="60">
        <f>CE_GL!D11</f>
        <v>44681847</v>
      </c>
      <c r="G11" s="38">
        <f>CE_GL!E11</f>
        <v>94208631.010000005</v>
      </c>
      <c r="H11" s="60">
        <f>F11-D11</f>
        <v>-252900</v>
      </c>
      <c r="I11" s="38">
        <f>G11-E11</f>
        <v>13069927.010000005</v>
      </c>
    </row>
    <row r="12" spans="1:22" x14ac:dyDescent="0.25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-9962194.8699999992</v>
      </c>
      <c r="H12" s="60">
        <f>F12-D12</f>
        <v>0</v>
      </c>
      <c r="I12" s="38">
        <f>G12-E12</f>
        <v>-9962194.8699999992</v>
      </c>
    </row>
    <row r="13" spans="1:22" x14ac:dyDescent="0.25">
      <c r="A13" s="9">
        <v>3</v>
      </c>
      <c r="B13" s="7"/>
      <c r="C13" s="18" t="s">
        <v>31</v>
      </c>
      <c r="D13" s="65">
        <f>'CE-FLSH'!L13</f>
        <v>15160831</v>
      </c>
      <c r="E13" s="66">
        <f>'CE-FLSH'!M13</f>
        <v>26741159</v>
      </c>
      <c r="F13" s="60">
        <f>CE_GL!D13</f>
        <v>14314155</v>
      </c>
      <c r="G13" s="38">
        <f>CE_GL!E13</f>
        <v>25175609</v>
      </c>
      <c r="H13" s="60">
        <f t="shared" ref="H13:I15" si="0">F13-D13</f>
        <v>-846676</v>
      </c>
      <c r="I13" s="38">
        <f t="shared" si="0"/>
        <v>-1565550</v>
      </c>
    </row>
    <row r="14" spans="1:22" x14ac:dyDescent="0.25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-3043675.7</v>
      </c>
      <c r="H15" s="60">
        <f t="shared" si="0"/>
        <v>0</v>
      </c>
      <c r="I15" s="38">
        <f t="shared" si="0"/>
        <v>-3043675.7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60095578</v>
      </c>
      <c r="E16" s="39">
        <f t="shared" si="1"/>
        <v>107879863</v>
      </c>
      <c r="F16" s="61">
        <f t="shared" si="1"/>
        <v>58996002</v>
      </c>
      <c r="G16" s="39">
        <f t="shared" si="1"/>
        <v>106378369.44</v>
      </c>
      <c r="H16" s="61">
        <f t="shared" si="1"/>
        <v>-1099576</v>
      </c>
      <c r="I16" s="39">
        <f t="shared" si="1"/>
        <v>-1501493.559999994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'CE-FLSH'!L19</f>
        <v>-37048464</v>
      </c>
      <c r="E19" s="66">
        <f>'CE-FLSH'!M19</f>
        <v>-66159116</v>
      </c>
      <c r="F19" s="60">
        <f>CE_GL!D19</f>
        <v>-45082549</v>
      </c>
      <c r="G19" s="38">
        <f>CE_GL!E19</f>
        <v>-79723326.00999999</v>
      </c>
      <c r="H19" s="60">
        <f>F19-D19</f>
        <v>-8034085</v>
      </c>
      <c r="I19" s="38">
        <f>G19-E19</f>
        <v>-13564210.00999999</v>
      </c>
    </row>
    <row r="20" spans="1:9" x14ac:dyDescent="0.25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213876.88</v>
      </c>
      <c r="H20" s="60">
        <f>F20-D20</f>
        <v>0</v>
      </c>
      <c r="I20" s="38">
        <f>G20-E20</f>
        <v>213876.88</v>
      </c>
    </row>
    <row r="21" spans="1:9" x14ac:dyDescent="0.25">
      <c r="A21" s="9">
        <v>8</v>
      </c>
      <c r="B21" s="7"/>
      <c r="C21" s="18" t="s">
        <v>31</v>
      </c>
      <c r="D21" s="65">
        <f>'CE-FLSH'!L21</f>
        <v>-23344043</v>
      </c>
      <c r="E21" s="66">
        <f>'CE-FLSH'!M21</f>
        <v>-40617148</v>
      </c>
      <c r="F21" s="60">
        <f>CE_GL!D21</f>
        <v>-15162621</v>
      </c>
      <c r="G21" s="38">
        <f>CE_GL!E21</f>
        <v>-26636734</v>
      </c>
      <c r="H21" s="60">
        <f t="shared" ref="H21:I23" si="2">F21-D21</f>
        <v>8181422</v>
      </c>
      <c r="I21" s="38">
        <f t="shared" si="2"/>
        <v>13980414</v>
      </c>
    </row>
    <row r="22" spans="1:9" x14ac:dyDescent="0.25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'CE-FLSH'!L23</f>
        <v>319974</v>
      </c>
      <c r="E23" s="66">
        <f>'CE-FLSH'!M23</f>
        <v>544806</v>
      </c>
      <c r="F23" s="60">
        <f>CE_GL!D23</f>
        <v>212651</v>
      </c>
      <c r="G23" s="38">
        <f>CE_GL!E23</f>
        <v>381708.5500000001</v>
      </c>
      <c r="H23" s="60">
        <f t="shared" si="2"/>
        <v>-107323</v>
      </c>
      <c r="I23" s="38">
        <f t="shared" si="2"/>
        <v>-163097.4499999999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-60072533</v>
      </c>
      <c r="E24" s="39">
        <f t="shared" si="3"/>
        <v>-106231458</v>
      </c>
      <c r="F24" s="61">
        <f t="shared" si="3"/>
        <v>-60032519</v>
      </c>
      <c r="G24" s="39">
        <f t="shared" si="3"/>
        <v>-105764474.58</v>
      </c>
      <c r="H24" s="61">
        <f t="shared" si="3"/>
        <v>40014</v>
      </c>
      <c r="I24" s="39">
        <f t="shared" si="3"/>
        <v>466983.42000001046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337409</v>
      </c>
      <c r="G27" s="38">
        <f>CE_GL!E27</f>
        <v>598943.06999999995</v>
      </c>
      <c r="H27" s="60">
        <f>F27-D27</f>
        <v>337409</v>
      </c>
      <c r="I27" s="38">
        <f>G27-E27</f>
        <v>598943.06999999995</v>
      </c>
    </row>
    <row r="28" spans="1:9" x14ac:dyDescent="0.25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-613076</v>
      </c>
      <c r="G28" s="38">
        <f>CE_GL!E28</f>
        <v>-1110780.1499999999</v>
      </c>
      <c r="H28" s="60">
        <f>F28-D28</f>
        <v>-613076</v>
      </c>
      <c r="I28" s="38">
        <f>G28-E28</f>
        <v>-1110780.1499999999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-275667</v>
      </c>
      <c r="G29" s="70">
        <f t="shared" si="4"/>
        <v>-511837.07999999996</v>
      </c>
      <c r="H29" s="69">
        <f t="shared" si="4"/>
        <v>-275667</v>
      </c>
      <c r="I29" s="70">
        <f t="shared" si="4"/>
        <v>-511837.07999999996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'CE-FLSH'!L32</f>
        <v>3305327</v>
      </c>
      <c r="E32" s="66">
        <f>'CE-FLSH'!M32</f>
        <v>6039892</v>
      </c>
      <c r="F32" s="60">
        <f>CE_GL!D32</f>
        <v>-10799</v>
      </c>
      <c r="G32" s="38">
        <f>CE_GL!E32</f>
        <v>-19385.005000000023</v>
      </c>
      <c r="H32" s="60">
        <f>F32-D32</f>
        <v>-3316126</v>
      </c>
      <c r="I32" s="38">
        <f>G32-E32</f>
        <v>-6059277.0049999999</v>
      </c>
    </row>
    <row r="33" spans="1:9" x14ac:dyDescent="0.25">
      <c r="A33" s="9">
        <v>14</v>
      </c>
      <c r="B33" s="7"/>
      <c r="C33" s="18" t="s">
        <v>44</v>
      </c>
      <c r="D33" s="65">
        <f>'CE-FLSH'!L33</f>
        <v>-3353971</v>
      </c>
      <c r="E33" s="66">
        <f>'CE-FLSH'!M33</f>
        <v>-6027879.4058935335</v>
      </c>
      <c r="F33" s="60">
        <f>CE_GL!D33</f>
        <v>-5188</v>
      </c>
      <c r="G33" s="38">
        <f>CE_GL!E33</f>
        <v>-8789.18</v>
      </c>
      <c r="H33" s="60">
        <f t="shared" ref="H33:I35" si="5">F33-D33</f>
        <v>3348783</v>
      </c>
      <c r="I33" s="38">
        <f t="shared" si="5"/>
        <v>6019090.2258935338</v>
      </c>
    </row>
    <row r="34" spans="1:9" x14ac:dyDescent="0.25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27813</v>
      </c>
      <c r="G34" s="38">
        <f>CE_GL!E34</f>
        <v>20460.309999999998</v>
      </c>
      <c r="H34" s="60">
        <f t="shared" si="5"/>
        <v>27813</v>
      </c>
      <c r="I34" s="38">
        <f t="shared" si="5"/>
        <v>20460.309999999998</v>
      </c>
    </row>
    <row r="35" spans="1:9" x14ac:dyDescent="0.25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415138</v>
      </c>
      <c r="G35" s="38">
        <f>CE_GL!E35</f>
        <v>707028.11</v>
      </c>
      <c r="H35" s="60">
        <f t="shared" si="5"/>
        <v>415138</v>
      </c>
      <c r="I35" s="38">
        <f t="shared" si="5"/>
        <v>707028.11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-48644</v>
      </c>
      <c r="E36" s="39">
        <f t="shared" si="6"/>
        <v>12012.594106466509</v>
      </c>
      <c r="F36" s="61">
        <f t="shared" si="6"/>
        <v>426964</v>
      </c>
      <c r="G36" s="39">
        <f t="shared" si="6"/>
        <v>699314.23499999999</v>
      </c>
      <c r="H36" s="61">
        <f t="shared" si="6"/>
        <v>475608</v>
      </c>
      <c r="I36" s="39">
        <f t="shared" si="6"/>
        <v>687301.64089353383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'CE-FLSH'!L39</f>
        <v>103162</v>
      </c>
      <c r="E39" s="66">
        <f>'CE-FLSH'!M39</f>
        <v>183113</v>
      </c>
      <c r="F39" s="60">
        <f>CE_GL!D39</f>
        <v>87224</v>
      </c>
      <c r="G39" s="38">
        <f>CE_GL!E39</f>
        <v>156567.09</v>
      </c>
      <c r="H39" s="60">
        <f t="shared" ref="H39:I41" si="7">F39-D39</f>
        <v>-15938</v>
      </c>
      <c r="I39" s="38">
        <f t="shared" si="7"/>
        <v>-26545.910000000003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'CE-FLSH'!L40</f>
        <v>-21803</v>
      </c>
      <c r="E40" s="66">
        <f>'CE-FLSH'!M40</f>
        <v>-38374</v>
      </c>
      <c r="F40" s="60">
        <f>CE_GL!D40</f>
        <v>39511</v>
      </c>
      <c r="G40" s="38">
        <f>CE_GL!E40</f>
        <v>0</v>
      </c>
      <c r="H40" s="60">
        <f t="shared" si="7"/>
        <v>61314</v>
      </c>
      <c r="I40" s="38">
        <f t="shared" si="7"/>
        <v>38374</v>
      </c>
    </row>
    <row r="41" spans="1:9" x14ac:dyDescent="0.25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-21803</v>
      </c>
      <c r="E42" s="70">
        <f t="shared" si="8"/>
        <v>-38374</v>
      </c>
      <c r="F42" s="69">
        <f t="shared" si="8"/>
        <v>39511</v>
      </c>
      <c r="G42" s="70">
        <f t="shared" si="8"/>
        <v>0</v>
      </c>
      <c r="H42" s="69">
        <f t="shared" si="8"/>
        <v>61314</v>
      </c>
      <c r="I42" s="70">
        <f t="shared" si="8"/>
        <v>38374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81359</v>
      </c>
      <c r="E43" s="39">
        <f t="shared" si="9"/>
        <v>144739</v>
      </c>
      <c r="F43" s="61">
        <f t="shared" si="9"/>
        <v>126735</v>
      </c>
      <c r="G43" s="39">
        <f t="shared" si="9"/>
        <v>156567.09</v>
      </c>
      <c r="H43" s="61">
        <f t="shared" si="9"/>
        <v>45376</v>
      </c>
      <c r="I43" s="39">
        <f t="shared" si="9"/>
        <v>11828.089999999997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758485</v>
      </c>
      <c r="G49" s="38">
        <f>CE_GL!E49</f>
        <v>1361083.105</v>
      </c>
      <c r="H49" s="60">
        <f>F49-D49</f>
        <v>758485</v>
      </c>
      <c r="I49" s="38">
        <f>G49-E49</f>
        <v>1361083.105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'CE-FLSH'!L51</f>
        <v>-319974</v>
      </c>
      <c r="E51" s="66">
        <f>'CE-FLSH'!M51</f>
        <v>-544806</v>
      </c>
      <c r="F51" s="60">
        <f>CE_GL!D51</f>
        <v>-212651</v>
      </c>
      <c r="G51" s="38">
        <f>CE_GL!E51</f>
        <v>-381708.5500000001</v>
      </c>
      <c r="H51" s="60">
        <f>F51-D51</f>
        <v>107323</v>
      </c>
      <c r="I51" s="38">
        <f>G51-E51</f>
        <v>163097.4499999999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-111994</v>
      </c>
      <c r="F54" s="60">
        <f>CE_GL!D54</f>
        <v>-13277425</v>
      </c>
      <c r="G54" s="38">
        <f>CE_GL!E54</f>
        <v>-863495.22</v>
      </c>
      <c r="H54" s="60">
        <f>F54-D54</f>
        <v>-13277425</v>
      </c>
      <c r="I54" s="38">
        <f>G54-E54</f>
        <v>-751501.22</v>
      </c>
    </row>
    <row r="55" spans="1:9" x14ac:dyDescent="0.25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-1755333</v>
      </c>
      <c r="F55" s="60">
        <f>CE_GL!D55</f>
        <v>0</v>
      </c>
      <c r="G55" s="38">
        <f>CE_GL!E55</f>
        <v>-2122112.1599999997</v>
      </c>
      <c r="H55" s="60">
        <f>F55-D55</f>
        <v>0</v>
      </c>
      <c r="I55" s="38">
        <f>G55-E55</f>
        <v>-366779.15999999968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-1867327</v>
      </c>
      <c r="F56" s="61">
        <f t="shared" si="10"/>
        <v>-13277425</v>
      </c>
      <c r="G56" s="39">
        <f t="shared" si="10"/>
        <v>-2985607.38</v>
      </c>
      <c r="H56" s="61">
        <f t="shared" si="10"/>
        <v>-13277425</v>
      </c>
      <c r="I56" s="39">
        <f t="shared" si="10"/>
        <v>-1118280.3799999997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2345878</v>
      </c>
      <c r="F70" s="60">
        <f>CE_GL!D70</f>
        <v>0</v>
      </c>
      <c r="G70" s="38">
        <f>CE_GL!E70</f>
        <v>1012601</v>
      </c>
      <c r="H70" s="60">
        <f>F70-D70</f>
        <v>0</v>
      </c>
      <c r="I70" s="38">
        <f>G70-E70</f>
        <v>-1333277</v>
      </c>
    </row>
    <row r="71" spans="1:9" x14ac:dyDescent="0.25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-1540441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1540441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805437</v>
      </c>
      <c r="F72" s="69">
        <f t="shared" si="13"/>
        <v>0</v>
      </c>
      <c r="G72" s="70">
        <f t="shared" si="13"/>
        <v>1012601</v>
      </c>
      <c r="H72" s="69">
        <f t="shared" si="13"/>
        <v>0</v>
      </c>
      <c r="I72" s="70">
        <f t="shared" si="13"/>
        <v>207164</v>
      </c>
    </row>
    <row r="73" spans="1:9" x14ac:dyDescent="0.25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-1058947.8445764706</v>
      </c>
      <c r="F74" s="60">
        <f>CE_GL!D74</f>
        <v>0</v>
      </c>
      <c r="G74" s="38">
        <f>CE_GL!E74</f>
        <v>-763897.26</v>
      </c>
      <c r="H74" s="60">
        <f t="shared" ref="H74:I79" si="14">F74-D74</f>
        <v>0</v>
      </c>
      <c r="I74" s="38">
        <f t="shared" si="14"/>
        <v>295050.58457647054</v>
      </c>
    </row>
    <row r="75" spans="1:9" x14ac:dyDescent="0.25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57171</v>
      </c>
      <c r="F75" s="60">
        <f>CE_GL!D75</f>
        <v>0</v>
      </c>
      <c r="G75" s="38">
        <f>CE_GL!E75</f>
        <v>57200</v>
      </c>
      <c r="H75" s="60">
        <f t="shared" si="14"/>
        <v>0</v>
      </c>
      <c r="I75" s="38">
        <f t="shared" si="14"/>
        <v>29</v>
      </c>
    </row>
    <row r="76" spans="1:9" x14ac:dyDescent="0.25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-3775</v>
      </c>
      <c r="F76" s="60">
        <f>CE_GL!D76</f>
        <v>0</v>
      </c>
      <c r="G76" s="38">
        <f>CE_GL!E76</f>
        <v>-4337.63</v>
      </c>
      <c r="H76" s="60">
        <f t="shared" si="14"/>
        <v>0</v>
      </c>
      <c r="I76" s="38">
        <f t="shared" si="14"/>
        <v>-562.63000000000011</v>
      </c>
    </row>
    <row r="77" spans="1:9" x14ac:dyDescent="0.25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1129931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-1129931</v>
      </c>
    </row>
    <row r="80" spans="1:9" x14ac:dyDescent="0.25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0</v>
      </c>
      <c r="F81" s="60">
        <f>CE_GL!D81</f>
        <v>0</v>
      </c>
      <c r="G81" s="38">
        <f>CE_GL!E81</f>
        <v>875475.91</v>
      </c>
      <c r="H81" s="60">
        <f>F81-D81</f>
        <v>0</v>
      </c>
      <c r="I81" s="38">
        <f>G81-E81</f>
        <v>875475.91</v>
      </c>
    </row>
    <row r="82" spans="1:63" s="44" customFormat="1" ht="20.25" customHeight="1" thickBot="1" x14ac:dyDescent="0.35">
      <c r="A82" s="40"/>
      <c r="B82" s="41"/>
      <c r="C82" s="42" t="s">
        <v>83</v>
      </c>
      <c r="D82" s="71">
        <f>D16+D24+D29+D36+D43+D45+D47+D49</f>
        <v>55760</v>
      </c>
      <c r="E82" s="72">
        <f>SUM(E72:E81)+E16+E24+E29+E36+E43+E45+E47+E49+E51+E56+E61+E66</f>
        <v>322839.7495299885</v>
      </c>
      <c r="F82" s="71">
        <f>F16+F24+F29+F36+F43+F45+F47+F49</f>
        <v>0</v>
      </c>
      <c r="G82" s="72">
        <f>SUM(G72:G81)+G16+G24+G29+G36+G43+G45+G47+G49+G51+G56+G61+G66</f>
        <v>128748.29999999469</v>
      </c>
      <c r="H82" s="71">
        <f>H16+H24+H29+H36+H43+H45+H47+H49</f>
        <v>-55760</v>
      </c>
      <c r="I82" s="72">
        <f>SUM(I72:I81)+I16+I24+I29+I36+I43+I45+I47+I49+I51+I56+I61+I66</f>
        <v>-194091.44952997891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J9" sqref="J9"/>
      <selection pane="topRight" activeCell="J9" sqref="J9"/>
      <selection pane="bottomLeft" activeCell="J9" sqref="J9"/>
      <selection pane="bottomRight" activeCell="C8" sqref="C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'NE-FLSH'!L11</f>
        <v>93951748</v>
      </c>
      <c r="E11" s="66">
        <f>'NE-FLSH'!M11</f>
        <v>168966082</v>
      </c>
      <c r="F11" s="60">
        <f>NE_GL!D11</f>
        <v>101717689</v>
      </c>
      <c r="G11" s="38">
        <f>NE_GL!E11</f>
        <v>219479974.54000002</v>
      </c>
      <c r="H11" s="60">
        <f>F11-D11</f>
        <v>7765941</v>
      </c>
      <c r="I11" s="38">
        <f>G11-E11</f>
        <v>50513892.540000021</v>
      </c>
    </row>
    <row r="12" spans="1:22" x14ac:dyDescent="0.25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5">
      <c r="A13" s="9">
        <v>3</v>
      </c>
      <c r="B13" s="7"/>
      <c r="C13" s="18" t="s">
        <v>31</v>
      </c>
      <c r="D13" s="65">
        <f>'NE-FLSH'!L13</f>
        <v>63965777</v>
      </c>
      <c r="E13" s="66">
        <f>'NE-FLSH'!M13</f>
        <v>119726634.42029975</v>
      </c>
      <c r="F13" s="60">
        <f>NE_GL!D13</f>
        <v>51679271</v>
      </c>
      <c r="G13" s="38">
        <f>NE_GL!E13</f>
        <v>98255083</v>
      </c>
      <c r="H13" s="60">
        <f t="shared" ref="H13:I15" si="0">F13-D13</f>
        <v>-12286506</v>
      </c>
      <c r="I13" s="38">
        <f t="shared" si="0"/>
        <v>-21471551.420299754</v>
      </c>
    </row>
    <row r="14" spans="1:22" x14ac:dyDescent="0.25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88910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157917525</v>
      </c>
      <c r="E16" s="39">
        <f t="shared" si="1"/>
        <v>288781626.42029977</v>
      </c>
      <c r="F16" s="61">
        <f t="shared" si="1"/>
        <v>153396960</v>
      </c>
      <c r="G16" s="39">
        <f t="shared" si="1"/>
        <v>307140393.43000001</v>
      </c>
      <c r="H16" s="61">
        <f t="shared" si="1"/>
        <v>-4520565</v>
      </c>
      <c r="I16" s="39">
        <f t="shared" si="1"/>
        <v>18358767.009700269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'NE-FLSH'!L19</f>
        <v>-94462979</v>
      </c>
      <c r="E19" s="66">
        <f>'NE-FLSH'!M19</f>
        <v>-171418036</v>
      </c>
      <c r="F19" s="60">
        <f>NE_GL!D19</f>
        <v>-100742252</v>
      </c>
      <c r="G19" s="38">
        <f>NE_GL!E19</f>
        <v>-190050101.29000002</v>
      </c>
      <c r="H19" s="60">
        <f>F19-D19</f>
        <v>-6279273</v>
      </c>
      <c r="I19" s="38">
        <f>G19-E19</f>
        <v>-18632065.290000021</v>
      </c>
    </row>
    <row r="20" spans="1:9" x14ac:dyDescent="0.25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3776970.28</v>
      </c>
      <c r="H20" s="60">
        <f>F20-D20</f>
        <v>0</v>
      </c>
      <c r="I20" s="38">
        <f>G20-E20</f>
        <v>3776970.28</v>
      </c>
    </row>
    <row r="21" spans="1:9" x14ac:dyDescent="0.25">
      <c r="A21" s="9">
        <v>8</v>
      </c>
      <c r="B21" s="7"/>
      <c r="C21" s="18" t="s">
        <v>31</v>
      </c>
      <c r="D21" s="65">
        <f>'NE-FLSH'!L21</f>
        <v>-55713434</v>
      </c>
      <c r="E21" s="66">
        <f>'NE-FLSH'!M21</f>
        <v>-106066009</v>
      </c>
      <c r="F21" s="60">
        <f>NE_GL!D21</f>
        <v>-50191436</v>
      </c>
      <c r="G21" s="38">
        <f>NE_GL!E21</f>
        <v>-95514268</v>
      </c>
      <c r="H21" s="60">
        <f t="shared" ref="H21:I23" si="2">F21-D21</f>
        <v>5521998</v>
      </c>
      <c r="I21" s="38">
        <f t="shared" si="2"/>
        <v>10551741</v>
      </c>
    </row>
    <row r="22" spans="1:9" x14ac:dyDescent="0.25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'NE-FLSH'!L23</f>
        <v>627064</v>
      </c>
      <c r="E23" s="66">
        <f>'NE-FLSH'!M23</f>
        <v>1144342</v>
      </c>
      <c r="F23" s="60">
        <f>NE_GL!D23</f>
        <v>895129</v>
      </c>
      <c r="G23" s="38">
        <f>NE_GL!E23</f>
        <v>1600490.656</v>
      </c>
      <c r="H23" s="60">
        <f t="shared" si="2"/>
        <v>268065</v>
      </c>
      <c r="I23" s="38">
        <f t="shared" si="2"/>
        <v>456148.65599999996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-149549349</v>
      </c>
      <c r="E24" s="39">
        <f t="shared" si="3"/>
        <v>-276339703</v>
      </c>
      <c r="F24" s="61">
        <f t="shared" si="3"/>
        <v>-150038559</v>
      </c>
      <c r="G24" s="39">
        <f t="shared" si="3"/>
        <v>-280186908.35399997</v>
      </c>
      <c r="H24" s="61">
        <f t="shared" si="3"/>
        <v>-489210</v>
      </c>
      <c r="I24" s="39">
        <f t="shared" si="3"/>
        <v>-3847205.3540000222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'NE-FLSH'!L27</f>
        <v>-842723</v>
      </c>
      <c r="E27" s="66">
        <f>'NE-FLSH'!M27</f>
        <v>-1517548</v>
      </c>
      <c r="F27" s="60">
        <f>NE_GL!D27</f>
        <v>8074037</v>
      </c>
      <c r="G27" s="38">
        <f>NE_GL!E27</f>
        <v>14398794.130000001</v>
      </c>
      <c r="H27" s="60">
        <f>F27-D27</f>
        <v>8916760</v>
      </c>
      <c r="I27" s="38">
        <f>G27-E27</f>
        <v>15916342.130000001</v>
      </c>
    </row>
    <row r="28" spans="1:9" x14ac:dyDescent="0.25">
      <c r="A28" s="9">
        <v>12</v>
      </c>
      <c r="B28" s="7"/>
      <c r="C28" s="18" t="s">
        <v>40</v>
      </c>
      <c r="D28" s="65">
        <f>'NE-FLSH'!L28</f>
        <v>922792</v>
      </c>
      <c r="E28" s="66">
        <f>'NE-FLSH'!M28</f>
        <v>1649530</v>
      </c>
      <c r="F28" s="60">
        <f>NE_GL!D28</f>
        <v>-1763144</v>
      </c>
      <c r="G28" s="38">
        <f>NE_GL!E28</f>
        <v>-3119865.53</v>
      </c>
      <c r="H28" s="60">
        <f>F28-D28</f>
        <v>-2685936</v>
      </c>
      <c r="I28" s="38">
        <f>G28-E28</f>
        <v>-4769395.5299999993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80069</v>
      </c>
      <c r="E29" s="70">
        <f t="shared" si="4"/>
        <v>131982</v>
      </c>
      <c r="F29" s="69">
        <f t="shared" si="4"/>
        <v>6310893</v>
      </c>
      <c r="G29" s="70">
        <f t="shared" si="4"/>
        <v>11278928.600000001</v>
      </c>
      <c r="H29" s="69">
        <f t="shared" si="4"/>
        <v>6230824</v>
      </c>
      <c r="I29" s="70">
        <f t="shared" si="4"/>
        <v>11146946.600000001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'NE-FLSH'!L32</f>
        <v>226478</v>
      </c>
      <c r="E32" s="66">
        <f>'NE-FLSH'!M32</f>
        <v>427573</v>
      </c>
      <c r="F32" s="60">
        <f>NE_GL!D32</f>
        <v>-94281</v>
      </c>
      <c r="G32" s="38">
        <f>NE_GL!E32</f>
        <v>-168573.77299999996</v>
      </c>
      <c r="H32" s="60">
        <f>F32-D32</f>
        <v>-320759</v>
      </c>
      <c r="I32" s="38">
        <f>G32-E32</f>
        <v>-596146.77299999993</v>
      </c>
    </row>
    <row r="33" spans="1:9" x14ac:dyDescent="0.25">
      <c r="A33" s="9">
        <v>14</v>
      </c>
      <c r="B33" s="7"/>
      <c r="C33" s="18" t="s">
        <v>44</v>
      </c>
      <c r="D33" s="65">
        <f>'NE-FLSH'!L33</f>
        <v>-360353</v>
      </c>
      <c r="E33" s="66">
        <f>'NE-FLSH'!M33</f>
        <v>-666916.89810825116</v>
      </c>
      <c r="F33" s="60">
        <f>NE_GL!D33</f>
        <v>-103848</v>
      </c>
      <c r="G33" s="38">
        <f>NE_GL!E33</f>
        <v>-180480.98</v>
      </c>
      <c r="H33" s="60">
        <f t="shared" ref="H33:I35" si="5">F33-D33</f>
        <v>256505</v>
      </c>
      <c r="I33" s="38">
        <f t="shared" si="5"/>
        <v>486435.91810825118</v>
      </c>
    </row>
    <row r="34" spans="1:9" x14ac:dyDescent="0.25">
      <c r="A34" s="9">
        <v>15</v>
      </c>
      <c r="B34" s="7"/>
      <c r="C34" s="18" t="s">
        <v>45</v>
      </c>
      <c r="D34" s="65">
        <f>'NE-FLSH'!L34</f>
        <v>488068</v>
      </c>
      <c r="E34" s="66">
        <f>'NE-FLSH'!M34</f>
        <v>855329</v>
      </c>
      <c r="F34" s="60">
        <f>NE_GL!D34</f>
        <v>202782</v>
      </c>
      <c r="G34" s="38">
        <f>NE_GL!E34</f>
        <v>350711.18999999994</v>
      </c>
      <c r="H34" s="60">
        <f t="shared" si="5"/>
        <v>-285286</v>
      </c>
      <c r="I34" s="38">
        <f t="shared" si="5"/>
        <v>-504617.81000000006</v>
      </c>
    </row>
    <row r="35" spans="1:9" x14ac:dyDescent="0.25">
      <c r="A35" s="9">
        <v>16</v>
      </c>
      <c r="B35" s="7"/>
      <c r="C35" s="18" t="s">
        <v>46</v>
      </c>
      <c r="D35" s="65">
        <f>'NE-FLSH'!L35</f>
        <v>-238970</v>
      </c>
      <c r="E35" s="66">
        <f>'NE-FLSH'!M35</f>
        <v>-419914</v>
      </c>
      <c r="F35" s="60">
        <f>NE_GL!D35</f>
        <v>0</v>
      </c>
      <c r="G35" s="38">
        <f>NE_GL!E35</f>
        <v>-36367</v>
      </c>
      <c r="H35" s="60">
        <f t="shared" si="5"/>
        <v>238970</v>
      </c>
      <c r="I35" s="38">
        <f t="shared" si="5"/>
        <v>383547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115223</v>
      </c>
      <c r="E36" s="39">
        <f t="shared" si="6"/>
        <v>196071.10189174884</v>
      </c>
      <c r="F36" s="61">
        <f t="shared" si="6"/>
        <v>4653</v>
      </c>
      <c r="G36" s="39">
        <f t="shared" si="6"/>
        <v>-34710.563000000024</v>
      </c>
      <c r="H36" s="61">
        <f t="shared" si="6"/>
        <v>-110570</v>
      </c>
      <c r="I36" s="39">
        <f t="shared" si="6"/>
        <v>-230781.66489174881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'NE-FLSH'!L39</f>
        <v>112201</v>
      </c>
      <c r="E39" s="66">
        <f>'NE-FLSH'!M39</f>
        <v>203400</v>
      </c>
      <c r="F39" s="60">
        <f>NE_GL!D39</f>
        <v>-5666</v>
      </c>
      <c r="G39" s="38">
        <f>NE_GL!E39</f>
        <v>-13116.79</v>
      </c>
      <c r="H39" s="60">
        <f t="shared" ref="H39:I41" si="7">F39-D39</f>
        <v>-117867</v>
      </c>
      <c r="I39" s="38">
        <f t="shared" si="7"/>
        <v>-216516.79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'NE-FLSH'!L40</f>
        <v>-8395722</v>
      </c>
      <c r="E40" s="66">
        <f>'NE-FLSH'!M40</f>
        <v>-10119290</v>
      </c>
      <c r="F40" s="60">
        <f>NE_GL!D40</f>
        <v>-8999127</v>
      </c>
      <c r="G40" s="38">
        <f>NE_GL!E40</f>
        <v>-20191031.359999999</v>
      </c>
      <c r="H40" s="60">
        <f t="shared" si="7"/>
        <v>-603405</v>
      </c>
      <c r="I40" s="38">
        <f t="shared" si="7"/>
        <v>-10071741.359999999</v>
      </c>
    </row>
    <row r="41" spans="1:9" x14ac:dyDescent="0.25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117344</v>
      </c>
      <c r="H41" s="60">
        <f t="shared" si="7"/>
        <v>0</v>
      </c>
      <c r="I41" s="38">
        <f t="shared" si="7"/>
        <v>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-8395722</v>
      </c>
      <c r="E42" s="70">
        <f t="shared" si="8"/>
        <v>-10119290</v>
      </c>
      <c r="F42" s="69">
        <f t="shared" si="8"/>
        <v>-8999127</v>
      </c>
      <c r="G42" s="70">
        <f t="shared" si="8"/>
        <v>-20073687.359999999</v>
      </c>
      <c r="H42" s="69">
        <f t="shared" si="8"/>
        <v>-603405</v>
      </c>
      <c r="I42" s="70">
        <f t="shared" si="8"/>
        <v>-9954397.3599999994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-8283521</v>
      </c>
      <c r="E43" s="39">
        <f t="shared" si="9"/>
        <v>-9915890</v>
      </c>
      <c r="F43" s="61">
        <f t="shared" si="9"/>
        <v>-9004793</v>
      </c>
      <c r="G43" s="39">
        <f t="shared" si="9"/>
        <v>-20086804.149999999</v>
      </c>
      <c r="H43" s="61">
        <f t="shared" si="9"/>
        <v>-721272</v>
      </c>
      <c r="I43" s="39">
        <f t="shared" si="9"/>
        <v>-10170914.149999999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'NE-FLSH'!L49</f>
        <v>-190556</v>
      </c>
      <c r="E49" s="66">
        <f>'NE-FLSH'!M49</f>
        <v>-337495.17154456058</v>
      </c>
      <c r="F49" s="60">
        <f>NE_GL!D49</f>
        <v>-669154</v>
      </c>
      <c r="G49" s="38">
        <f>NE_GL!E49</f>
        <v>-1196844.3699999999</v>
      </c>
      <c r="H49" s="60">
        <f>F49-D49</f>
        <v>-478598</v>
      </c>
      <c r="I49" s="38">
        <f>G49-E49</f>
        <v>-859349.1984554393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'NE-FLSH'!L51</f>
        <v>-627064</v>
      </c>
      <c r="E51" s="66">
        <f>'NE-FLSH'!M51</f>
        <v>-1196394</v>
      </c>
      <c r="F51" s="60">
        <f>NE_GL!D51</f>
        <v>-1199008</v>
      </c>
      <c r="G51" s="38">
        <f>NE_GL!E51</f>
        <v>-1600490.656</v>
      </c>
      <c r="H51" s="60">
        <f>F51-D51</f>
        <v>-571944</v>
      </c>
      <c r="I51" s="38">
        <f>G51-E51</f>
        <v>-404096.65599999996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-1086700</v>
      </c>
      <c r="F54" s="60">
        <f>NE_GL!D54</f>
        <v>-47485773</v>
      </c>
      <c r="G54" s="38">
        <f>NE_GL!E54</f>
        <v>-1210974.19</v>
      </c>
      <c r="H54" s="60">
        <f>F54-D54</f>
        <v>-47485773</v>
      </c>
      <c r="I54" s="38">
        <f>G54-E54</f>
        <v>-124274.18999999994</v>
      </c>
    </row>
    <row r="55" spans="1:9" x14ac:dyDescent="0.25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-12261836</v>
      </c>
      <c r="F55" s="60">
        <f>NE_GL!D55</f>
        <v>0</v>
      </c>
      <c r="G55" s="38">
        <f>NE_GL!E55</f>
        <v>-15285348.920000002</v>
      </c>
      <c r="H55" s="60">
        <f>F55-D55</f>
        <v>0</v>
      </c>
      <c r="I55" s="38">
        <f>G55-E55</f>
        <v>-3023512.9200000018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-13348536</v>
      </c>
      <c r="F56" s="61">
        <f t="shared" si="10"/>
        <v>-47485773</v>
      </c>
      <c r="G56" s="39">
        <f t="shared" si="10"/>
        <v>-16496323.110000001</v>
      </c>
      <c r="H56" s="61">
        <f t="shared" si="10"/>
        <v>-47485773</v>
      </c>
      <c r="I56" s="39">
        <f t="shared" si="10"/>
        <v>-3147787.1100000017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-112176.6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112176.6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-112176.6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112176.6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158915.965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-131832.965</v>
      </c>
    </row>
    <row r="65" spans="1:9" x14ac:dyDescent="0.25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-541832.96499999997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-2435307.935000001</v>
      </c>
      <c r="F70" s="60">
        <f>NE_GL!D70</f>
        <v>0</v>
      </c>
      <c r="G70" s="38">
        <f>NE_GL!E70</f>
        <v>-3030699.9600000009</v>
      </c>
      <c r="H70" s="60">
        <f>F70-D70</f>
        <v>0</v>
      </c>
      <c r="I70" s="38">
        <f>G70-E70</f>
        <v>-595392.02499999991</v>
      </c>
    </row>
    <row r="71" spans="1:9" x14ac:dyDescent="0.25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3892110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-3892110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1456802.064999999</v>
      </c>
      <c r="F72" s="69">
        <f t="shared" si="13"/>
        <v>0</v>
      </c>
      <c r="G72" s="70">
        <f t="shared" si="13"/>
        <v>-3030699.9600000009</v>
      </c>
      <c r="H72" s="69">
        <f t="shared" si="13"/>
        <v>0</v>
      </c>
      <c r="I72" s="70">
        <f t="shared" si="13"/>
        <v>-4487502.0250000004</v>
      </c>
    </row>
    <row r="73" spans="1:9" x14ac:dyDescent="0.25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5713</v>
      </c>
      <c r="F74" s="60">
        <f>NE_GL!D74</f>
        <v>0</v>
      </c>
      <c r="G74" s="38">
        <f>NE_GL!E74</f>
        <v>6332587.0399999991</v>
      </c>
      <c r="H74" s="60">
        <f t="shared" ref="H74:I79" si="14">F74-D74</f>
        <v>0</v>
      </c>
      <c r="I74" s="38">
        <f t="shared" si="14"/>
        <v>6326874.0399999991</v>
      </c>
    </row>
    <row r="75" spans="1:9" x14ac:dyDescent="0.25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16223.95</v>
      </c>
      <c r="F75" s="60">
        <f>NE_GL!D75</f>
        <v>0</v>
      </c>
      <c r="G75" s="38">
        <f>NE_GL!E75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5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0</v>
      </c>
      <c r="F76" s="60">
        <f>NE_GL!D76</f>
        <v>0</v>
      </c>
      <c r="G76" s="38">
        <f>NE_GL!E76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5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1738274</v>
      </c>
      <c r="F77" s="60">
        <f>NE_GL!D77</f>
        <v>0</v>
      </c>
      <c r="G77" s="38">
        <f>NE_GL!E77</f>
        <v>-3276809</v>
      </c>
      <c r="H77" s="60">
        <f t="shared" si="14"/>
        <v>0</v>
      </c>
      <c r="I77" s="38">
        <f t="shared" si="14"/>
        <v>-5015083</v>
      </c>
    </row>
    <row r="78" spans="1:9" x14ac:dyDescent="0.25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23732.945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11753580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-11753580</v>
      </c>
    </row>
    <row r="80" spans="1:9" x14ac:dyDescent="0.25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164679.23000000001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-164679.23000000001</v>
      </c>
    </row>
    <row r="81" spans="1:9" x14ac:dyDescent="0.25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-2000000</v>
      </c>
      <c r="F81" s="60">
        <f>NE_GL!D81</f>
        <v>0</v>
      </c>
      <c r="G81" s="38">
        <f>NE_GL!E81</f>
        <v>476861.95</v>
      </c>
      <c r="H81" s="60">
        <f>F81-D81</f>
        <v>0</v>
      </c>
      <c r="I81" s="38">
        <f>G81-E81</f>
        <v>2476861.9500000002</v>
      </c>
    </row>
    <row r="82" spans="1:9" s="149" customFormat="1" ht="20.25" customHeight="1" thickBot="1" x14ac:dyDescent="0.3">
      <c r="A82" s="198"/>
      <c r="B82" s="199"/>
      <c r="C82" s="200" t="s">
        <v>83</v>
      </c>
      <c r="D82" s="117">
        <f>D16+D24+D29+D36+D43+D45+D47+D49</f>
        <v>89391</v>
      </c>
      <c r="E82" s="118">
        <f>SUM(E72:E81)+E16+E24+E29+E36+E43+E45+E47+E49+E51+E56+E61+E66</f>
        <v>1177405.9056469535</v>
      </c>
      <c r="F82" s="117">
        <f>F16+F24+F29+F36+F43+F45+F47+F49</f>
        <v>0</v>
      </c>
      <c r="G82" s="118">
        <f>SUM(G72:G81)+G16+G24+G29+G36+G43+G45+G47+G49+G51+G56+G61+G66</f>
        <v>-1231936.1329999436</v>
      </c>
      <c r="H82" s="117">
        <f>H16+H24+H29+H36+H43+H45+H47+H49</f>
        <v>-89391</v>
      </c>
      <c r="I82" s="118">
        <f>SUM(I72:I81)+I16+I24+I29+I36+I43+I45+I47+I49+I51+I56+I61+I66</f>
        <v>-2409342.0386469439</v>
      </c>
    </row>
    <row r="83" spans="1:9" ht="13.8" thickTop="1" x14ac:dyDescent="0.25">
      <c r="A83" s="4"/>
      <c r="B83" s="3"/>
    </row>
    <row r="84" spans="1:9" x14ac:dyDescent="0.25">
      <c r="A84" s="4"/>
      <c r="B84" s="3"/>
    </row>
    <row r="85" spans="1:9" x14ac:dyDescent="0.25">
      <c r="A85" s="4" t="s">
        <v>195</v>
      </c>
      <c r="B85" s="3"/>
      <c r="F85" s="31"/>
      <c r="G85" s="31"/>
      <c r="H85" s="31"/>
      <c r="I85" s="31"/>
    </row>
    <row r="86" spans="1:9" x14ac:dyDescent="0.25">
      <c r="A86" s="183"/>
      <c r="B86" s="3"/>
      <c r="C86" s="10" t="s">
        <v>189</v>
      </c>
      <c r="D86" s="184">
        <f>'NE-FLSH'!L86</f>
        <v>0</v>
      </c>
      <c r="E86" s="184">
        <f>'NE-FLSH'!M86</f>
        <v>0</v>
      </c>
      <c r="F86" s="184">
        <f>NE_GL!D86</f>
        <v>0</v>
      </c>
      <c r="G86" s="184">
        <f>NE_GL!E86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9" x14ac:dyDescent="0.25">
      <c r="A87" s="183"/>
      <c r="B87" s="3"/>
      <c r="C87" s="10" t="s">
        <v>75</v>
      </c>
      <c r="D87" s="185">
        <f>'NE-FLSH'!L87</f>
        <v>0</v>
      </c>
      <c r="E87" s="185">
        <f>'NE-FLSH'!M87</f>
        <v>0</v>
      </c>
      <c r="F87" s="185">
        <f>NE_GL!D87</f>
        <v>0</v>
      </c>
      <c r="G87" s="185">
        <f>NE_GL!E87</f>
        <v>0</v>
      </c>
      <c r="H87" s="185">
        <f t="shared" si="15"/>
        <v>0</v>
      </c>
      <c r="I87" s="185">
        <f t="shared" si="15"/>
        <v>0</v>
      </c>
    </row>
    <row r="88" spans="1:9" x14ac:dyDescent="0.25">
      <c r="A88" s="183"/>
      <c r="B88" s="3"/>
      <c r="C88" s="10" t="s">
        <v>76</v>
      </c>
      <c r="D88" s="186">
        <f>'NE-FLSH'!L88</f>
        <v>0</v>
      </c>
      <c r="E88" s="186">
        <f>'NE-FLSH'!M88</f>
        <v>0</v>
      </c>
      <c r="F88" s="186">
        <f>NE_GL!D88</f>
        <v>0</v>
      </c>
      <c r="G88" s="186">
        <f>NE_GL!E88</f>
        <v>0</v>
      </c>
      <c r="H88" s="186">
        <f t="shared" si="15"/>
        <v>0</v>
      </c>
      <c r="I88" s="186">
        <f t="shared" si="15"/>
        <v>0</v>
      </c>
    </row>
    <row r="89" spans="1:9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9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9" s="149" customFormat="1" x14ac:dyDescent="0.25">
      <c r="A91" s="187"/>
      <c r="B91" s="188"/>
      <c r="C91" s="189" t="s">
        <v>191</v>
      </c>
      <c r="D91" s="190">
        <f t="shared" ref="D91:I91" si="17">+D82+D89</f>
        <v>89391</v>
      </c>
      <c r="E91" s="190">
        <f t="shared" si="17"/>
        <v>1177405.9056469535</v>
      </c>
      <c r="F91" s="190">
        <f t="shared" si="17"/>
        <v>0</v>
      </c>
      <c r="G91" s="190">
        <f t="shared" si="17"/>
        <v>-1238842.1729999436</v>
      </c>
      <c r="H91" s="190">
        <f t="shared" si="17"/>
        <v>-89391</v>
      </c>
      <c r="I91" s="190">
        <f t="shared" si="17"/>
        <v>-2416248.0786469439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'SE-LRC-FLSH'!L11</f>
        <v>8756483</v>
      </c>
      <c r="E11" s="66">
        <f>'SE-LRC-FLSH'!M11</f>
        <v>15999987</v>
      </c>
      <c r="F11" s="60">
        <f>'SE-LRC-GL'!D11</f>
        <v>8810649</v>
      </c>
      <c r="G11" s="38">
        <f>'SE-LRC-GL'!E11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5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'SE-LRC-FLSH'!L13</f>
        <v>2430728</v>
      </c>
      <c r="E13" s="66">
        <f>'SE-LRC-FLSH'!M13</f>
        <v>4354318.5797002474</v>
      </c>
      <c r="F13" s="60">
        <f>'SE-LRC-GL'!D13</f>
        <v>0</v>
      </c>
      <c r="G13" s="38">
        <f>'SE-LRC-GL'!E13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5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'SE-LRC-FLSH'!L19</f>
        <v>-3595574</v>
      </c>
      <c r="E19" s="66">
        <f>'SE-LRC-FLSH'!M19</f>
        <v>-6362818</v>
      </c>
      <c r="F19" s="60">
        <f>'SE-LRC-GL'!D19</f>
        <v>-3643430</v>
      </c>
      <c r="G19" s="38">
        <f>'SE-LRC-GL'!E19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5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-1135706.29</v>
      </c>
      <c r="H20" s="60">
        <f>F20-D20</f>
        <v>0</v>
      </c>
      <c r="I20" s="38">
        <f>G20-E20</f>
        <v>-1135706.29</v>
      </c>
    </row>
    <row r="21" spans="1:9" x14ac:dyDescent="0.25">
      <c r="A21" s="9">
        <v>8</v>
      </c>
      <c r="B21" s="7"/>
      <c r="C21" s="18" t="s">
        <v>31</v>
      </c>
      <c r="D21" s="65">
        <f>'SE-LRC-FLSH'!L21</f>
        <v>-8411446</v>
      </c>
      <c r="E21" s="66">
        <f>'SE-LRC-FLSH'!M21</f>
        <v>-14851847</v>
      </c>
      <c r="F21" s="60">
        <f>'SE-LRC-GL'!D21</f>
        <v>0</v>
      </c>
      <c r="G21" s="38">
        <f>'SE-LRC-GL'!E21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5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-154</v>
      </c>
      <c r="G23" s="38">
        <f>'SE-LRC-GL'!E23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'SE-LRC-FLSH'!L27</f>
        <v>842723</v>
      </c>
      <c r="E27" s="66">
        <f>'SE-LRC-FLSH'!M27</f>
        <v>1517548</v>
      </c>
      <c r="F27" s="60">
        <f>'SE-LRC-GL'!D27</f>
        <v>2713781</v>
      </c>
      <c r="G27" s="38">
        <f>'SE-LRC-GL'!E27</f>
        <v>4854237.33</v>
      </c>
      <c r="H27" s="60">
        <f>F27-D27</f>
        <v>1871058</v>
      </c>
      <c r="I27" s="38">
        <f>G27-E27</f>
        <v>3336689.33</v>
      </c>
    </row>
    <row r="28" spans="1:9" x14ac:dyDescent="0.25">
      <c r="A28" s="9">
        <v>12</v>
      </c>
      <c r="B28" s="7"/>
      <c r="C28" s="18" t="s">
        <v>40</v>
      </c>
      <c r="D28" s="65">
        <f>'SE-LRC-FLSH'!L28</f>
        <v>-922792</v>
      </c>
      <c r="E28" s="66">
        <f>'SE-LRC-FLSH'!M28</f>
        <v>-1649530</v>
      </c>
      <c r="F28" s="60">
        <f>'SE-LRC-GL'!D28</f>
        <v>-8644052</v>
      </c>
      <c r="G28" s="38">
        <f>'SE-LRC-GL'!E28</f>
        <v>-15426032.459999999</v>
      </c>
      <c r="H28" s="60">
        <f>F28-D28</f>
        <v>-7721260</v>
      </c>
      <c r="I28" s="38">
        <f>G28-E28</f>
        <v>-13776502.459999999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-5930271</v>
      </c>
      <c r="G29" s="70">
        <f t="shared" si="4"/>
        <v>-10571795.129999999</v>
      </c>
      <c r="H29" s="69">
        <f t="shared" si="4"/>
        <v>-5850202</v>
      </c>
      <c r="I29" s="70">
        <f t="shared" si="4"/>
        <v>-10439813.129999999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215457</v>
      </c>
      <c r="G32" s="38">
        <f>'SE-LRC-GL'!E32</f>
        <v>385237.11200000002</v>
      </c>
      <c r="H32" s="60">
        <f>F32-D32</f>
        <v>215457</v>
      </c>
      <c r="I32" s="38">
        <f>G32-E32</f>
        <v>385237.11200000002</v>
      </c>
    </row>
    <row r="33" spans="1:9" x14ac:dyDescent="0.25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-25</v>
      </c>
      <c r="G33" s="38">
        <f>'SE-LRC-GL'!E33</f>
        <v>-43.25</v>
      </c>
      <c r="H33" s="60">
        <f t="shared" ref="H33:I35" si="5">F33-D33</f>
        <v>-25</v>
      </c>
      <c r="I33" s="38">
        <f t="shared" si="5"/>
        <v>-43.25</v>
      </c>
    </row>
    <row r="34" spans="1:9" x14ac:dyDescent="0.25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215432</v>
      </c>
      <c r="G36" s="39">
        <f t="shared" si="6"/>
        <v>385193.86200000002</v>
      </c>
      <c r="H36" s="61">
        <f t="shared" si="6"/>
        <v>215432</v>
      </c>
      <c r="I36" s="39">
        <f t="shared" si="6"/>
        <v>385193.86200000002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'SE-LRC-FLSH'!L39</f>
        <v>1542723</v>
      </c>
      <c r="E39" s="66">
        <f>'SE-LRC-FLSH'!M39</f>
        <v>2816830</v>
      </c>
      <c r="F39" s="60">
        <f>'SE-LRC-GL'!D39</f>
        <v>1518213</v>
      </c>
      <c r="G39" s="38">
        <f>'SE-LRC-GL'!E39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'SE-LRC-FLSH'!L40</f>
        <v>-922792</v>
      </c>
      <c r="E40" s="66">
        <f>'SE-LRC-FLSH'!M40</f>
        <v>-1670255</v>
      </c>
      <c r="F40" s="60">
        <f>'SE-LRC-GL'!D40</f>
        <v>-905645</v>
      </c>
      <c r="G40" s="38">
        <f>'SE-LRC-GL'!E40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5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5865</v>
      </c>
      <c r="G45" s="38">
        <f>'SE-LRC-GL'!E45</f>
        <v>10025.870000000001</v>
      </c>
      <c r="H45" s="60">
        <f>F45-D45</f>
        <v>5865</v>
      </c>
      <c r="I45" s="38">
        <f>G45-E45</f>
        <v>10025.870000000001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'SE-LRC-FLSH'!L49</f>
        <v>190556</v>
      </c>
      <c r="E49" s="66">
        <f>'SE-LRC-FLSH'!M49</f>
        <v>337495.17154456058</v>
      </c>
      <c r="F49" s="60">
        <f>'SE-LRC-GL'!D49</f>
        <v>-70684</v>
      </c>
      <c r="G49" s="38">
        <f>'SE-LRC-GL'!E49</f>
        <v>-126382.98800000001</v>
      </c>
      <c r="H49" s="60">
        <f>F49-D49</f>
        <v>-261240</v>
      </c>
      <c r="I49" s="38">
        <f>G49-E49</f>
        <v>-463878.15954456059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-27551</v>
      </c>
      <c r="G51" s="38">
        <f>'SE-LRC-GL'!E51</f>
        <v>-50720.54</v>
      </c>
      <c r="H51" s="60">
        <f>F51-D51</f>
        <v>-27551</v>
      </c>
      <c r="I51" s="38">
        <f>G51-E51</f>
        <v>-50720.54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886869</v>
      </c>
      <c r="G54" s="38">
        <f>'SE-LRC-GL'!E54</f>
        <v>1136642.72</v>
      </c>
      <c r="H54" s="60">
        <f>F54-D54</f>
        <v>886869</v>
      </c>
      <c r="I54" s="38">
        <f>G54-E54</f>
        <v>1136642.72</v>
      </c>
    </row>
    <row r="55" spans="1:9" x14ac:dyDescent="0.25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3300445</v>
      </c>
      <c r="G59" s="38">
        <f>'SE-LRC-GL'!E59</f>
        <v>122122.00999999989</v>
      </c>
      <c r="H59" s="60">
        <f>F59-D59</f>
        <v>3300445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112176.6</v>
      </c>
      <c r="F60" s="60">
        <f>'SE-LRC-GL'!D60</f>
        <v>0</v>
      </c>
      <c r="G60" s="38">
        <f>'SE-LRC-GL'!E60</f>
        <v>606099</v>
      </c>
      <c r="H60" s="60">
        <f>F60-D60</f>
        <v>0</v>
      </c>
      <c r="I60" s="38">
        <f>G60-E60</f>
        <v>493922.4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3300445</v>
      </c>
      <c r="G61" s="70">
        <f t="shared" si="11"/>
        <v>728221.00999999989</v>
      </c>
      <c r="H61" s="69">
        <f t="shared" si="11"/>
        <v>3300445</v>
      </c>
      <c r="I61" s="70">
        <f t="shared" si="11"/>
        <v>616044.40999999992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-20499921</v>
      </c>
      <c r="G64" s="38">
        <f>'SE-LRC-GL'!E64</f>
        <v>-3513725.3499999992</v>
      </c>
      <c r="H64" s="60">
        <f>F64-D64</f>
        <v>-20499921</v>
      </c>
      <c r="I64" s="38">
        <f>G64-E64</f>
        <v>-3513725.3499999992</v>
      </c>
    </row>
    <row r="65" spans="1:9" x14ac:dyDescent="0.25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19865068</v>
      </c>
      <c r="G65" s="38">
        <f>'SE-LRC-GL'!E65</f>
        <v>1949593.35</v>
      </c>
      <c r="H65" s="60">
        <f>F65-D65</f>
        <v>19865068</v>
      </c>
      <c r="I65" s="38">
        <f>G65-E65</f>
        <v>1949593.35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-634853</v>
      </c>
      <c r="G66" s="39">
        <f t="shared" si="12"/>
        <v>-1564131.9999999991</v>
      </c>
      <c r="H66" s="61">
        <f t="shared" si="12"/>
        <v>-634853</v>
      </c>
      <c r="I66" s="39">
        <f t="shared" si="12"/>
        <v>-1564131.9999999991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83</v>
      </c>
      <c r="D82" s="71">
        <f>D16+D24+D29+D36+D43+D45+D47+D49</f>
        <v>-89391</v>
      </c>
      <c r="E82" s="72">
        <f>SUM(E72:E81)+E16+E24+E29+E36+E43+E45+E47+E49+E51+E56+E61+E66</f>
        <v>-2396094.6487551928</v>
      </c>
      <c r="F82" s="71">
        <f>F16+F24+F29+F36+F43+F45+F47+F49</f>
        <v>-25</v>
      </c>
      <c r="G82" s="72">
        <f>SUM(G72:G81)+G16+G24+G29+G36+G43+G45+G47+G49+G51+G56+G61+G66</f>
        <v>591543.99399999948</v>
      </c>
      <c r="H82" s="71">
        <f>H16+H24+H29+H36+H43+H45+H47+H49</f>
        <v>89366</v>
      </c>
      <c r="I82" s="72">
        <f>SUM(I72:I81)+I16+I24+I29+I36+I43+I45+I47+I49+I51+I56+I61+I66</f>
        <v>2987638.642755189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5" activePane="bottomRight" state="frozen"/>
      <selection activeCell="D10" sqref="D10"/>
      <selection pane="topRight" activeCell="D10" sqref="D10"/>
      <selection pane="bottomLeft" activeCell="D10" sqref="D10"/>
      <selection pane="bottomRight" activeCell="C65" sqref="C6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'SE-CON-FLSH'!L11</f>
        <v>8756483</v>
      </c>
      <c r="E11" s="66">
        <f>'SE-CON-FLSH'!M11</f>
        <v>15999987</v>
      </c>
      <c r="F11" s="60">
        <f>'SE-CON-GL '!D11</f>
        <v>8810649</v>
      </c>
      <c r="G11" s="38">
        <f>'SE-CON-GL '!E11</f>
        <v>17116005.479999997</v>
      </c>
      <c r="H11" s="60">
        <f>F11-D11</f>
        <v>54166</v>
      </c>
      <c r="I11" s="38">
        <f>G11-E11</f>
        <v>1116018.4799999967</v>
      </c>
    </row>
    <row r="12" spans="1:22" x14ac:dyDescent="0.25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'SE-CON-FLSH'!L13</f>
        <v>2430728</v>
      </c>
      <c r="E13" s="66">
        <f>'SE-CON-FLSH'!M13</f>
        <v>4354318.5797002474</v>
      </c>
      <c r="F13" s="60">
        <f>'SE-CON-GL '!D13</f>
        <v>0</v>
      </c>
      <c r="G13" s="38">
        <f>'SE-CON-GL '!E13</f>
        <v>0</v>
      </c>
      <c r="H13" s="60">
        <f t="shared" ref="H13:I15" si="0">F13-D13</f>
        <v>-2430728</v>
      </c>
      <c r="I13" s="38">
        <f t="shared" si="0"/>
        <v>-4354318.5797002474</v>
      </c>
    </row>
    <row r="14" spans="1:22" x14ac:dyDescent="0.25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11187211</v>
      </c>
      <c r="E16" s="39">
        <f t="shared" si="1"/>
        <v>20354305.579700246</v>
      </c>
      <c r="F16" s="61">
        <f t="shared" si="1"/>
        <v>8810649</v>
      </c>
      <c r="G16" s="39">
        <f t="shared" si="1"/>
        <v>17116005.479999997</v>
      </c>
      <c r="H16" s="61">
        <f t="shared" si="1"/>
        <v>-2376562</v>
      </c>
      <c r="I16" s="39">
        <f t="shared" si="1"/>
        <v>-3238300.0997002507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'SE-CON-FLSH'!L19</f>
        <v>-3595574</v>
      </c>
      <c r="E19" s="66">
        <f>'SE-CON-FLSH'!M19</f>
        <v>-6362818</v>
      </c>
      <c r="F19" s="60">
        <f>'SE-CON-GL '!D19</f>
        <v>-3643430</v>
      </c>
      <c r="G19" s="38">
        <f>'SE-CON-GL '!E19</f>
        <v>-6449666.7599999998</v>
      </c>
      <c r="H19" s="60">
        <f>F19-D19</f>
        <v>-47856</v>
      </c>
      <c r="I19" s="38">
        <f>G19-E19</f>
        <v>-86848.759999999776</v>
      </c>
    </row>
    <row r="20" spans="1:9" x14ac:dyDescent="0.25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-1135706.29</v>
      </c>
      <c r="H20" s="60">
        <f>F20-D20</f>
        <v>0</v>
      </c>
      <c r="I20" s="38">
        <f>G20-E20</f>
        <v>-1135706.29</v>
      </c>
    </row>
    <row r="21" spans="1:9" x14ac:dyDescent="0.25">
      <c r="A21" s="9">
        <v>8</v>
      </c>
      <c r="B21" s="7"/>
      <c r="C21" s="18" t="s">
        <v>31</v>
      </c>
      <c r="D21" s="65">
        <f>'SE-CON-FLSH'!L21</f>
        <v>-8411446</v>
      </c>
      <c r="E21" s="66">
        <f>'SE-CON-FLSH'!M21</f>
        <v>-14851847</v>
      </c>
      <c r="F21" s="60">
        <f>'SE-CON-GL '!D21</f>
        <v>0</v>
      </c>
      <c r="G21" s="38">
        <f>'SE-CON-GL '!E21</f>
        <v>0</v>
      </c>
      <c r="H21" s="60">
        <f t="shared" ref="H21:I23" si="2">F21-D21</f>
        <v>8411446</v>
      </c>
      <c r="I21" s="38">
        <f t="shared" si="2"/>
        <v>14851847</v>
      </c>
    </row>
    <row r="22" spans="1:9" x14ac:dyDescent="0.25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-154</v>
      </c>
      <c r="G23" s="38">
        <f>'SE-CON-GL '!E23</f>
        <v>2047.83</v>
      </c>
      <c r="H23" s="60">
        <f t="shared" si="2"/>
        <v>-154</v>
      </c>
      <c r="I23" s="38">
        <f t="shared" si="2"/>
        <v>2047.83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-12007020</v>
      </c>
      <c r="E24" s="39">
        <f t="shared" si="3"/>
        <v>-21214665</v>
      </c>
      <c r="F24" s="61">
        <f t="shared" si="3"/>
        <v>-3643584</v>
      </c>
      <c r="G24" s="39">
        <f t="shared" si="3"/>
        <v>-7583325.2199999997</v>
      </c>
      <c r="H24" s="61">
        <f t="shared" si="3"/>
        <v>8363436</v>
      </c>
      <c r="I24" s="39">
        <f t="shared" si="3"/>
        <v>13631339.779999999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'SE-CON-FLSH'!L27</f>
        <v>842723</v>
      </c>
      <c r="E27" s="66">
        <f>'SE-CON-FLSH'!M27</f>
        <v>1517548</v>
      </c>
      <c r="F27" s="60">
        <f>'SE-CON-GL '!D27</f>
        <v>2718730</v>
      </c>
      <c r="G27" s="38">
        <f>'SE-CON-GL '!E27</f>
        <v>4863711.4799999995</v>
      </c>
      <c r="H27" s="60">
        <f>F27-D27</f>
        <v>1876007</v>
      </c>
      <c r="I27" s="38">
        <f>G27-E27</f>
        <v>3346163.4799999995</v>
      </c>
    </row>
    <row r="28" spans="1:9" x14ac:dyDescent="0.25">
      <c r="A28" s="9">
        <v>12</v>
      </c>
      <c r="B28" s="7"/>
      <c r="C28" s="18" t="s">
        <v>40</v>
      </c>
      <c r="D28" s="65">
        <f>'SE-CON-FLSH'!L28</f>
        <v>-922792</v>
      </c>
      <c r="E28" s="66">
        <f>'SE-CON-FLSH'!M28</f>
        <v>-1649530</v>
      </c>
      <c r="F28" s="60">
        <f>'SE-CON-GL '!D28</f>
        <v>-8646542</v>
      </c>
      <c r="G28" s="38">
        <f>'SE-CON-GL '!E28</f>
        <v>-15419000.219999999</v>
      </c>
      <c r="H28" s="60">
        <f>F28-D28</f>
        <v>-7723750</v>
      </c>
      <c r="I28" s="38">
        <f>G28-E28</f>
        <v>-13769470.219999999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-80069</v>
      </c>
      <c r="E29" s="70">
        <f t="shared" si="4"/>
        <v>-131982</v>
      </c>
      <c r="F29" s="69">
        <f t="shared" si="4"/>
        <v>-5927812</v>
      </c>
      <c r="G29" s="70">
        <f t="shared" si="4"/>
        <v>-10555288.739999998</v>
      </c>
      <c r="H29" s="69">
        <f t="shared" si="4"/>
        <v>-5847743</v>
      </c>
      <c r="I29" s="70">
        <f t="shared" si="4"/>
        <v>-10423306.739999998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16570</v>
      </c>
      <c r="G32" s="38">
        <f>'SE-CON-GL '!E32</f>
        <v>29627.157999999996</v>
      </c>
      <c r="H32" s="60">
        <f>F32-D32</f>
        <v>16570</v>
      </c>
      <c r="I32" s="38">
        <f>G32-E32</f>
        <v>29627.157999999996</v>
      </c>
    </row>
    <row r="33" spans="1:9" x14ac:dyDescent="0.25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16570</v>
      </c>
      <c r="G36" s="39">
        <f t="shared" si="6"/>
        <v>29627.157999999996</v>
      </c>
      <c r="H36" s="61">
        <f t="shared" si="6"/>
        <v>16570</v>
      </c>
      <c r="I36" s="39">
        <f t="shared" si="6"/>
        <v>29627.157999999996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'SE-CON-FLSH'!L39</f>
        <v>1542723</v>
      </c>
      <c r="E39" s="66">
        <f>'SE-CON-FLSH'!M39</f>
        <v>2816830</v>
      </c>
      <c r="F39" s="60">
        <f>'SE-CON-GL '!D39</f>
        <v>1518213</v>
      </c>
      <c r="G39" s="38">
        <f>'SE-CON-GL '!E39</f>
        <v>2755556.61</v>
      </c>
      <c r="H39" s="60">
        <f t="shared" ref="H39:I41" si="7">F39-D39</f>
        <v>-24510</v>
      </c>
      <c r="I39" s="38">
        <f t="shared" si="7"/>
        <v>-61273.39000000013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'SE-CON-FLSH'!L40</f>
        <v>-922792</v>
      </c>
      <c r="E40" s="66">
        <f>'SE-CON-FLSH'!M40</f>
        <v>-1670255</v>
      </c>
      <c r="F40" s="60">
        <f>'SE-CON-GL '!D40</f>
        <v>-905645</v>
      </c>
      <c r="G40" s="38">
        <f>'SE-CON-GL '!E40</f>
        <v>-1643745.6800000002</v>
      </c>
      <c r="H40" s="60">
        <f t="shared" si="7"/>
        <v>17147</v>
      </c>
      <c r="I40" s="38">
        <f t="shared" si="7"/>
        <v>26509.319999999832</v>
      </c>
    </row>
    <row r="41" spans="1:9" x14ac:dyDescent="0.25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-922792</v>
      </c>
      <c r="E42" s="70">
        <f t="shared" si="8"/>
        <v>-1670255</v>
      </c>
      <c r="F42" s="69">
        <f t="shared" si="8"/>
        <v>-905645</v>
      </c>
      <c r="G42" s="70">
        <f t="shared" si="8"/>
        <v>-1643745.6800000002</v>
      </c>
      <c r="H42" s="69">
        <f t="shared" si="8"/>
        <v>17147</v>
      </c>
      <c r="I42" s="70">
        <f t="shared" si="8"/>
        <v>26509.319999999832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619931</v>
      </c>
      <c r="E43" s="39">
        <f t="shared" si="9"/>
        <v>1146575</v>
      </c>
      <c r="F43" s="61">
        <f t="shared" si="9"/>
        <v>612568</v>
      </c>
      <c r="G43" s="39">
        <f t="shared" si="9"/>
        <v>1111810.9299999997</v>
      </c>
      <c r="H43" s="61">
        <f t="shared" si="9"/>
        <v>-7363</v>
      </c>
      <c r="I43" s="39">
        <f t="shared" si="9"/>
        <v>-34764.070000000298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5865</v>
      </c>
      <c r="G45" s="38">
        <f>'SE-CON-GL 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'SE-CON-FLSH'!L49</f>
        <v>190556</v>
      </c>
      <c r="E49" s="66">
        <f>'SE-CON-FLSH'!M49</f>
        <v>337495.17154456058</v>
      </c>
      <c r="F49" s="60">
        <f>'SE-CON-GL '!D49</f>
        <v>125744</v>
      </c>
      <c r="G49" s="38">
        <f>'SE-CON-GL '!E49</f>
        <v>224830.274</v>
      </c>
      <c r="H49" s="60">
        <f>F49-D49</f>
        <v>-64812</v>
      </c>
      <c r="I49" s="38">
        <f>G49-E49</f>
        <v>-112664.89754456058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-27551</v>
      </c>
      <c r="G51" s="38">
        <f>'SE-CON-GL '!E51</f>
        <v>-50720.54</v>
      </c>
      <c r="H51" s="60">
        <f>F51-D51</f>
        <v>-27551</v>
      </c>
      <c r="I51" s="38">
        <f>G51-E51</f>
        <v>-50720.54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886869</v>
      </c>
      <c r="G54" s="38">
        <f>'SE-CON-GL '!E54</f>
        <v>1136642.72</v>
      </c>
      <c r="H54" s="60">
        <f>F54-D54</f>
        <v>886869</v>
      </c>
      <c r="I54" s="38">
        <f>G54-E54</f>
        <v>1136642.72</v>
      </c>
    </row>
    <row r="55" spans="1:9" x14ac:dyDescent="0.25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886869</v>
      </c>
      <c r="G56" s="39">
        <f t="shared" si="10"/>
        <v>1136642.72</v>
      </c>
      <c r="H56" s="61">
        <f t="shared" si="10"/>
        <v>886869</v>
      </c>
      <c r="I56" s="39">
        <f t="shared" si="10"/>
        <v>1136642.72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3300586</v>
      </c>
      <c r="G59" s="38">
        <f>'SE-CON-GL 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112176.6</v>
      </c>
      <c r="F60" s="60">
        <f>'SE-CON-GL '!D60</f>
        <v>0</v>
      </c>
      <c r="G60" s="38">
        <f>'SE-CON-GL '!E60</f>
        <v>606099</v>
      </c>
      <c r="H60" s="60">
        <f>F60-D60</f>
        <v>0</v>
      </c>
      <c r="I60" s="38">
        <f>G60-E60</f>
        <v>493922.4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112176.6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616044.40999999992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-13552117</v>
      </c>
      <c r="G64" s="38">
        <f>'SE-CON-GL '!E64</f>
        <v>-3439972.3</v>
      </c>
      <c r="H64" s="60">
        <f>F64-D64</f>
        <v>-13552117</v>
      </c>
      <c r="I64" s="38">
        <f>G64-E64</f>
        <v>-3439972.3</v>
      </c>
    </row>
    <row r="65" spans="1:9" x14ac:dyDescent="0.25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19861418</v>
      </c>
      <c r="G65" s="38">
        <f>'SE-CON-GL '!E65</f>
        <v>1949228.35</v>
      </c>
      <c r="H65" s="60">
        <f>F65-D65</f>
        <v>19861418</v>
      </c>
      <c r="I65" s="38">
        <f>G65-E65</f>
        <v>1949228.35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6309301</v>
      </c>
      <c r="G66" s="39">
        <f t="shared" si="12"/>
        <v>-1490743.9499999997</v>
      </c>
      <c r="H66" s="61">
        <f t="shared" si="12"/>
        <v>6309301</v>
      </c>
      <c r="I66" s="39">
        <f t="shared" si="12"/>
        <v>-1490743.9499999997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-89391</v>
      </c>
      <c r="E82" s="118">
        <f>SUM(E72:E81)+E16+E24+E29+E36+E43+E45+E47+E49+E51+E56+E61+E66</f>
        <v>-2396094.6487551928</v>
      </c>
      <c r="F82" s="117">
        <f>F16+F24+F29+F36+F43+F45+F47+F49</f>
        <v>0</v>
      </c>
      <c r="G82" s="118">
        <f>SUM(G72:G81)+G16+G24+G29+G36+G43+G45+G47+G49+G51+G56+G61+G66</f>
        <v>677084.7519999994</v>
      </c>
      <c r="H82" s="117">
        <f>H16+H24+H29+H36+H43+H45+H47+H49</f>
        <v>89391</v>
      </c>
      <c r="I82" s="118">
        <f>SUM(I72:I81)+I16+I24+I29+I36+I43+I45+I47+I49+I51+I56+I61+I66</f>
        <v>3073179.4007551889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D84" sqref="D8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+'EAST-CON-FLSH'!D11</f>
        <v>108743829</v>
      </c>
      <c r="E11" s="66">
        <f>+'EAST-CON-FLSH'!E11</f>
        <v>192403728</v>
      </c>
      <c r="F11" s="60">
        <f>+'EAST-CON-GL'!D11</f>
        <v>116536014</v>
      </c>
      <c r="G11" s="38">
        <f>+'EAST-CON-GL'!E11</f>
        <v>243771993.70000011</v>
      </c>
      <c r="H11" s="60">
        <f>F11-D11</f>
        <v>7792185</v>
      </c>
      <c r="I11" s="38">
        <f>G11-E11</f>
        <v>51368265.700000107</v>
      </c>
    </row>
    <row r="12" spans="1:22" x14ac:dyDescent="0.25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-10594664.110000001</v>
      </c>
      <c r="H12" s="60">
        <f>F12-D12</f>
        <v>0</v>
      </c>
      <c r="I12" s="38">
        <f>G12-E12</f>
        <v>-10594664.110000001</v>
      </c>
    </row>
    <row r="13" spans="1:22" x14ac:dyDescent="0.25">
      <c r="A13" s="9">
        <v>3</v>
      </c>
      <c r="B13" s="7"/>
      <c r="C13" s="18" t="s">
        <v>31</v>
      </c>
      <c r="D13" s="65">
        <f>+'EAST-CON-FLSH'!D13</f>
        <v>77490594</v>
      </c>
      <c r="E13" s="66">
        <f>+'EAST-CON-FLSH'!E13</f>
        <v>146381942</v>
      </c>
      <c r="F13" s="60">
        <f>+'EAST-CON-GL'!D13</f>
        <v>62509996</v>
      </c>
      <c r="G13" s="38">
        <f>+'EAST-CON-GL'!E13</f>
        <v>120063718</v>
      </c>
      <c r="H13" s="60">
        <f t="shared" ref="H13:I15" si="0">F13-D13</f>
        <v>-14980598</v>
      </c>
      <c r="I13" s="38">
        <f t="shared" si="0"/>
        <v>-26318224</v>
      </c>
    </row>
    <row r="14" spans="1:22" x14ac:dyDescent="0.25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88910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-88910</v>
      </c>
    </row>
    <row r="15" spans="1:22" x14ac:dyDescent="0.25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186234423</v>
      </c>
      <c r="E16" s="39">
        <f t="shared" si="1"/>
        <v>338874580</v>
      </c>
      <c r="F16" s="61">
        <f t="shared" si="1"/>
        <v>179046010</v>
      </c>
      <c r="G16" s="39">
        <f t="shared" si="1"/>
        <v>353241047.59000009</v>
      </c>
      <c r="H16" s="61">
        <f t="shared" si="1"/>
        <v>-7188413</v>
      </c>
      <c r="I16" s="39">
        <f t="shared" si="1"/>
        <v>14366467.590000108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+'EAST-CON-FLSH'!D19</f>
        <v>-101288518</v>
      </c>
      <c r="E19" s="66">
        <f>+'EAST-CON-FLSH'!E19</f>
        <v>-180885869</v>
      </c>
      <c r="F19" s="60">
        <f>+'EAST-CON-GL'!D19</f>
        <v>-107567578</v>
      </c>
      <c r="G19" s="38">
        <f>+'EAST-CON-GL'!E19</f>
        <v>-199560528.14000002</v>
      </c>
      <c r="H19" s="60">
        <f>F19-D19</f>
        <v>-6279060</v>
      </c>
      <c r="I19" s="38">
        <f>G19-E19</f>
        <v>-18674659.140000015</v>
      </c>
    </row>
    <row r="20" spans="1:9" x14ac:dyDescent="0.25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2641263.9899999998</v>
      </c>
      <c r="H20" s="60">
        <f>F20-D20</f>
        <v>0</v>
      </c>
      <c r="I20" s="38">
        <f>G20-E20</f>
        <v>2641263.9899999998</v>
      </c>
    </row>
    <row r="21" spans="1:9" x14ac:dyDescent="0.25">
      <c r="A21" s="9">
        <v>8</v>
      </c>
      <c r="B21" s="7"/>
      <c r="C21" s="18" t="s">
        <v>31</v>
      </c>
      <c r="D21" s="65">
        <f>+'EAST-CON-FLSH'!D21</f>
        <v>-77256212</v>
      </c>
      <c r="E21" s="66">
        <f>+'EAST-CON-FLSH'!E21</f>
        <v>-146880759</v>
      </c>
      <c r="F21" s="60">
        <f>+'EAST-CON-GL'!D21</f>
        <v>-63062698</v>
      </c>
      <c r="G21" s="38">
        <f>+'EAST-CON-GL'!E21</f>
        <v>-121005117</v>
      </c>
      <c r="H21" s="60">
        <f t="shared" ref="H21:I23" si="2">F21-D21</f>
        <v>14193514</v>
      </c>
      <c r="I21" s="38">
        <f t="shared" si="2"/>
        <v>25875642</v>
      </c>
    </row>
    <row r="22" spans="1:9" x14ac:dyDescent="0.25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+'EAST-CON-FLSH'!D23</f>
        <v>930943</v>
      </c>
      <c r="E23" s="66">
        <f>+'EAST-CON-FLSH'!E23</f>
        <v>1697126</v>
      </c>
      <c r="F23" s="60">
        <f>+'EAST-CON-GL'!D23</f>
        <v>897924</v>
      </c>
      <c r="G23" s="38">
        <f>+'EAST-CON-GL'!E23</f>
        <v>1607811.3019999999</v>
      </c>
      <c r="H23" s="60">
        <f t="shared" si="2"/>
        <v>-33019</v>
      </c>
      <c r="I23" s="38">
        <f t="shared" si="2"/>
        <v>-89314.698000000091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-177613787</v>
      </c>
      <c r="E24" s="39">
        <f t="shared" si="3"/>
        <v>-326069502</v>
      </c>
      <c r="F24" s="61">
        <f t="shared" si="3"/>
        <v>-169732352</v>
      </c>
      <c r="G24" s="39">
        <f t="shared" si="3"/>
        <v>-316316569.84799999</v>
      </c>
      <c r="H24" s="61">
        <f t="shared" si="3"/>
        <v>7881435</v>
      </c>
      <c r="I24" s="39">
        <f t="shared" si="3"/>
        <v>9752932.1519999839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10792767</v>
      </c>
      <c r="G27" s="38">
        <f>+'EAST-CON-GL'!E27</f>
        <v>19229407.690000001</v>
      </c>
      <c r="H27" s="60">
        <f>F27-D27</f>
        <v>10792767</v>
      </c>
      <c r="I27" s="38">
        <f>G27-E27</f>
        <v>19229407.690000001</v>
      </c>
    </row>
    <row r="28" spans="1:9" x14ac:dyDescent="0.25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-10409686</v>
      </c>
      <c r="G28" s="38">
        <f>+'EAST-CON-GL'!E28</f>
        <v>-18561116.23</v>
      </c>
      <c r="H28" s="60">
        <f>F28-D28</f>
        <v>-10409686</v>
      </c>
      <c r="I28" s="38">
        <f>G28-E28</f>
        <v>-18561116.23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383081</v>
      </c>
      <c r="G29" s="70">
        <f t="shared" si="4"/>
        <v>668291.46000000089</v>
      </c>
      <c r="H29" s="69">
        <f t="shared" si="4"/>
        <v>383081</v>
      </c>
      <c r="I29" s="70">
        <f t="shared" si="4"/>
        <v>668291.46000000089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+'EAST-CON-FLSH'!D32</f>
        <v>228474</v>
      </c>
      <c r="E32" s="66">
        <f>+'EAST-CON-FLSH'!E32</f>
        <v>431505</v>
      </c>
      <c r="F32" s="60">
        <f>+'EAST-CON-GL'!D32</f>
        <v>-849168</v>
      </c>
      <c r="G32" s="38">
        <f>+'EAST-CON-GL'!E32</f>
        <v>-1613543.5659999996</v>
      </c>
      <c r="H32" s="60">
        <f>F32-D32</f>
        <v>-1077642</v>
      </c>
      <c r="I32" s="38">
        <f>G32-E32</f>
        <v>-2045048.5659999996</v>
      </c>
    </row>
    <row r="33" spans="1:9" x14ac:dyDescent="0.25">
      <c r="A33" s="9">
        <v>14</v>
      </c>
      <c r="B33" s="7"/>
      <c r="C33" s="18" t="s">
        <v>44</v>
      </c>
      <c r="D33" s="65">
        <f>+'EAST-CON-FLSH'!D33</f>
        <v>-360353</v>
      </c>
      <c r="E33" s="66">
        <f>+'EAST-CON-FLSH'!E33</f>
        <v>-666916.89810825116</v>
      </c>
      <c r="F33" s="60">
        <f>+'EAST-CON-GL'!D33</f>
        <v>-24222</v>
      </c>
      <c r="G33" s="38">
        <f>+'EAST-CON-GL'!E33</f>
        <v>-42280.5</v>
      </c>
      <c r="H33" s="60">
        <f t="shared" ref="H33:I35" si="5">F33-D33</f>
        <v>336131</v>
      </c>
      <c r="I33" s="38">
        <f t="shared" si="5"/>
        <v>624636.39810825116</v>
      </c>
    </row>
    <row r="34" spans="1:9" x14ac:dyDescent="0.25">
      <c r="A34" s="9">
        <v>15</v>
      </c>
      <c r="B34" s="7"/>
      <c r="C34" s="18" t="s">
        <v>45</v>
      </c>
      <c r="D34" s="65">
        <f>+'EAST-CON-FLSH'!D34</f>
        <v>497396</v>
      </c>
      <c r="E34" s="66">
        <f>+'EAST-CON-FLSH'!E34</f>
        <v>873705</v>
      </c>
      <c r="F34" s="60">
        <f>+'EAST-CON-GL'!D34</f>
        <v>163056</v>
      </c>
      <c r="G34" s="38">
        <f>+'EAST-CON-GL'!E34</f>
        <v>283100.53999999998</v>
      </c>
      <c r="H34" s="60">
        <f t="shared" si="5"/>
        <v>-334340</v>
      </c>
      <c r="I34" s="38">
        <f t="shared" si="5"/>
        <v>-590604.46</v>
      </c>
    </row>
    <row r="35" spans="1:9" x14ac:dyDescent="0.25">
      <c r="A35" s="9">
        <v>16</v>
      </c>
      <c r="B35" s="7"/>
      <c r="C35" s="18" t="s">
        <v>46</v>
      </c>
      <c r="D35" s="65">
        <f>+'EAST-CON-FLSH'!D35</f>
        <v>-248298</v>
      </c>
      <c r="E35" s="66">
        <f>+'EAST-CON-FLSH'!E35</f>
        <v>-438477</v>
      </c>
      <c r="F35" s="60">
        <f>+'EAST-CON-GL'!D35</f>
        <v>364400</v>
      </c>
      <c r="G35" s="38">
        <f>+'EAST-CON-GL'!E35</f>
        <v>0</v>
      </c>
      <c r="H35" s="60">
        <f t="shared" si="5"/>
        <v>612698</v>
      </c>
      <c r="I35" s="38">
        <f t="shared" si="5"/>
        <v>438477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117219</v>
      </c>
      <c r="E36" s="39">
        <f t="shared" si="6"/>
        <v>199816.10189174884</v>
      </c>
      <c r="F36" s="61">
        <f t="shared" si="6"/>
        <v>-345934</v>
      </c>
      <c r="G36" s="39">
        <f t="shared" si="6"/>
        <v>-1372723.5259999996</v>
      </c>
      <c r="H36" s="61">
        <f t="shared" si="6"/>
        <v>-463153</v>
      </c>
      <c r="I36" s="39">
        <f t="shared" si="6"/>
        <v>-1572539.6278917484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+'EAST-CON-FLSH'!D39</f>
        <v>1654924</v>
      </c>
      <c r="E39" s="66">
        <f>+'EAST-CON-FLSH'!E39</f>
        <v>3020230</v>
      </c>
      <c r="F39" s="60">
        <f>+'EAST-CON-GL'!D39</f>
        <v>1518213</v>
      </c>
      <c r="G39" s="38">
        <f>+'EAST-CON-GL'!E39</f>
        <v>2755556.61</v>
      </c>
      <c r="H39" s="60">
        <f t="shared" ref="H39:I41" si="7">F39-D39</f>
        <v>-136711</v>
      </c>
      <c r="I39" s="38">
        <f t="shared" si="7"/>
        <v>-264673.39000000013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+'EAST-CON-FLSH'!D40</f>
        <v>-10392779</v>
      </c>
      <c r="E40" s="66">
        <f>+'EAST-CON-FLSH'!E40</f>
        <v>-11789648</v>
      </c>
      <c r="F40" s="60">
        <f>+'EAST-CON-GL'!D40</f>
        <v>-10665051</v>
      </c>
      <c r="G40" s="38">
        <f>+'EAST-CON-GL'!E40</f>
        <v>-23633084.649999999</v>
      </c>
      <c r="H40" s="60">
        <f t="shared" si="7"/>
        <v>-272272</v>
      </c>
      <c r="I40" s="38">
        <f t="shared" si="7"/>
        <v>-11843436.649999999</v>
      </c>
    </row>
    <row r="41" spans="1:9" x14ac:dyDescent="0.25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117344</v>
      </c>
      <c r="H41" s="60">
        <f t="shared" si="7"/>
        <v>0</v>
      </c>
      <c r="I41" s="38">
        <f t="shared" si="7"/>
        <v>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-10392779</v>
      </c>
      <c r="E42" s="70">
        <f t="shared" si="8"/>
        <v>-11789648</v>
      </c>
      <c r="F42" s="69">
        <f t="shared" si="8"/>
        <v>-10665051</v>
      </c>
      <c r="G42" s="70">
        <f t="shared" si="8"/>
        <v>-23515740.649999999</v>
      </c>
      <c r="H42" s="69">
        <f t="shared" si="8"/>
        <v>-272272</v>
      </c>
      <c r="I42" s="70">
        <f t="shared" si="8"/>
        <v>-11726092.649999999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-8737855</v>
      </c>
      <c r="E43" s="39">
        <f t="shared" si="9"/>
        <v>-8769418</v>
      </c>
      <c r="F43" s="61">
        <f t="shared" si="9"/>
        <v>-9146838</v>
      </c>
      <c r="G43" s="39">
        <f t="shared" si="9"/>
        <v>-20760184.039999999</v>
      </c>
      <c r="H43" s="61">
        <f t="shared" si="9"/>
        <v>-408983</v>
      </c>
      <c r="I43" s="39">
        <f t="shared" si="9"/>
        <v>-11990766.039999999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5865</v>
      </c>
      <c r="G45" s="38">
        <f>+'EAST-CON-GL'!E45</f>
        <v>10025.630000000001</v>
      </c>
      <c r="H45" s="60">
        <f>F45-D45</f>
        <v>5865</v>
      </c>
      <c r="I45" s="38">
        <f>G45-E45</f>
        <v>10025.630000000001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1.4551915228366852E-11</v>
      </c>
      <c r="H47" s="60">
        <f>F47-D47</f>
        <v>0</v>
      </c>
      <c r="I47" s="38">
        <f>G47-E47</f>
        <v>1.4551915228366852E-11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-209832</v>
      </c>
      <c r="G49" s="38">
        <f>+'EAST-CON-GL'!E49</f>
        <v>-1337379.2940000009</v>
      </c>
      <c r="H49" s="60">
        <f>F49-D49</f>
        <v>-209832</v>
      </c>
      <c r="I49" s="38">
        <f>G49-E49</f>
        <v>-1337379.2940000009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+'EAST-CON-FLSH'!D51</f>
        <v>-930943</v>
      </c>
      <c r="E51" s="66">
        <f>+'EAST-CON-FLSH'!E51</f>
        <v>-1749178</v>
      </c>
      <c r="F51" s="60">
        <f>+'EAST-CON-GL'!D51</f>
        <v>-925629</v>
      </c>
      <c r="G51" s="38">
        <f>+'EAST-CON-GL'!E51</f>
        <v>-1656484.0120000001</v>
      </c>
      <c r="H51" s="60">
        <f>F51-D51</f>
        <v>5314</v>
      </c>
      <c r="I51" s="38">
        <f>G51-E51</f>
        <v>92693.987999999896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-1567382</v>
      </c>
      <c r="F54" s="60">
        <f>+'EAST-CON-GL'!D54</f>
        <v>-46636203</v>
      </c>
      <c r="G54" s="38">
        <f>+'EAST-CON-GL'!E54</f>
        <v>-477491.57999999996</v>
      </c>
      <c r="H54" s="60">
        <f>F54-D54</f>
        <v>-46636203</v>
      </c>
      <c r="I54" s="38">
        <f>G54-E54</f>
        <v>1089890.42</v>
      </c>
    </row>
    <row r="55" spans="1:9" x14ac:dyDescent="0.25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-16004960</v>
      </c>
      <c r="F55" s="60">
        <f>+'EAST-CON-GL'!D55</f>
        <v>0</v>
      </c>
      <c r="G55" s="38">
        <f>+'EAST-CON-GL'!E55</f>
        <v>-15295827.550000001</v>
      </c>
      <c r="H55" s="60">
        <f>F55-D55</f>
        <v>0</v>
      </c>
      <c r="I55" s="38">
        <f>G55-E55</f>
        <v>709132.44999999925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-17572342</v>
      </c>
      <c r="F56" s="61">
        <f t="shared" si="10"/>
        <v>-46636203</v>
      </c>
      <c r="G56" s="39">
        <f t="shared" si="10"/>
        <v>-15773319.130000001</v>
      </c>
      <c r="H56" s="61">
        <f t="shared" si="10"/>
        <v>-46636203</v>
      </c>
      <c r="I56" s="39">
        <f t="shared" si="10"/>
        <v>1799022.8699999992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3300586</v>
      </c>
      <c r="G59" s="38">
        <f>+'EAST-CON-GL'!E59</f>
        <v>122122.00999999989</v>
      </c>
      <c r="H59" s="60">
        <f>F59-D59</f>
        <v>3300586</v>
      </c>
      <c r="I59" s="38">
        <f>G59-E59</f>
        <v>122122.00999999989</v>
      </c>
    </row>
    <row r="60" spans="1:9" x14ac:dyDescent="0.25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606099</v>
      </c>
      <c r="H60" s="60">
        <f>F60-D60</f>
        <v>0</v>
      </c>
      <c r="I60" s="38">
        <f>G60-E60</f>
        <v>606099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3300586</v>
      </c>
      <c r="G61" s="70">
        <f t="shared" si="11"/>
        <v>728221.00999999989</v>
      </c>
      <c r="H61" s="69">
        <f t="shared" si="11"/>
        <v>3300586</v>
      </c>
      <c r="I61" s="70">
        <f t="shared" si="11"/>
        <v>728221.00999999989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158915.965</v>
      </c>
      <c r="F64" s="60">
        <f>+'EAST-CON-GL'!D64</f>
        <v>-13359471</v>
      </c>
      <c r="G64" s="38">
        <f>+'EAST-CON-GL'!E64</f>
        <v>-3420632.78</v>
      </c>
      <c r="H64" s="60">
        <f>F64-D64</f>
        <v>-13359471</v>
      </c>
      <c r="I64" s="38">
        <f>G64-E64</f>
        <v>-3579548.7449999996</v>
      </c>
    </row>
    <row r="65" spans="1:9" x14ac:dyDescent="0.25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19855124</v>
      </c>
      <c r="G65" s="38">
        <f>+'EAST-CON-GL'!E65</f>
        <v>1538598.9500000002</v>
      </c>
      <c r="H65" s="60">
        <f>F65-D65</f>
        <v>19855124</v>
      </c>
      <c r="I65" s="38">
        <f>G65-E65</f>
        <v>1538598.9500000002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158915.965</v>
      </c>
      <c r="F66" s="61">
        <f t="shared" si="12"/>
        <v>6495653</v>
      </c>
      <c r="G66" s="39">
        <f t="shared" si="12"/>
        <v>-1882033.8299999996</v>
      </c>
      <c r="H66" s="61">
        <f t="shared" si="12"/>
        <v>6495653</v>
      </c>
      <c r="I66" s="39">
        <f t="shared" si="12"/>
        <v>-2040949.7949999995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-2549306.935000001</v>
      </c>
      <c r="F70" s="60">
        <f>+'EAST-CON-GL'!D70</f>
        <v>0</v>
      </c>
      <c r="G70" s="38">
        <f>+'EAST-CON-GL'!E70</f>
        <v>1497196.0399999991</v>
      </c>
      <c r="H70" s="60">
        <f>F70-D70</f>
        <v>0</v>
      </c>
      <c r="I70" s="38">
        <f>G70-E70</f>
        <v>4046502.9750000001</v>
      </c>
    </row>
    <row r="71" spans="1:9" x14ac:dyDescent="0.25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3892110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-3892110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1342803.064999999</v>
      </c>
      <c r="F72" s="69">
        <f t="shared" si="13"/>
        <v>0</v>
      </c>
      <c r="G72" s="70">
        <f t="shared" si="13"/>
        <v>1497196.0399999991</v>
      </c>
      <c r="H72" s="69">
        <f t="shared" si="13"/>
        <v>0</v>
      </c>
      <c r="I72" s="70">
        <f t="shared" si="13"/>
        <v>154392.97500000009</v>
      </c>
    </row>
    <row r="73" spans="1:9" x14ac:dyDescent="0.25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5713</v>
      </c>
      <c r="F74" s="60">
        <f>+'EAST-CON-GL'!D74</f>
        <v>0</v>
      </c>
      <c r="G74" s="38">
        <f>+'EAST-CON-GL'!E74</f>
        <v>6218588.0399999991</v>
      </c>
      <c r="H74" s="60">
        <f t="shared" ref="H74:I79" si="14">F74-D74</f>
        <v>0</v>
      </c>
      <c r="I74" s="38">
        <f t="shared" si="14"/>
        <v>6212875.0399999991</v>
      </c>
    </row>
    <row r="75" spans="1:9" x14ac:dyDescent="0.25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16223.95</v>
      </c>
      <c r="F75" s="60">
        <f>+'EAST-CON-GL'!D75</f>
        <v>0</v>
      </c>
      <c r="G75" s="38">
        <f>+'EAST-CON-GL'!E75</f>
        <v>16300</v>
      </c>
      <c r="H75" s="60">
        <f t="shared" si="14"/>
        <v>0</v>
      </c>
      <c r="I75" s="38">
        <f t="shared" si="14"/>
        <v>76.049999999999272</v>
      </c>
    </row>
    <row r="76" spans="1:9" x14ac:dyDescent="0.25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0</v>
      </c>
      <c r="F76" s="60">
        <f>+'EAST-CON-GL'!D76</f>
        <v>0</v>
      </c>
      <c r="G76" s="38">
        <f>+'EAST-CON-GL'!E76</f>
        <v>-184499.99</v>
      </c>
      <c r="H76" s="60">
        <f t="shared" si="14"/>
        <v>0</v>
      </c>
      <c r="I76" s="38">
        <f t="shared" si="14"/>
        <v>-184499.99</v>
      </c>
    </row>
    <row r="77" spans="1:9" x14ac:dyDescent="0.25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-1261726</v>
      </c>
      <c r="F77" s="60">
        <f>+'EAST-CON-GL'!D77</f>
        <v>0</v>
      </c>
      <c r="G77" s="38">
        <f>+'EAST-CON-GL'!E77</f>
        <v>-3276809</v>
      </c>
      <c r="H77" s="60">
        <f t="shared" si="14"/>
        <v>0</v>
      </c>
      <c r="I77" s="38">
        <f t="shared" si="14"/>
        <v>-2015083</v>
      </c>
    </row>
    <row r="78" spans="1:9" x14ac:dyDescent="0.25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23732.945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-23732.945</v>
      </c>
    </row>
    <row r="79" spans="1:9" x14ac:dyDescent="0.25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15496704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-15496704</v>
      </c>
    </row>
    <row r="80" spans="1:9" x14ac:dyDescent="0.25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164679.23000000001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-164679.23000000001</v>
      </c>
    </row>
    <row r="81" spans="1:63" x14ac:dyDescent="0.25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-2000000</v>
      </c>
      <c r="F81" s="60">
        <f>+'EAST-CON-GL'!D81</f>
        <v>0</v>
      </c>
      <c r="G81" s="38">
        <f>+'EAST-CON-GL'!E81</f>
        <v>476861.95</v>
      </c>
      <c r="H81" s="60">
        <f>F81-D81</f>
        <v>0</v>
      </c>
      <c r="I81" s="38">
        <f>G81-E81</f>
        <v>2476861.9500000002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-1138997.7431082537</v>
      </c>
      <c r="F82" s="117">
        <f>F16+F24+F29+F36+F43+F45+F47+F49</f>
        <v>0</v>
      </c>
      <c r="G82" s="118">
        <f>SUM(G72:G81)+G16+G24+G29+G36+G43+G45+G47+G49+G51+G56+G61+G66</f>
        <v>296529.05000012601</v>
      </c>
      <c r="H82" s="117">
        <f>H16+H24+H29+H36+H43+H45+H47+H49</f>
        <v>0</v>
      </c>
      <c r="I82" s="118">
        <f>SUM(I72:I81)+I16+I24+I29+I36+I43+I45+I47+I49+I51+I56+I61+I66</f>
        <v>1435526.7931083408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-1138997.7431082393</v>
      </c>
      <c r="F84" s="31">
        <f>+'SE-EGM-VAR'!F82+'NE-VAR'!F82+'SE-LRC-VAR'!F82+BGC_VAR!F82</f>
        <v>-25</v>
      </c>
      <c r="G84" s="31">
        <f>+'SE-EGM-VAR'!G82+'NE-VAR'!G82+'SE-LRC-VAR'!G82+BGC_VAR!G82</f>
        <v>28598.371000060113</v>
      </c>
      <c r="H84" s="31">
        <f>+'SE-EGM-VAR'!H82+'NE-VAR'!H82+'SE-LRC-VAR'!H82+BGC_VAR!H82</f>
        <v>-25</v>
      </c>
      <c r="I84" s="31">
        <f>+'SE-EGM-VAR'!I82+'NE-VAR'!I82+'SE-LRC-VAR'!I82+BGC_VAR!I82</f>
        <v>1167596.1141082458</v>
      </c>
    </row>
    <row r="85" spans="1:63" x14ac:dyDescent="0.25">
      <c r="A85" s="4" t="s">
        <v>195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+'EAST-CON-FLSH'!D86</f>
        <v>0</v>
      </c>
      <c r="E86" s="184">
        <f>+'EAST-CON-FLSH'!E86</f>
        <v>0</v>
      </c>
      <c r="F86" s="184">
        <f>+'EAST-CON-GL'!D86</f>
        <v>0</v>
      </c>
      <c r="G86" s="184">
        <f>+'EAST-CON-GL'!E86</f>
        <v>-6906.04</v>
      </c>
      <c r="H86" s="184">
        <f t="shared" ref="H86:I88" si="15">F86-D86</f>
        <v>0</v>
      </c>
      <c r="I86" s="184">
        <f t="shared" si="15"/>
        <v>-6906.04</v>
      </c>
    </row>
    <row r="87" spans="1:63" x14ac:dyDescent="0.25">
      <c r="A87" s="183"/>
      <c r="B87" s="3"/>
      <c r="C87" s="10" t="s">
        <v>75</v>
      </c>
      <c r="D87" s="185">
        <f>+'EAST-CON-FLSH'!D87</f>
        <v>0</v>
      </c>
      <c r="E87" s="185">
        <f>+'EAST-CON-FLSH'!E87</f>
        <v>0</v>
      </c>
      <c r="F87" s="185">
        <f>+'EAST-CON-GL'!D87</f>
        <v>0</v>
      </c>
      <c r="G87" s="185">
        <f>+'EAST-CON-GL'!E87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+'EAST-CON-FLSH'!D88</f>
        <v>0</v>
      </c>
      <c r="E88" s="186">
        <f>+'EAST-CON-FLSH'!E88</f>
        <v>0</v>
      </c>
      <c r="F88" s="186">
        <f>+'EAST-CON-GL'!D88</f>
        <v>0</v>
      </c>
      <c r="G88" s="186">
        <f>+'EAST-CON-GL'!E88</f>
        <v>0</v>
      </c>
      <c r="H88" s="186">
        <f t="shared" si="15"/>
        <v>0</v>
      </c>
      <c r="I88" s="186">
        <f t="shared" si="15"/>
        <v>0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0</v>
      </c>
      <c r="F89" s="190">
        <f t="shared" si="16"/>
        <v>0</v>
      </c>
      <c r="G89" s="190">
        <f t="shared" si="16"/>
        <v>-6906.04</v>
      </c>
      <c r="H89" s="190">
        <f t="shared" si="16"/>
        <v>0</v>
      </c>
      <c r="I89" s="190">
        <f t="shared" si="16"/>
        <v>-6906.04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-1138997.7431082537</v>
      </c>
      <c r="F91" s="190">
        <f t="shared" si="17"/>
        <v>0</v>
      </c>
      <c r="G91" s="190">
        <f t="shared" si="17"/>
        <v>289623.01000012603</v>
      </c>
      <c r="H91" s="190">
        <f t="shared" si="17"/>
        <v>0</v>
      </c>
      <c r="I91" s="190">
        <f t="shared" si="17"/>
        <v>1428620.7531083408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C71" sqref="C7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'TX-EGM-FLSH'!L11</f>
        <v>49063050</v>
      </c>
      <c r="E11" s="66">
        <f>'TX-EGM-FLSH'!M11</f>
        <v>85978116</v>
      </c>
      <c r="F11" s="60">
        <f>'TX-EGM-GL'!D11</f>
        <v>14935245</v>
      </c>
      <c r="G11" s="38">
        <f>'TX-EGM-GL'!E11</f>
        <v>34774694.730000004</v>
      </c>
      <c r="H11" s="60">
        <f>F11-D11</f>
        <v>-34127805</v>
      </c>
      <c r="I11" s="38">
        <f>G11-E11</f>
        <v>-51203421.269999996</v>
      </c>
    </row>
    <row r="12" spans="1:22" x14ac:dyDescent="0.25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-8747843.2300000004</v>
      </c>
      <c r="H12" s="60">
        <f>F12-D12</f>
        <v>0</v>
      </c>
      <c r="I12" s="38">
        <f>G12-E12</f>
        <v>-8747843.2300000004</v>
      </c>
    </row>
    <row r="13" spans="1:22" x14ac:dyDescent="0.25">
      <c r="A13" s="9">
        <v>3</v>
      </c>
      <c r="B13" s="7"/>
      <c r="C13" s="18" t="s">
        <v>31</v>
      </c>
      <c r="D13" s="65">
        <f>'TX-EGM-FLSH'!L13</f>
        <v>1181827</v>
      </c>
      <c r="E13" s="66">
        <f>'TX-EGM-FLSH'!M13</f>
        <v>2001964.88</v>
      </c>
      <c r="F13" s="60">
        <f>'TX-EGM-GL'!D13</f>
        <v>1181827</v>
      </c>
      <c r="G13" s="38">
        <f>'TX-EGM-GL'!E13</f>
        <v>2001964</v>
      </c>
      <c r="H13" s="60">
        <f t="shared" ref="H13:I15" si="0">F13-D13</f>
        <v>0</v>
      </c>
      <c r="I13" s="38">
        <f t="shared" si="0"/>
        <v>-0.87999999988824129</v>
      </c>
    </row>
    <row r="14" spans="1:22" x14ac:dyDescent="0.25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50244877</v>
      </c>
      <c r="E16" s="39">
        <f t="shared" si="1"/>
        <v>87980080.879999995</v>
      </c>
      <c r="F16" s="61">
        <f t="shared" si="1"/>
        <v>16117072</v>
      </c>
      <c r="G16" s="39">
        <f t="shared" si="1"/>
        <v>28028815.500000004</v>
      </c>
      <c r="H16" s="61">
        <f t="shared" si="1"/>
        <v>-34127805</v>
      </c>
      <c r="I16" s="39">
        <f t="shared" si="1"/>
        <v>-59951265.380000003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'TX-EGM-FLSH'!L19</f>
        <v>-57166638</v>
      </c>
      <c r="E19" s="66">
        <f>'TX-EGM-FLSH'!M19</f>
        <v>-99465173</v>
      </c>
      <c r="F19" s="60">
        <f>'TX-EGM-GL'!D19</f>
        <v>-22205095</v>
      </c>
      <c r="G19" s="38">
        <f>'TX-EGM-GL'!E19</f>
        <v>-38680786.039999999</v>
      </c>
      <c r="H19" s="60">
        <f>F19-D19</f>
        <v>34961543</v>
      </c>
      <c r="I19" s="38">
        <f>G19-E19</f>
        <v>60784386.960000001</v>
      </c>
    </row>
    <row r="20" spans="1:9" x14ac:dyDescent="0.25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535659.33000000007</v>
      </c>
      <c r="H20" s="60">
        <f>F20-D20</f>
        <v>0</v>
      </c>
      <c r="I20" s="38">
        <f>G20-E20</f>
        <v>535659.33000000007</v>
      </c>
    </row>
    <row r="21" spans="1:9" x14ac:dyDescent="0.25">
      <c r="A21" s="9">
        <v>8</v>
      </c>
      <c r="B21" s="7"/>
      <c r="C21" s="18" t="s">
        <v>31</v>
      </c>
      <c r="D21" s="65">
        <f>'TX-EGM-FLSH'!L21</f>
        <v>-1337043</v>
      </c>
      <c r="E21" s="66">
        <f>'TX-EGM-FLSH'!M21</f>
        <v>-2280277.71</v>
      </c>
      <c r="F21" s="60">
        <f>'TX-EGM-GL'!D21</f>
        <v>-1331315</v>
      </c>
      <c r="G21" s="38">
        <f>'TX-EGM-GL'!E21</f>
        <v>-2272147</v>
      </c>
      <c r="H21" s="60">
        <f t="shared" ref="H21:I23" si="2">F21-D21</f>
        <v>5728</v>
      </c>
      <c r="I21" s="38">
        <f t="shared" si="2"/>
        <v>8130.7099999999627</v>
      </c>
    </row>
    <row r="22" spans="1:9" x14ac:dyDescent="0.25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'TX-EGM-FLSH'!L23</f>
        <v>0</v>
      </c>
      <c r="E23" s="66">
        <f>'TX-EGM-FLSH'!M23</f>
        <v>0</v>
      </c>
      <c r="F23" s="60">
        <f>'TX-EGM-GL'!D23</f>
        <v>4992</v>
      </c>
      <c r="G23" s="38">
        <f>'TX-EGM-GL'!E23</f>
        <v>9038.4700000000012</v>
      </c>
      <c r="H23" s="60">
        <f t="shared" si="2"/>
        <v>4992</v>
      </c>
      <c r="I23" s="38">
        <f t="shared" si="2"/>
        <v>9038.4700000000012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-58503681</v>
      </c>
      <c r="E24" s="39">
        <f t="shared" si="3"/>
        <v>-101745450.70999999</v>
      </c>
      <c r="F24" s="61">
        <f t="shared" si="3"/>
        <v>-23531418</v>
      </c>
      <c r="G24" s="39">
        <f t="shared" si="3"/>
        <v>-40408235.240000002</v>
      </c>
      <c r="H24" s="61">
        <f t="shared" si="3"/>
        <v>34972263</v>
      </c>
      <c r="I24" s="39">
        <f t="shared" si="3"/>
        <v>61337215.469999999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'TX-EGM-FLSH'!L27</f>
        <v>29598230</v>
      </c>
      <c r="E27" s="66">
        <f>'TX-EGM-FLSH'!M27</f>
        <v>51845686.640000001</v>
      </c>
      <c r="F27" s="60">
        <f>'TX-EGM-GL'!D27</f>
        <v>12151979</v>
      </c>
      <c r="G27" s="38">
        <f>'TX-EGM-GL'!E27</f>
        <v>21629046.989999995</v>
      </c>
      <c r="H27" s="60">
        <f>F27-D27</f>
        <v>-17446251</v>
      </c>
      <c r="I27" s="38">
        <f>G27-E27</f>
        <v>-30216639.650000006</v>
      </c>
    </row>
    <row r="28" spans="1:9" x14ac:dyDescent="0.25">
      <c r="A28" s="9">
        <v>12</v>
      </c>
      <c r="B28" s="7"/>
      <c r="C28" s="18" t="s">
        <v>40</v>
      </c>
      <c r="D28" s="65">
        <f>'TX-EGM-FLSH'!L28</f>
        <v>-28848210</v>
      </c>
      <c r="E28" s="66">
        <f>'TX-EGM-FLSH'!M28</f>
        <v>-50416224.18</v>
      </c>
      <c r="F28" s="60">
        <f>'TX-EGM-GL'!D28</f>
        <v>-6123075</v>
      </c>
      <c r="G28" s="38">
        <f>'TX-EGM-GL'!E28</f>
        <v>-10779322.890000002</v>
      </c>
      <c r="H28" s="60">
        <f>F28-D28</f>
        <v>22725135</v>
      </c>
      <c r="I28" s="38">
        <f>G28-E28</f>
        <v>39636901.289999999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750020</v>
      </c>
      <c r="E29" s="70">
        <f t="shared" si="4"/>
        <v>1429462.4600000009</v>
      </c>
      <c r="F29" s="69">
        <f t="shared" si="4"/>
        <v>6028904</v>
      </c>
      <c r="G29" s="70">
        <f t="shared" si="4"/>
        <v>10849724.099999992</v>
      </c>
      <c r="H29" s="69">
        <f t="shared" si="4"/>
        <v>5278884</v>
      </c>
      <c r="I29" s="70">
        <f t="shared" si="4"/>
        <v>9420261.6399999931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185050</v>
      </c>
      <c r="G32" s="38">
        <f>'TX-EGM-GL'!E32</f>
        <v>317360.17899999983</v>
      </c>
      <c r="H32" s="60">
        <f>F32-D32</f>
        <v>185050</v>
      </c>
      <c r="I32" s="38">
        <f>G32-E32</f>
        <v>317360.17899999983</v>
      </c>
    </row>
    <row r="33" spans="1:9" x14ac:dyDescent="0.25">
      <c r="A33" s="9">
        <v>14</v>
      </c>
      <c r="B33" s="7"/>
      <c r="C33" s="18" t="s">
        <v>44</v>
      </c>
      <c r="D33" s="65">
        <f>'TX-EGM-FLSH'!L33</f>
        <v>7508784</v>
      </c>
      <c r="E33" s="66">
        <f>'TX-EGM-FLSH'!M33</f>
        <v>12889227.374123955</v>
      </c>
      <c r="F33" s="60">
        <f>'TX-EGM-GL'!D33</f>
        <v>0</v>
      </c>
      <c r="G33" s="38">
        <f>'TX-EGM-GL'!E33</f>
        <v>0</v>
      </c>
      <c r="H33" s="60">
        <f t="shared" ref="H33:I35" si="5">F33-D33</f>
        <v>-7508784</v>
      </c>
      <c r="I33" s="38">
        <f t="shared" si="5"/>
        <v>-12889227.374123955</v>
      </c>
    </row>
    <row r="34" spans="1:9" x14ac:dyDescent="0.25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7508784</v>
      </c>
      <c r="E36" s="39">
        <f t="shared" si="6"/>
        <v>12889227.374123955</v>
      </c>
      <c r="F36" s="61">
        <f t="shared" si="6"/>
        <v>185050</v>
      </c>
      <c r="G36" s="39">
        <f t="shared" si="6"/>
        <v>317360.17899999983</v>
      </c>
      <c r="H36" s="61">
        <f t="shared" si="6"/>
        <v>-7323734</v>
      </c>
      <c r="I36" s="39">
        <f t="shared" si="6"/>
        <v>-12571867.195123956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'TX-EGM-FLSH'!L39</f>
        <v>0</v>
      </c>
      <c r="E39" s="66">
        <f>'TX-EGM-FLSH'!M39</f>
        <v>0</v>
      </c>
      <c r="F39" s="60">
        <f>'TX-EGM-GL'!D39</f>
        <v>2573914</v>
      </c>
      <c r="G39" s="38">
        <f>'TX-EGM-GL'!E39</f>
        <v>4630012.8699999992</v>
      </c>
      <c r="H39" s="60">
        <f t="shared" ref="H39:I41" si="7">F39-D39</f>
        <v>2573914</v>
      </c>
      <c r="I39" s="38">
        <f t="shared" si="7"/>
        <v>4630012.8699999992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'TX-EGM-FLSH'!L40</f>
        <v>0</v>
      </c>
      <c r="E40" s="66">
        <f>'TX-EGM-FLSH'!M40</f>
        <v>0</v>
      </c>
      <c r="F40" s="60">
        <f>'TX-EGM-GL'!D40</f>
        <v>-1503842</v>
      </c>
      <c r="G40" s="38">
        <f>'TX-EGM-GL'!E40</f>
        <v>-3128538.62</v>
      </c>
      <c r="H40" s="60">
        <f t="shared" si="7"/>
        <v>-1503842</v>
      </c>
      <c r="I40" s="38">
        <f t="shared" si="7"/>
        <v>-3128538.62</v>
      </c>
    </row>
    <row r="41" spans="1:9" x14ac:dyDescent="0.25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20947</v>
      </c>
      <c r="H41" s="60">
        <f t="shared" si="7"/>
        <v>0</v>
      </c>
      <c r="I41" s="38">
        <f t="shared" si="7"/>
        <v>20947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-1503842</v>
      </c>
      <c r="G42" s="70">
        <f t="shared" si="8"/>
        <v>-3107591.62</v>
      </c>
      <c r="H42" s="69">
        <f t="shared" si="8"/>
        <v>-1503842</v>
      </c>
      <c r="I42" s="70">
        <f t="shared" si="8"/>
        <v>-3107591.62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1070072</v>
      </c>
      <c r="G43" s="39">
        <f t="shared" si="9"/>
        <v>1522421.2499999991</v>
      </c>
      <c r="H43" s="61">
        <f t="shared" si="9"/>
        <v>1070072</v>
      </c>
      <c r="I43" s="39">
        <f t="shared" si="9"/>
        <v>1522421.2499999991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130320</v>
      </c>
      <c r="G49" s="38">
        <f>'TX-EGM-GL'!E49</f>
        <v>219959.91500000001</v>
      </c>
      <c r="H49" s="60">
        <f>F49-D49</f>
        <v>130320</v>
      </c>
      <c r="I49" s="38">
        <f>G49-E49</f>
        <v>219959.91500000001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'TX-EGM-FLSH'!L51</f>
        <v>0</v>
      </c>
      <c r="E51" s="66">
        <f>'TX-EGM-FLSH'!M51</f>
        <v>-25000</v>
      </c>
      <c r="F51" s="60">
        <f>'TX-EGM-GL'!D51</f>
        <v>-4992</v>
      </c>
      <c r="G51" s="38">
        <f>'TX-EGM-GL'!E51</f>
        <v>-9038.4700000000012</v>
      </c>
      <c r="H51" s="60">
        <f>F51-D51</f>
        <v>-4992</v>
      </c>
      <c r="I51" s="38">
        <f>G51-E51</f>
        <v>15961.529999999999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-293671</v>
      </c>
      <c r="F54" s="60">
        <f>'TX-EGM-GL'!D54</f>
        <v>21903072</v>
      </c>
      <c r="G54" s="38">
        <f>'TX-EGM-GL'!E54</f>
        <v>25653.860000000062</v>
      </c>
      <c r="H54" s="60">
        <f>F54-D54</f>
        <v>21903072</v>
      </c>
      <c r="I54" s="38">
        <f>G54-E54</f>
        <v>319324.86000000004</v>
      </c>
    </row>
    <row r="55" spans="1:9" x14ac:dyDescent="0.25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-1393</v>
      </c>
      <c r="G55" s="38">
        <f>'TX-EGM-GL'!E55</f>
        <v>2915.8</v>
      </c>
      <c r="H55" s="60">
        <f>F55-D55</f>
        <v>-1393</v>
      </c>
      <c r="I55" s="38">
        <f>G55-E55</f>
        <v>2915.8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-293671</v>
      </c>
      <c r="F56" s="61">
        <f t="shared" si="10"/>
        <v>21901679</v>
      </c>
      <c r="G56" s="39">
        <f t="shared" si="10"/>
        <v>28569.660000000062</v>
      </c>
      <c r="H56" s="61">
        <f t="shared" si="10"/>
        <v>21901679</v>
      </c>
      <c r="I56" s="39">
        <f t="shared" si="10"/>
        <v>322240.66000000003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-56076580</v>
      </c>
      <c r="G64" s="38">
        <f>'TX-EGM-GL'!E64</f>
        <v>-636907.64999999991</v>
      </c>
      <c r="H64" s="60">
        <f>F64-D64</f>
        <v>-56076580</v>
      </c>
      <c r="I64" s="38">
        <f>G64-E64</f>
        <v>-636907.64999999991</v>
      </c>
    </row>
    <row r="65" spans="1:9" x14ac:dyDescent="0.25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498887</v>
      </c>
      <c r="H65" s="60">
        <f>F65-D65</f>
        <v>0</v>
      </c>
      <c r="I65" s="38">
        <f>G65-E65</f>
        <v>498887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-56076580</v>
      </c>
      <c r="G66" s="39">
        <f t="shared" si="12"/>
        <v>-138020.64999999991</v>
      </c>
      <c r="H66" s="61">
        <f t="shared" si="12"/>
        <v>-56076580</v>
      </c>
      <c r="I66" s="39">
        <f t="shared" si="12"/>
        <v>-138020.64999999991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138111.41</v>
      </c>
      <c r="F70" s="60">
        <f>'TX-EGM-GL'!D70</f>
        <v>0</v>
      </c>
      <c r="G70" s="38">
        <f>'TX-EGM-GL'!E70</f>
        <v>-140015.5</v>
      </c>
      <c r="H70" s="60">
        <f>F70-D70</f>
        <v>0</v>
      </c>
      <c r="I70" s="38">
        <f>G70-E70</f>
        <v>-278126.91000000003</v>
      </c>
    </row>
    <row r="71" spans="1:9" x14ac:dyDescent="0.25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987605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-987605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5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-301843.07</v>
      </c>
      <c r="F74" s="60">
        <f>'TX-EGM-GL'!D74</f>
        <v>0</v>
      </c>
      <c r="G74" s="38">
        <f>'TX-EGM-GL'!E74</f>
        <v>-208274.45999999996</v>
      </c>
      <c r="H74" s="60">
        <f t="shared" ref="H74:I79" si="14">F74-D74</f>
        <v>0</v>
      </c>
      <c r="I74" s="38">
        <f t="shared" si="14"/>
        <v>93568.610000000044</v>
      </c>
    </row>
    <row r="75" spans="1:9" x14ac:dyDescent="0.25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52737</v>
      </c>
      <c r="F75" s="60">
        <f>'TX-EGM-GL'!D75</f>
        <v>0</v>
      </c>
      <c r="G75" s="38">
        <f>'TX-EGM-GL'!E75</f>
        <v>52800</v>
      </c>
      <c r="H75" s="60">
        <f t="shared" si="14"/>
        <v>0</v>
      </c>
      <c r="I75" s="38">
        <f t="shared" si="14"/>
        <v>63</v>
      </c>
    </row>
    <row r="76" spans="1:9" x14ac:dyDescent="0.25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-60</v>
      </c>
      <c r="F76" s="60">
        <f>'TX-EGM-GL'!D76</f>
        <v>0</v>
      </c>
      <c r="G76" s="38">
        <f>'TX-EGM-GL'!E76</f>
        <v>-60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315590</v>
      </c>
      <c r="F81" s="60">
        <f>'TX-EGM-GL'!D81</f>
        <v>-25993375</v>
      </c>
      <c r="G81" s="38">
        <f>'TX-EGM-GL'!E81</f>
        <v>-50600</v>
      </c>
      <c r="H81" s="60">
        <f>F81-D81</f>
        <v>-25993375</v>
      </c>
      <c r="I81" s="38">
        <f>G81-E81</f>
        <v>-366190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1426789.3441239614</v>
      </c>
      <c r="F82" s="117">
        <f>F16+F24+F29+F36+F43+F45+F47+F49</f>
        <v>0</v>
      </c>
      <c r="G82" s="118">
        <f>SUM(G72:G81)+G16+G24+G29+G36+G43+G45+G47+G49+G51+G56+G61+G66</f>
        <v>65406.283999991923</v>
      </c>
      <c r="H82" s="117">
        <f>H16+H24+H29+H36+H43+H45+H47+H49</f>
        <v>0</v>
      </c>
      <c r="I82" s="118">
        <f>SUM(I72:I81)+I16+I24+I29+I36+I43+I45+I47+I49+I51+I56+I61+I66</f>
        <v>-1361383.0601239642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196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'TX-EGM-FLSH'!L86</f>
        <v>0</v>
      </c>
      <c r="E86" s="184">
        <f>'TX-EGM-FLSH'!M86</f>
        <v>67597</v>
      </c>
      <c r="F86" s="184">
        <f>'TX-EGM-GL'!D86</f>
        <v>0</v>
      </c>
      <c r="G86" s="184">
        <f>'TX-EGM-GL'!E86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5">
      <c r="A87" s="183"/>
      <c r="B87" s="3"/>
      <c r="C87" s="10" t="s">
        <v>75</v>
      </c>
      <c r="D87" s="185">
        <f>'TX-EGM-FLSH'!L87</f>
        <v>0</v>
      </c>
      <c r="E87" s="185">
        <f>'TX-EGM-FLSH'!M87</f>
        <v>0</v>
      </c>
      <c r="F87" s="185">
        <f>'TX-EGM-GL'!D87</f>
        <v>0</v>
      </c>
      <c r="G87" s="185">
        <f>'TX-EGM-GL'!E87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'TX-EGM-FLSH'!L88</f>
        <v>0</v>
      </c>
      <c r="E88" s="186">
        <f>'TX-EGM-FLSH'!M88</f>
        <v>-48556</v>
      </c>
      <c r="F88" s="186">
        <f>'TX-EGM-GL'!D88</f>
        <v>0</v>
      </c>
      <c r="G88" s="186">
        <f>'TX-EGM-GL'!E88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1445830.3441239614</v>
      </c>
      <c r="F91" s="190">
        <f t="shared" si="17"/>
        <v>0</v>
      </c>
      <c r="G91" s="190">
        <f t="shared" si="17"/>
        <v>84403.783999991923</v>
      </c>
      <c r="H91" s="190">
        <f t="shared" si="17"/>
        <v>0</v>
      </c>
      <c r="I91" s="190">
        <f t="shared" si="17"/>
        <v>-1361426.5601239642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'TX-HPL-FLSH'!L11</f>
        <v>-12142761</v>
      </c>
      <c r="E11" s="66">
        <f>'TX-HPL-FLSH'!M11</f>
        <v>-22129928</v>
      </c>
      <c r="F11" s="60">
        <f>'TX-HPL-GL '!D11</f>
        <v>22167959</v>
      </c>
      <c r="G11" s="38">
        <f>'TX-HPL-GL '!E11</f>
        <v>41048424</v>
      </c>
      <c r="H11" s="60">
        <f>F11-D11</f>
        <v>34310720</v>
      </c>
      <c r="I11" s="38">
        <f>G11-E11</f>
        <v>63178352</v>
      </c>
    </row>
    <row r="12" spans="1:22" x14ac:dyDescent="0.25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-2372979.98</v>
      </c>
      <c r="H12" s="60">
        <f>F12-D12</f>
        <v>0</v>
      </c>
      <c r="I12" s="38">
        <f>G12-E12</f>
        <v>-2372979.98</v>
      </c>
    </row>
    <row r="13" spans="1:22" x14ac:dyDescent="0.25">
      <c r="A13" s="9">
        <v>3</v>
      </c>
      <c r="B13" s="7"/>
      <c r="C13" s="18" t="s">
        <v>31</v>
      </c>
      <c r="D13" s="65">
        <f>'TX-HPL-FLSH'!L13</f>
        <v>0</v>
      </c>
      <c r="E13" s="66">
        <f>'TX-HPL-FLSH'!M13</f>
        <v>-0.87999999988824129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0.87999999988824129</v>
      </c>
    </row>
    <row r="14" spans="1:22" x14ac:dyDescent="0.25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-12142761</v>
      </c>
      <c r="E16" s="39">
        <f t="shared" si="1"/>
        <v>-22009928.879999999</v>
      </c>
      <c r="F16" s="61">
        <f t="shared" si="1"/>
        <v>22167959</v>
      </c>
      <c r="G16" s="39">
        <f t="shared" si="1"/>
        <v>38675444.020000003</v>
      </c>
      <c r="H16" s="61">
        <f t="shared" si="1"/>
        <v>34310720</v>
      </c>
      <c r="I16" s="39">
        <f t="shared" si="1"/>
        <v>60685372.900000006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'TX-HPL-FLSH'!L19</f>
        <v>18007351</v>
      </c>
      <c r="E19" s="66">
        <f>'TX-HPL-FLSH'!M19</f>
        <v>31323545</v>
      </c>
      <c r="F19" s="60">
        <f>'TX-HPL-GL '!D19</f>
        <v>-5010850</v>
      </c>
      <c r="G19" s="38">
        <f>'TX-HPL-GL '!E19</f>
        <v>-8772179.8899999969</v>
      </c>
      <c r="H19" s="60">
        <f>F19-D19</f>
        <v>-23018201</v>
      </c>
      <c r="I19" s="38">
        <f>G19-E19</f>
        <v>-40095724.890000001</v>
      </c>
    </row>
    <row r="20" spans="1:9" x14ac:dyDescent="0.25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593197.94999999995</v>
      </c>
      <c r="H20" s="60">
        <f>F20-D20</f>
        <v>0</v>
      </c>
      <c r="I20" s="38">
        <f>G20-E20</f>
        <v>593197.94999999995</v>
      </c>
    </row>
    <row r="21" spans="1:9" x14ac:dyDescent="0.25">
      <c r="A21" s="9">
        <v>8</v>
      </c>
      <c r="B21" s="7"/>
      <c r="C21" s="18" t="s">
        <v>31</v>
      </c>
      <c r="D21" s="65">
        <f>'TX-HPL-FLSH'!L21</f>
        <v>0</v>
      </c>
      <c r="E21" s="66">
        <f>'TX-HPL-FLSH'!M21</f>
        <v>-4.2900000000372529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4.2900000000372529</v>
      </c>
    </row>
    <row r="22" spans="1:9" x14ac:dyDescent="0.25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'TX-HPL-FLSH'!L23</f>
        <v>56</v>
      </c>
      <c r="E23" s="66">
        <f>'TX-HPL-FLSH'!M23</f>
        <v>94</v>
      </c>
      <c r="F23" s="60">
        <f>'TX-HPL-GL '!D23</f>
        <v>0</v>
      </c>
      <c r="G23" s="38">
        <f>'TX-HPL-GL '!E23</f>
        <v>0</v>
      </c>
      <c r="H23" s="60">
        <f t="shared" si="2"/>
        <v>-56</v>
      </c>
      <c r="I23" s="38">
        <f t="shared" si="2"/>
        <v>-94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18007407</v>
      </c>
      <c r="E24" s="39">
        <f t="shared" si="3"/>
        <v>31323634.710000001</v>
      </c>
      <c r="F24" s="61">
        <f t="shared" si="3"/>
        <v>-5010850</v>
      </c>
      <c r="G24" s="39">
        <f t="shared" si="3"/>
        <v>-8178981.9399999967</v>
      </c>
      <c r="H24" s="61">
        <f t="shared" si="3"/>
        <v>-23018257</v>
      </c>
      <c r="I24" s="39">
        <f t="shared" si="3"/>
        <v>-39502616.649999999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'TX-HPL-FLSH'!L27</f>
        <v>2323610</v>
      </c>
      <c r="E27" s="66">
        <f>'TX-HPL-FLSH'!M27</f>
        <v>4047922.36</v>
      </c>
      <c r="F27" s="60">
        <f>'TX-HPL-GL '!D27</f>
        <v>2157267</v>
      </c>
      <c r="G27" s="38">
        <f>'TX-HPL-GL '!E27</f>
        <v>3774601.7866999954</v>
      </c>
      <c r="H27" s="60">
        <f>F27-D27</f>
        <v>-166343</v>
      </c>
      <c r="I27" s="38">
        <f>G27-E27</f>
        <v>-273320.57330000447</v>
      </c>
    </row>
    <row r="28" spans="1:9" x14ac:dyDescent="0.25">
      <c r="A28" s="9">
        <v>12</v>
      </c>
      <c r="B28" s="7"/>
      <c r="C28" s="18" t="s">
        <v>40</v>
      </c>
      <c r="D28" s="65">
        <f>'TX-HPL-FLSH'!L28</f>
        <v>-3073630</v>
      </c>
      <c r="E28" s="66">
        <f>'TX-HPL-FLSH'!M28</f>
        <v>-5477384.8200000003</v>
      </c>
      <c r="F28" s="60">
        <f>'TX-HPL-GL '!D28</f>
        <v>-19314947</v>
      </c>
      <c r="G28" s="38">
        <f>'TX-HPL-GL '!E28</f>
        <v>-34359402.727500007</v>
      </c>
      <c r="H28" s="60">
        <f>F28-D28</f>
        <v>-16241317</v>
      </c>
      <c r="I28" s="38">
        <f>G28-E28</f>
        <v>-28882017.907500006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-750020</v>
      </c>
      <c r="E29" s="70">
        <f t="shared" si="4"/>
        <v>-1429462.4600000004</v>
      </c>
      <c r="F29" s="69">
        <f t="shared" si="4"/>
        <v>-17157680</v>
      </c>
      <c r="G29" s="70">
        <f t="shared" si="4"/>
        <v>-30584800.940800011</v>
      </c>
      <c r="H29" s="69">
        <f t="shared" si="4"/>
        <v>-16407660</v>
      </c>
      <c r="I29" s="70">
        <f t="shared" si="4"/>
        <v>-29155338.48080001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571</v>
      </c>
      <c r="G32" s="38">
        <f>'TX-HPL-GL '!E32</f>
        <v>979.26899999998841</v>
      </c>
      <c r="H32" s="60">
        <f>F32-D32</f>
        <v>571</v>
      </c>
      <c r="I32" s="38">
        <f>G32-E32</f>
        <v>979.26899999998841</v>
      </c>
    </row>
    <row r="33" spans="1:9" x14ac:dyDescent="0.25">
      <c r="A33" s="9">
        <v>14</v>
      </c>
      <c r="B33" s="7"/>
      <c r="C33" s="18" t="s">
        <v>44</v>
      </c>
      <c r="D33" s="65">
        <f>'TX-HPL-FLSH'!L33</f>
        <v>-7496031</v>
      </c>
      <c r="E33" s="66">
        <f>'TX-HPL-FLSH'!M33</f>
        <v>-12867349.665533965</v>
      </c>
      <c r="F33" s="60">
        <f>'TX-HPL-GL '!D33</f>
        <v>0</v>
      </c>
      <c r="G33" s="38">
        <f>'TX-HPL-GL '!E33</f>
        <v>0</v>
      </c>
      <c r="H33" s="60">
        <f t="shared" ref="H33:I35" si="5">F33-D33</f>
        <v>7496031</v>
      </c>
      <c r="I33" s="38">
        <f t="shared" si="5"/>
        <v>12867349.665533965</v>
      </c>
    </row>
    <row r="34" spans="1:9" x14ac:dyDescent="0.25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-7496031</v>
      </c>
      <c r="E36" s="39">
        <f t="shared" si="6"/>
        <v>-12867349.665533965</v>
      </c>
      <c r="F36" s="61">
        <f t="shared" si="6"/>
        <v>571</v>
      </c>
      <c r="G36" s="39">
        <f t="shared" si="6"/>
        <v>979.26899999998841</v>
      </c>
      <c r="H36" s="61">
        <f t="shared" si="6"/>
        <v>7496602</v>
      </c>
      <c r="I36" s="39">
        <f t="shared" si="6"/>
        <v>12868328.934533965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'TX-HPL-FLSH'!L39</f>
        <v>3267992</v>
      </c>
      <c r="E39" s="66">
        <f>'TX-HPL-FLSH'!M39</f>
        <v>5909295</v>
      </c>
      <c r="F39" s="60">
        <f>'TX-HPL-GL '!D39</f>
        <v>0</v>
      </c>
      <c r="G39" s="38">
        <f>'TX-HPL-GL '!E39</f>
        <v>0</v>
      </c>
      <c r="H39" s="60">
        <f t="shared" ref="H39:I41" si="7">F39-D39</f>
        <v>-3267992</v>
      </c>
      <c r="I39" s="38">
        <f t="shared" si="7"/>
        <v>-5909295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'TX-HPL-FLSH'!L40</f>
        <v>-886587</v>
      </c>
      <c r="E40" s="66">
        <f>'TX-HPL-FLSH'!M40</f>
        <v>-1545938</v>
      </c>
      <c r="F40" s="60">
        <f>'TX-HPL-GL '!D40</f>
        <v>0</v>
      </c>
      <c r="G40" s="38">
        <f>'TX-HPL-GL '!E40</f>
        <v>0</v>
      </c>
      <c r="H40" s="60">
        <f t="shared" si="7"/>
        <v>886587</v>
      </c>
      <c r="I40" s="38">
        <f t="shared" si="7"/>
        <v>1545938</v>
      </c>
    </row>
    <row r="41" spans="1:9" x14ac:dyDescent="0.25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0</v>
      </c>
      <c r="G42" s="70">
        <f t="shared" si="8"/>
        <v>0</v>
      </c>
      <c r="H42" s="69">
        <f t="shared" si="8"/>
        <v>886587</v>
      </c>
      <c r="I42" s="70">
        <f t="shared" si="8"/>
        <v>1545938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0</v>
      </c>
      <c r="G43" s="39">
        <f t="shared" si="9"/>
        <v>0</v>
      </c>
      <c r="H43" s="61">
        <f t="shared" si="9"/>
        <v>-2381405</v>
      </c>
      <c r="I43" s="39">
        <f t="shared" si="9"/>
        <v>-4363357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'TX-HPL-FLSH'!L51</f>
        <v>0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0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-604336</v>
      </c>
      <c r="F54" s="60">
        <f>'TX-HPL-GL '!D54</f>
        <v>14466592</v>
      </c>
      <c r="G54" s="38">
        <f>'TX-HPL-GL '!E54</f>
        <v>14317.26</v>
      </c>
      <c r="H54" s="60">
        <f>F54-D54</f>
        <v>14466592</v>
      </c>
      <c r="I54" s="38">
        <f>G54-E54</f>
        <v>618653.26</v>
      </c>
    </row>
    <row r="55" spans="1:9" x14ac:dyDescent="0.25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-603096</v>
      </c>
      <c r="H55" s="60">
        <f>F55-D55</f>
        <v>0</v>
      </c>
      <c r="I55" s="38">
        <f>G55-E55</f>
        <v>-603096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-604336</v>
      </c>
      <c r="F56" s="61">
        <f t="shared" si="10"/>
        <v>14466592</v>
      </c>
      <c r="G56" s="39">
        <f t="shared" si="10"/>
        <v>-588778.74</v>
      </c>
      <c r="H56" s="61">
        <f t="shared" si="10"/>
        <v>14466592</v>
      </c>
      <c r="I56" s="39">
        <f t="shared" si="10"/>
        <v>15557.260000000009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1632.12</v>
      </c>
      <c r="H59" s="60">
        <f>F59-D59</f>
        <v>0</v>
      </c>
      <c r="I59" s="38">
        <f>G59-E59</f>
        <v>1632.12</v>
      </c>
    </row>
    <row r="60" spans="1:9" x14ac:dyDescent="0.25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-12044314</v>
      </c>
      <c r="G64" s="38">
        <f>'TX-HPL-GL '!E64</f>
        <v>-755336.52</v>
      </c>
      <c r="H64" s="60">
        <f>F64-D64</f>
        <v>-12044314</v>
      </c>
      <c r="I64" s="38">
        <f>G64-E64</f>
        <v>-755336.52</v>
      </c>
    </row>
    <row r="65" spans="1:9" x14ac:dyDescent="0.25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753929</v>
      </c>
      <c r="H65" s="60">
        <f>F65-D65</f>
        <v>0</v>
      </c>
      <c r="I65" s="38">
        <f>G65-E65</f>
        <v>753929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-12044314</v>
      </c>
      <c r="G66" s="39">
        <f t="shared" si="12"/>
        <v>-1407.5200000000186</v>
      </c>
      <c r="H66" s="61">
        <f t="shared" si="12"/>
        <v>-12044314</v>
      </c>
      <c r="I66" s="39">
        <f t="shared" si="12"/>
        <v>-1407.5200000000186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987000</v>
      </c>
      <c r="H74" s="60">
        <f t="shared" ref="H74:I79" si="14">F74-D74</f>
        <v>0</v>
      </c>
      <c r="I74" s="38">
        <f t="shared" si="14"/>
        <v>987000</v>
      </c>
    </row>
    <row r="75" spans="1:9" x14ac:dyDescent="0.25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-34561</v>
      </c>
      <c r="H81" s="60">
        <f>F81-D81</f>
        <v>0</v>
      </c>
      <c r="I81" s="38">
        <f>G81-E81</f>
        <v>-34561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-1199085.2955339644</v>
      </c>
      <c r="F82" s="117">
        <f>F16+F24+F29+F36+F43+F45+F47+F49</f>
        <v>0</v>
      </c>
      <c r="G82" s="118">
        <f>SUM(G72:G81)+G16+G24+G29+G36+G43+G45+G47+G49+G51+G56+G61+G66</f>
        <v>-536554.61180000554</v>
      </c>
      <c r="H82" s="117">
        <f>H16+H24+H29+H36+H43+H45+H47+H49</f>
        <v>0</v>
      </c>
      <c r="I82" s="118">
        <f>SUM(I72:I81)+I16+I24+I29+I36+I43+I45+I47+I49+I51+I56+I61+I66</f>
        <v>662530.68373396201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2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'TX-CON-FLSH'!L11</f>
        <v>36920289</v>
      </c>
      <c r="E11" s="66">
        <f>'TX-CON-FLSH'!M11</f>
        <v>63848188</v>
      </c>
      <c r="F11" s="60">
        <f>'TX-CON-GL '!D11</f>
        <v>36686916</v>
      </c>
      <c r="G11" s="38">
        <f>'TX-CON-GL '!E11</f>
        <v>75114253.480000004</v>
      </c>
      <c r="H11" s="60">
        <f>F11-D11</f>
        <v>-233373</v>
      </c>
      <c r="I11" s="38">
        <f>G11-E11</f>
        <v>11266065.480000004</v>
      </c>
    </row>
    <row r="12" spans="1:22" x14ac:dyDescent="0.25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-11120823.210000001</v>
      </c>
      <c r="H12" s="60">
        <f>F12-D12</f>
        <v>0</v>
      </c>
      <c r="I12" s="38">
        <f>G12-E12</f>
        <v>-11120823.210000001</v>
      </c>
    </row>
    <row r="13" spans="1:22" x14ac:dyDescent="0.25">
      <c r="A13" s="9">
        <v>3</v>
      </c>
      <c r="B13" s="7"/>
      <c r="C13" s="18" t="s">
        <v>31</v>
      </c>
      <c r="D13" s="65">
        <f>'TX-CON-FLSH'!L13</f>
        <v>1181827</v>
      </c>
      <c r="E13" s="66">
        <f>'TX-CON-FLSH'!M13</f>
        <v>2001964</v>
      </c>
      <c r="F13" s="60">
        <f>'TX-CON-GL '!D13</f>
        <v>2871933</v>
      </c>
      <c r="G13" s="38">
        <f>'TX-CON-GL '!E13</f>
        <v>4876788</v>
      </c>
      <c r="H13" s="60">
        <f t="shared" ref="H13:I15" si="0">F13-D13</f>
        <v>1690106</v>
      </c>
      <c r="I13" s="38">
        <f t="shared" si="0"/>
        <v>2874824</v>
      </c>
    </row>
    <row r="14" spans="1:22" x14ac:dyDescent="0.25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38102116</v>
      </c>
      <c r="E16" s="39">
        <f t="shared" si="1"/>
        <v>65970152</v>
      </c>
      <c r="F16" s="61">
        <f t="shared" si="1"/>
        <v>39558849</v>
      </c>
      <c r="G16" s="39">
        <f t="shared" si="1"/>
        <v>68870218.270000011</v>
      </c>
      <c r="H16" s="61">
        <f t="shared" si="1"/>
        <v>1456733</v>
      </c>
      <c r="I16" s="39">
        <f t="shared" si="1"/>
        <v>2900066.2700000033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'TX-CON-FLSH'!L19</f>
        <v>-39159287</v>
      </c>
      <c r="E19" s="66">
        <f>'TX-CON-FLSH'!M19</f>
        <v>-68141628</v>
      </c>
      <c r="F19" s="60">
        <f>'TX-CON-GL '!D19</f>
        <v>-27216353</v>
      </c>
      <c r="G19" s="38">
        <f>'TX-CON-GL '!E19</f>
        <v>-47453964.909999989</v>
      </c>
      <c r="H19" s="60">
        <f>F19-D19</f>
        <v>11942934</v>
      </c>
      <c r="I19" s="38">
        <f>G19-E19</f>
        <v>20687663.090000011</v>
      </c>
    </row>
    <row r="20" spans="1:9" x14ac:dyDescent="0.25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1128857.28</v>
      </c>
      <c r="H20" s="60">
        <f>F20-D20</f>
        <v>0</v>
      </c>
      <c r="I20" s="38">
        <f>G20-E20</f>
        <v>1128857.28</v>
      </c>
    </row>
    <row r="21" spans="1:9" x14ac:dyDescent="0.25">
      <c r="A21" s="9">
        <v>8</v>
      </c>
      <c r="B21" s="7"/>
      <c r="C21" s="18" t="s">
        <v>31</v>
      </c>
      <c r="D21" s="65">
        <f>'TX-CON-FLSH'!L21</f>
        <v>-1337043</v>
      </c>
      <c r="E21" s="66">
        <f>'TX-CON-FLSH'!M21</f>
        <v>-2280282</v>
      </c>
      <c r="F21" s="60">
        <f>'TX-CON-GL '!D21</f>
        <v>-2958981</v>
      </c>
      <c r="G21" s="38">
        <f>'TX-CON-GL '!E21</f>
        <v>-5024106</v>
      </c>
      <c r="H21" s="60">
        <f t="shared" ref="H21:I23" si="2">F21-D21</f>
        <v>-1621938</v>
      </c>
      <c r="I21" s="38">
        <f t="shared" si="2"/>
        <v>-2743824</v>
      </c>
    </row>
    <row r="22" spans="1:9" x14ac:dyDescent="0.25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'TX-CON-FLSH'!L23</f>
        <v>56</v>
      </c>
      <c r="E23" s="66">
        <f>'TX-CON-FLSH'!M23</f>
        <v>94</v>
      </c>
      <c r="F23" s="60">
        <f>'TX-CON-GL '!D23</f>
        <v>4992</v>
      </c>
      <c r="G23" s="38">
        <f>'TX-CON-GL '!E23</f>
        <v>9038.4700000000012</v>
      </c>
      <c r="H23" s="60">
        <f t="shared" si="2"/>
        <v>4936</v>
      </c>
      <c r="I23" s="38">
        <f t="shared" si="2"/>
        <v>8944.4700000000012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-40496274</v>
      </c>
      <c r="E24" s="39">
        <f t="shared" si="3"/>
        <v>-70421816</v>
      </c>
      <c r="F24" s="61">
        <f t="shared" si="3"/>
        <v>-30170342</v>
      </c>
      <c r="G24" s="39">
        <f t="shared" si="3"/>
        <v>-51340175.159999989</v>
      </c>
      <c r="H24" s="61">
        <f t="shared" si="3"/>
        <v>10325932</v>
      </c>
      <c r="I24" s="39">
        <f t="shared" si="3"/>
        <v>19081640.840000011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'TX-CON-FLSH'!L27</f>
        <v>31921840</v>
      </c>
      <c r="E27" s="66">
        <f>'TX-CON-FLSH'!M27</f>
        <v>55893609</v>
      </c>
      <c r="F27" s="60">
        <f>'TX-CON-GL '!D27</f>
        <v>14309219</v>
      </c>
      <c r="G27" s="38">
        <f>'TX-CON-GL '!E27</f>
        <v>25385497.586699992</v>
      </c>
      <c r="H27" s="60">
        <f>F27-D27</f>
        <v>-17612621</v>
      </c>
      <c r="I27" s="38">
        <f>G27-E27</f>
        <v>-30508111.413300008</v>
      </c>
    </row>
    <row r="28" spans="1:9" x14ac:dyDescent="0.25">
      <c r="A28" s="9">
        <v>12</v>
      </c>
      <c r="B28" s="7"/>
      <c r="C28" s="18" t="s">
        <v>40</v>
      </c>
      <c r="D28" s="65">
        <f>'TX-CON-FLSH'!L28</f>
        <v>-31921840</v>
      </c>
      <c r="E28" s="66">
        <f>'TX-CON-FLSH'!M28</f>
        <v>-55893609</v>
      </c>
      <c r="F28" s="60">
        <f>'TX-CON-GL '!D28</f>
        <v>-25016283</v>
      </c>
      <c r="G28" s="38">
        <f>'TX-CON-GL '!E28</f>
        <v>-44388030.197499998</v>
      </c>
      <c r="H28" s="60">
        <f>F28-D28</f>
        <v>6905557</v>
      </c>
      <c r="I28" s="38">
        <f>G28-E28</f>
        <v>11505578.802500002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-10707064</v>
      </c>
      <c r="G29" s="70">
        <f t="shared" si="4"/>
        <v>-19002532.610800005</v>
      </c>
      <c r="H29" s="69">
        <f t="shared" si="4"/>
        <v>-10707064</v>
      </c>
      <c r="I29" s="70">
        <f t="shared" si="4"/>
        <v>-19002532.610800005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-196853</v>
      </c>
      <c r="G32" s="38">
        <f>'TX-CON-GL '!E32</f>
        <v>-289783.00700000016</v>
      </c>
      <c r="H32" s="60">
        <f>F32-D32</f>
        <v>-196853</v>
      </c>
      <c r="I32" s="38">
        <f>G32-E32</f>
        <v>-289783.00700000016</v>
      </c>
    </row>
    <row r="33" spans="1:9" x14ac:dyDescent="0.25">
      <c r="A33" s="9">
        <v>14</v>
      </c>
      <c r="B33" s="7"/>
      <c r="C33" s="18" t="s">
        <v>44</v>
      </c>
      <c r="D33" s="65">
        <f>'TX-CON-FLSH'!L33</f>
        <v>12753</v>
      </c>
      <c r="E33" s="66">
        <f>'TX-CON-FLSH'!M33</f>
        <v>21877.708589989692</v>
      </c>
      <c r="F33" s="60">
        <f>'TX-CON-GL '!D33</f>
        <v>0</v>
      </c>
      <c r="G33" s="38">
        <f>'TX-CON-GL '!E33</f>
        <v>0</v>
      </c>
      <c r="H33" s="60">
        <f t="shared" ref="H33:I35" si="5">F33-D33</f>
        <v>-12753</v>
      </c>
      <c r="I33" s="38">
        <f t="shared" si="5"/>
        <v>-21877.708589989692</v>
      </c>
    </row>
    <row r="34" spans="1:9" x14ac:dyDescent="0.25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12753</v>
      </c>
      <c r="E36" s="39">
        <f t="shared" si="6"/>
        <v>21877.708589989692</v>
      </c>
      <c r="F36" s="61">
        <f t="shared" si="6"/>
        <v>-196853</v>
      </c>
      <c r="G36" s="39">
        <f t="shared" si="6"/>
        <v>-289783.00700000016</v>
      </c>
      <c r="H36" s="61">
        <f t="shared" si="6"/>
        <v>-209606</v>
      </c>
      <c r="I36" s="39">
        <f t="shared" si="6"/>
        <v>-311660.71558998985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'TX-CON-FLSH'!L39</f>
        <v>3267992</v>
      </c>
      <c r="E39" s="66">
        <f>'TX-CON-FLSH'!M39</f>
        <v>5909295</v>
      </c>
      <c r="F39" s="60">
        <f>'TX-CON-GL '!D39</f>
        <v>2116127</v>
      </c>
      <c r="G39" s="38">
        <f>'TX-CON-GL '!E39</f>
        <v>3377225.4699999997</v>
      </c>
      <c r="H39" s="60">
        <f t="shared" ref="H39:I41" si="7">F39-D39</f>
        <v>-1151865</v>
      </c>
      <c r="I39" s="38">
        <f t="shared" si="7"/>
        <v>-2532069.5300000003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'TX-CON-FLSH'!L40</f>
        <v>-886587</v>
      </c>
      <c r="E40" s="66">
        <f>'TX-CON-FLSH'!M40</f>
        <v>-1545938</v>
      </c>
      <c r="F40" s="60">
        <f>'TX-CON-GL '!D40</f>
        <v>-460138</v>
      </c>
      <c r="G40" s="38">
        <f>'TX-CON-GL '!E40</f>
        <v>-819045.63999999769</v>
      </c>
      <c r="H40" s="60">
        <f t="shared" si="7"/>
        <v>426449</v>
      </c>
      <c r="I40" s="38">
        <f t="shared" si="7"/>
        <v>726892.36000000231</v>
      </c>
    </row>
    <row r="41" spans="1:9" x14ac:dyDescent="0.25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692867</v>
      </c>
      <c r="H41" s="60">
        <f t="shared" si="7"/>
        <v>0</v>
      </c>
      <c r="I41" s="38">
        <f t="shared" si="7"/>
        <v>692867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-886587</v>
      </c>
      <c r="E42" s="70">
        <f t="shared" si="8"/>
        <v>-1545938</v>
      </c>
      <c r="F42" s="69">
        <f t="shared" si="8"/>
        <v>-460138</v>
      </c>
      <c r="G42" s="70">
        <f t="shared" si="8"/>
        <v>-126178.63999999769</v>
      </c>
      <c r="H42" s="69">
        <f t="shared" si="8"/>
        <v>426449</v>
      </c>
      <c r="I42" s="70">
        <f t="shared" si="8"/>
        <v>1419759.3600000022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2381405</v>
      </c>
      <c r="E43" s="39">
        <f t="shared" si="9"/>
        <v>4363357</v>
      </c>
      <c r="F43" s="61">
        <f t="shared" si="9"/>
        <v>1655989</v>
      </c>
      <c r="G43" s="39">
        <f t="shared" si="9"/>
        <v>3251046.8300000019</v>
      </c>
      <c r="H43" s="61">
        <f t="shared" si="9"/>
        <v>-725416</v>
      </c>
      <c r="I43" s="39">
        <f t="shared" si="9"/>
        <v>-1112310.1699999981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6920.119999999999</v>
      </c>
      <c r="H47" s="60">
        <f>F47-D47</f>
        <v>0</v>
      </c>
      <c r="I47" s="38">
        <f>G47-E47</f>
        <v>6920.119999999999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-140579</v>
      </c>
      <c r="G49" s="38">
        <f>'TX-CON-GL '!E49</f>
        <v>-240009.62</v>
      </c>
      <c r="H49" s="60">
        <f>F49-D49</f>
        <v>-140579</v>
      </c>
      <c r="I49" s="38">
        <f>G49-E49</f>
        <v>-240009.62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-4992</v>
      </c>
      <c r="G51" s="38">
        <f>'TX-CON-GL '!E51</f>
        <v>-9038.4700000000012</v>
      </c>
      <c r="H51" s="60">
        <f>F51-D51</f>
        <v>-4992</v>
      </c>
      <c r="I51" s="38">
        <f>G51-E51</f>
        <v>-9038.4700000000012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-898007</v>
      </c>
      <c r="F54" s="60">
        <f>'TX-CON-GL '!D54</f>
        <v>36317103</v>
      </c>
      <c r="G54" s="38">
        <f>'TX-CON-GL '!E54</f>
        <v>37701.010000000075</v>
      </c>
      <c r="H54" s="60">
        <f>F54-D54</f>
        <v>36317103</v>
      </c>
      <c r="I54" s="38">
        <f>G54-E54</f>
        <v>935708.01000000013</v>
      </c>
    </row>
    <row r="55" spans="1:9" x14ac:dyDescent="0.25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-1393</v>
      </c>
      <c r="G55" s="38">
        <f>'TX-CON-GL '!E55</f>
        <v>-603177.62</v>
      </c>
      <c r="H55" s="60">
        <f>F55-D55</f>
        <v>-1393</v>
      </c>
      <c r="I55" s="38">
        <f>G55-E55</f>
        <v>-603177.62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-898007</v>
      </c>
      <c r="F56" s="61">
        <f t="shared" si="10"/>
        <v>36315710</v>
      </c>
      <c r="G56" s="39">
        <f t="shared" si="10"/>
        <v>-565476.60999999987</v>
      </c>
      <c r="H56" s="61">
        <f t="shared" si="10"/>
        <v>36315710</v>
      </c>
      <c r="I56" s="39">
        <f t="shared" si="10"/>
        <v>332530.39000000013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1632.12</v>
      </c>
      <c r="H59" s="60">
        <f>F59-D59</f>
        <v>0</v>
      </c>
      <c r="I59" s="38">
        <f>G59-E59</f>
        <v>1632.12</v>
      </c>
    </row>
    <row r="60" spans="1:9" x14ac:dyDescent="0.25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1632.12</v>
      </c>
      <c r="H61" s="69">
        <f t="shared" si="11"/>
        <v>0</v>
      </c>
      <c r="I61" s="70">
        <f t="shared" si="11"/>
        <v>1632.12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-68120894</v>
      </c>
      <c r="G64" s="38">
        <f>'TX-CON-GL '!E64</f>
        <v>-1392245.1199999996</v>
      </c>
      <c r="H64" s="60">
        <f>F64-D64</f>
        <v>-68120894</v>
      </c>
      <c r="I64" s="38">
        <f>G64-E64</f>
        <v>-1392245.1199999996</v>
      </c>
    </row>
    <row r="65" spans="1:9" x14ac:dyDescent="0.25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1252816</v>
      </c>
      <c r="H65" s="60">
        <f>F65-D65</f>
        <v>0</v>
      </c>
      <c r="I65" s="38">
        <f>G65-E65</f>
        <v>1252816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-68120894</v>
      </c>
      <c r="G66" s="39">
        <f t="shared" si="12"/>
        <v>-139429.11999999965</v>
      </c>
      <c r="H66" s="61">
        <f t="shared" si="12"/>
        <v>-68120894</v>
      </c>
      <c r="I66" s="39">
        <f t="shared" si="12"/>
        <v>-139429.11999999965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138111.41</v>
      </c>
      <c r="F70" s="60">
        <f>'TX-CON-GL '!D70</f>
        <v>0</v>
      </c>
      <c r="G70" s="38">
        <f>'TX-CON-GL '!E70</f>
        <v>-140015.5</v>
      </c>
      <c r="H70" s="60">
        <f>F70-D70</f>
        <v>0</v>
      </c>
      <c r="I70" s="38">
        <f>G70-E70</f>
        <v>-278126.91000000003</v>
      </c>
    </row>
    <row r="71" spans="1:9" x14ac:dyDescent="0.25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987605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-987605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1125716.4099999999</v>
      </c>
      <c r="F72" s="69">
        <f t="shared" si="13"/>
        <v>0</v>
      </c>
      <c r="G72" s="70">
        <f t="shared" si="13"/>
        <v>-140015.5</v>
      </c>
      <c r="H72" s="69">
        <f t="shared" si="13"/>
        <v>0</v>
      </c>
      <c r="I72" s="70">
        <f t="shared" si="13"/>
        <v>-1265731.9100000001</v>
      </c>
    </row>
    <row r="73" spans="1:9" x14ac:dyDescent="0.25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-301843.07</v>
      </c>
      <c r="F74" s="60">
        <f>'TX-CON-GL '!D74</f>
        <v>0</v>
      </c>
      <c r="G74" s="38">
        <f>'TX-CON-GL '!E74</f>
        <v>778725.54</v>
      </c>
      <c r="H74" s="60">
        <f t="shared" ref="H74:I79" si="14">F74-D74</f>
        <v>0</v>
      </c>
      <c r="I74" s="38">
        <f t="shared" si="14"/>
        <v>1080568.6100000001</v>
      </c>
    </row>
    <row r="75" spans="1:9" x14ac:dyDescent="0.25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52737</v>
      </c>
      <c r="F75" s="60">
        <f>'TX-CON-GL '!D75</f>
        <v>0</v>
      </c>
      <c r="G75" s="38">
        <f>'TX-CON-GL '!E75</f>
        <v>52800</v>
      </c>
      <c r="H75" s="60">
        <f t="shared" si="14"/>
        <v>0</v>
      </c>
      <c r="I75" s="38">
        <f t="shared" si="14"/>
        <v>63</v>
      </c>
    </row>
    <row r="76" spans="1:9" x14ac:dyDescent="0.25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-60</v>
      </c>
      <c r="F76" s="60">
        <f>'TX-CON-GL '!D76</f>
        <v>0</v>
      </c>
      <c r="G76" s="38">
        <f>'TX-CON-GL '!E76</f>
        <v>-60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315590</v>
      </c>
      <c r="F81" s="60">
        <f>'TX-CON-GL '!D81</f>
        <v>-25993375</v>
      </c>
      <c r="G81" s="38">
        <f>'TX-CON-GL '!E81</f>
        <v>-85161</v>
      </c>
      <c r="H81" s="60">
        <f>F81-D81</f>
        <v>-25993375</v>
      </c>
      <c r="I81" s="38">
        <f>G81-E81</f>
        <v>-400751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227704.04858999327</v>
      </c>
      <c r="F82" s="117">
        <f>F16+F24+F29+F36+F43+F45+F47+F49</f>
        <v>0</v>
      </c>
      <c r="G82" s="118">
        <f>SUM(G72:G81)+G16+G24+G29+G36+G43+G45+G47+G49+G51+G56+G61+G66</f>
        <v>329661.78220002516</v>
      </c>
      <c r="H82" s="117">
        <f>H16+H24+H29+H36+H43+H45+H47+H49</f>
        <v>0</v>
      </c>
      <c r="I82" s="118">
        <f>SUM(I72:I81)+I16+I24+I29+I36+I43+I45+I47+I49+I51+I56+I61+I66</f>
        <v>101957.73361002057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196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'TX-CON-FLSH'!L86</f>
        <v>0</v>
      </c>
      <c r="E86" s="184">
        <f>'TX-CON-FLSH'!M86</f>
        <v>67597</v>
      </c>
      <c r="F86" s="184">
        <f>'TX-CON-GL '!D86</f>
        <v>0</v>
      </c>
      <c r="G86" s="184">
        <f>'TX-CON-GL '!E86</f>
        <v>67597.5</v>
      </c>
      <c r="H86" s="184">
        <f t="shared" ref="H86:I88" si="15">F86-D86</f>
        <v>0</v>
      </c>
      <c r="I86" s="184">
        <f t="shared" si="15"/>
        <v>0.5</v>
      </c>
    </row>
    <row r="87" spans="1:63" x14ac:dyDescent="0.25">
      <c r="A87" s="183"/>
      <c r="B87" s="3"/>
      <c r="C87" s="10" t="s">
        <v>75</v>
      </c>
      <c r="D87" s="185">
        <f>'TX-CON-FLSH'!L87</f>
        <v>0</v>
      </c>
      <c r="E87" s="185">
        <f>'TX-CON-FLSH'!M87</f>
        <v>0</v>
      </c>
      <c r="F87" s="185">
        <f>'TX-CON-GL '!D87</f>
        <v>0</v>
      </c>
      <c r="G87" s="185">
        <f>'TX-CON-GL 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'TX-CON-FLSH'!L88</f>
        <v>0</v>
      </c>
      <c r="E88" s="186">
        <f>'TX-CON-FLSH'!M88</f>
        <v>-48556</v>
      </c>
      <c r="F88" s="186">
        <f>'TX-CON-GL '!D88</f>
        <v>0</v>
      </c>
      <c r="G88" s="186">
        <f>'TX-CON-GL '!E88</f>
        <v>-48600</v>
      </c>
      <c r="H88" s="186">
        <f t="shared" si="15"/>
        <v>0</v>
      </c>
      <c r="I88" s="186">
        <f t="shared" si="15"/>
        <v>-44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19041</v>
      </c>
      <c r="F89" s="190">
        <f t="shared" si="16"/>
        <v>0</v>
      </c>
      <c r="G89" s="190">
        <f t="shared" si="16"/>
        <v>18997.5</v>
      </c>
      <c r="H89" s="190">
        <f t="shared" si="16"/>
        <v>0</v>
      </c>
      <c r="I89" s="190">
        <f t="shared" si="16"/>
        <v>-43.5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246745.04858999327</v>
      </c>
      <c r="F91" s="190">
        <f t="shared" si="17"/>
        <v>0</v>
      </c>
      <c r="G91" s="190">
        <f t="shared" si="17"/>
        <v>348659.28220002516</v>
      </c>
      <c r="H91" s="190">
        <f t="shared" si="17"/>
        <v>0</v>
      </c>
      <c r="I91" s="190">
        <f t="shared" si="17"/>
        <v>101914.23361002057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1" activePane="bottomRight" state="frozen"/>
      <selection activeCell="D10" sqref="D10"/>
      <selection pane="topRight" activeCell="D10" sqref="D10"/>
      <selection pane="bottomLeft" activeCell="D10" sqref="D10"/>
      <selection pane="bottomRight" activeCell="D9" sqref="D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'WE-FLSH'!L11</f>
        <v>26542789</v>
      </c>
      <c r="E11" s="66">
        <f>'WE-FLSH'!M11</f>
        <v>45562503</v>
      </c>
      <c r="F11" s="60">
        <f>'WE-GL '!D11</f>
        <v>26497616</v>
      </c>
      <c r="G11" s="38">
        <f>'WE-GL '!E11</f>
        <v>47253535.119999997</v>
      </c>
      <c r="H11" s="60">
        <f>F11-D11</f>
        <v>-45173</v>
      </c>
      <c r="I11" s="38">
        <f>G11-E11</f>
        <v>1691032.1199999973</v>
      </c>
    </row>
    <row r="12" spans="1:22" x14ac:dyDescent="0.25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-1114919.42</v>
      </c>
      <c r="H12" s="60">
        <f>F12-D12</f>
        <v>0</v>
      </c>
      <c r="I12" s="38">
        <f>G12-E12</f>
        <v>-1114919.42</v>
      </c>
    </row>
    <row r="13" spans="1:22" x14ac:dyDescent="0.25">
      <c r="A13" s="9">
        <v>3</v>
      </c>
      <c r="B13" s="7"/>
      <c r="C13" s="18" t="s">
        <v>31</v>
      </c>
      <c r="D13" s="65">
        <f>'WE-FLSH'!L13</f>
        <v>16228431</v>
      </c>
      <c r="E13" s="66">
        <f>'WE-FLSH'!M13</f>
        <v>27997200</v>
      </c>
      <c r="F13" s="60">
        <f>'WE-GL '!D13</f>
        <v>16058211</v>
      </c>
      <c r="G13" s="38">
        <f>'WE-GL '!E13</f>
        <v>27637178</v>
      </c>
      <c r="H13" s="60">
        <f t="shared" ref="H13:I15" si="0">F13-D13</f>
        <v>-170220</v>
      </c>
      <c r="I13" s="38">
        <f t="shared" si="0"/>
        <v>-360022</v>
      </c>
    </row>
    <row r="14" spans="1:22" x14ac:dyDescent="0.25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42771220</v>
      </c>
      <c r="E16" s="39">
        <f t="shared" si="1"/>
        <v>73559703</v>
      </c>
      <c r="F16" s="61">
        <f t="shared" si="1"/>
        <v>42555827</v>
      </c>
      <c r="G16" s="39">
        <f t="shared" si="1"/>
        <v>73775793.699999988</v>
      </c>
      <c r="H16" s="61">
        <f t="shared" si="1"/>
        <v>-215393</v>
      </c>
      <c r="I16" s="39">
        <f t="shared" si="1"/>
        <v>216090.69999999739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'WE-FLSH'!L19</f>
        <v>-25023554</v>
      </c>
      <c r="E19" s="66">
        <f>'WE-FLSH'!M19</f>
        <v>-41764271</v>
      </c>
      <c r="F19" s="60">
        <f>'WE-GL '!D19</f>
        <v>-27688284</v>
      </c>
      <c r="G19" s="38">
        <f>'WE-GL '!E19</f>
        <v>-46448123.150000006</v>
      </c>
      <c r="H19" s="60">
        <f>F19-D19</f>
        <v>-2664730</v>
      </c>
      <c r="I19" s="38">
        <f>G19-E19</f>
        <v>-4683852.150000006</v>
      </c>
    </row>
    <row r="20" spans="1:9" x14ac:dyDescent="0.25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159339.66</v>
      </c>
      <c r="H20" s="60">
        <f>F20-D20</f>
        <v>0</v>
      </c>
      <c r="I20" s="38">
        <f>G20-E20</f>
        <v>159339.66</v>
      </c>
    </row>
    <row r="21" spans="1:9" x14ac:dyDescent="0.25">
      <c r="A21" s="9">
        <v>8</v>
      </c>
      <c r="B21" s="7"/>
      <c r="C21" s="18" t="s">
        <v>31</v>
      </c>
      <c r="D21" s="65">
        <f>'WE-FLSH'!L21</f>
        <v>-17905102</v>
      </c>
      <c r="E21" s="66">
        <f>'WE-FLSH'!M21</f>
        <v>-30820464</v>
      </c>
      <c r="F21" s="60">
        <f>'WE-GL '!D21</f>
        <v>-14522114</v>
      </c>
      <c r="G21" s="38">
        <f>'WE-GL '!E21</f>
        <v>-25005851</v>
      </c>
      <c r="H21" s="60">
        <f t="shared" ref="H21:I23" si="2">F21-D21</f>
        <v>3382988</v>
      </c>
      <c r="I21" s="38">
        <f t="shared" si="2"/>
        <v>5814613</v>
      </c>
    </row>
    <row r="22" spans="1:9" x14ac:dyDescent="0.25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'WE-FLSH'!L23</f>
        <v>278272</v>
      </c>
      <c r="E23" s="66">
        <f>'WE-FLSH'!M23</f>
        <v>449893</v>
      </c>
      <c r="F23" s="60">
        <f>'WE-GL '!D23</f>
        <v>279227</v>
      </c>
      <c r="G23" s="38">
        <f>'WE-GL '!E23</f>
        <v>466029.86100000003</v>
      </c>
      <c r="H23" s="60">
        <f t="shared" si="2"/>
        <v>955</v>
      </c>
      <c r="I23" s="38">
        <f t="shared" si="2"/>
        <v>16136.861000000034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-42650384</v>
      </c>
      <c r="E24" s="39">
        <f t="shared" si="3"/>
        <v>-72134842</v>
      </c>
      <c r="F24" s="61">
        <f t="shared" si="3"/>
        <v>-41931171</v>
      </c>
      <c r="G24" s="39">
        <f t="shared" si="3"/>
        <v>-70828604.629000008</v>
      </c>
      <c r="H24" s="61">
        <f t="shared" si="3"/>
        <v>719213</v>
      </c>
      <c r="I24" s="39">
        <f t="shared" si="3"/>
        <v>1306237.3709999942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'WE-FLSH'!L32</f>
        <v>511</v>
      </c>
      <c r="E32" s="66">
        <f>'WE-FLSH'!M32</f>
        <v>853</v>
      </c>
      <c r="F32" s="60">
        <f>'WE-GL '!D32</f>
        <v>-127122</v>
      </c>
      <c r="G32" s="38">
        <f>'WE-GL '!E32</f>
        <v>-259328.23600000003</v>
      </c>
      <c r="H32" s="60">
        <f>F32-D32</f>
        <v>-127633</v>
      </c>
      <c r="I32" s="38">
        <f>G32-E32</f>
        <v>-260181.23600000003</v>
      </c>
    </row>
    <row r="33" spans="1:9" x14ac:dyDescent="0.25">
      <c r="A33" s="9">
        <v>14</v>
      </c>
      <c r="B33" s="7"/>
      <c r="C33" s="18" t="s">
        <v>44</v>
      </c>
      <c r="D33" s="65">
        <f>'WE-FLSH'!L33</f>
        <v>-10912</v>
      </c>
      <c r="E33" s="66">
        <f>'WE-FLSH'!M33</f>
        <v>-17120.895636537112</v>
      </c>
      <c r="F33" s="60">
        <f>'WE-GL '!D33</f>
        <v>-57766</v>
      </c>
      <c r="G33" s="38">
        <f>'WE-GL '!E33</f>
        <v>-115707.75</v>
      </c>
      <c r="H33" s="60">
        <f t="shared" ref="H33:I35" si="5">F33-D33</f>
        <v>-46854</v>
      </c>
      <c r="I33" s="38">
        <f t="shared" si="5"/>
        <v>-98586.854363462888</v>
      </c>
    </row>
    <row r="34" spans="1:9" x14ac:dyDescent="0.25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188848</v>
      </c>
      <c r="G34" s="38">
        <f>'WE-GL '!E34</f>
        <v>334482.68</v>
      </c>
      <c r="H34" s="60">
        <f t="shared" si="5"/>
        <v>188848</v>
      </c>
      <c r="I34" s="38">
        <f t="shared" si="5"/>
        <v>334482.68</v>
      </c>
    </row>
    <row r="35" spans="1:9" x14ac:dyDescent="0.25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-551652</v>
      </c>
      <c r="G35" s="38">
        <f>'WE-GL '!E35</f>
        <v>-225905.99</v>
      </c>
      <c r="H35" s="60">
        <f t="shared" si="5"/>
        <v>-551652</v>
      </c>
      <c r="I35" s="38">
        <f t="shared" si="5"/>
        <v>-225905.99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-10401</v>
      </c>
      <c r="E36" s="39">
        <f t="shared" si="6"/>
        <v>-16267.895636537112</v>
      </c>
      <c r="F36" s="61">
        <f t="shared" si="6"/>
        <v>-547692</v>
      </c>
      <c r="G36" s="39">
        <f t="shared" si="6"/>
        <v>-266459.29600000003</v>
      </c>
      <c r="H36" s="61">
        <f t="shared" si="6"/>
        <v>-537291</v>
      </c>
      <c r="I36" s="39">
        <f t="shared" si="6"/>
        <v>-250191.40036346292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'WE-FLSH'!L39</f>
        <v>0</v>
      </c>
      <c r="E39" s="66">
        <f>'WE-FLSH'!M39</f>
        <v>0</v>
      </c>
      <c r="F39" s="60">
        <f>'WE-GL '!D39</f>
        <v>0</v>
      </c>
      <c r="G39" s="38">
        <f>'WE-GL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'WE-FLSH'!L40</f>
        <v>-110435</v>
      </c>
      <c r="E40" s="66">
        <f>'WE-FLSH'!M40</f>
        <v>-175220</v>
      </c>
      <c r="F40" s="60">
        <f>'WE-GL '!D40</f>
        <v>-70654</v>
      </c>
      <c r="G40" s="38">
        <f>'WE-GL '!E40</f>
        <v>-137089.09</v>
      </c>
      <c r="H40" s="60">
        <f t="shared" si="7"/>
        <v>39781</v>
      </c>
      <c r="I40" s="38">
        <f t="shared" si="7"/>
        <v>38130.910000000003</v>
      </c>
    </row>
    <row r="41" spans="1:9" x14ac:dyDescent="0.25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1">
        <f t="shared" ref="D42:I42" si="8">SUM(D40:D41)</f>
        <v>-110435</v>
      </c>
      <c r="E42" s="39">
        <f t="shared" si="8"/>
        <v>-175220</v>
      </c>
      <c r="F42" s="61">
        <f t="shared" si="8"/>
        <v>-70654</v>
      </c>
      <c r="G42" s="39">
        <f t="shared" si="8"/>
        <v>-137089.09</v>
      </c>
      <c r="H42" s="61">
        <f t="shared" si="8"/>
        <v>39781</v>
      </c>
      <c r="I42" s="39">
        <f t="shared" si="8"/>
        <v>38130.910000000003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-110435</v>
      </c>
      <c r="E43" s="39">
        <f t="shared" si="9"/>
        <v>-175220</v>
      </c>
      <c r="F43" s="61">
        <f t="shared" si="9"/>
        <v>-70654</v>
      </c>
      <c r="G43" s="39">
        <f t="shared" si="9"/>
        <v>-137089.09</v>
      </c>
      <c r="H43" s="61">
        <f t="shared" si="9"/>
        <v>39781</v>
      </c>
      <c r="I43" s="39">
        <f t="shared" si="9"/>
        <v>38130.910000000003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-6310</v>
      </c>
      <c r="G49" s="38">
        <f>'WE-GL '!E49</f>
        <v>-10928.490000000631</v>
      </c>
      <c r="H49" s="60">
        <f>F49-D49</f>
        <v>-6310</v>
      </c>
      <c r="I49" s="38">
        <f>G49-E49</f>
        <v>-10928.490000000631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'WE-FLSH'!L51</f>
        <v>-278272</v>
      </c>
      <c r="E51" s="66">
        <f>'WE-FLSH'!M51</f>
        <v>-449893</v>
      </c>
      <c r="F51" s="60">
        <f>'WE-GL '!D51</f>
        <v>-279227</v>
      </c>
      <c r="G51" s="38">
        <f>'WE-GL '!E51</f>
        <v>-466029.86100000003</v>
      </c>
      <c r="H51" s="60">
        <f>F51-D51</f>
        <v>-955</v>
      </c>
      <c r="I51" s="38">
        <f>G51-E51</f>
        <v>-16136.861000000034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-208140</v>
      </c>
      <c r="F54" s="60">
        <f>'WE-GL '!D54</f>
        <v>-11308571</v>
      </c>
      <c r="G54" s="38">
        <f>'WE-GL '!E54</f>
        <v>-108795.13</v>
      </c>
      <c r="H54" s="60">
        <f>F54-D54</f>
        <v>-11308571</v>
      </c>
      <c r="I54" s="38">
        <f>G54-E54</f>
        <v>99344.87</v>
      </c>
    </row>
    <row r="55" spans="1:9" x14ac:dyDescent="0.25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-2681292</v>
      </c>
      <c r="F55" s="60">
        <f>'WE-GL '!D55</f>
        <v>-1124</v>
      </c>
      <c r="G55" s="38">
        <f>'WE-GL '!E55</f>
        <v>-1947789.1199999994</v>
      </c>
      <c r="H55" s="60">
        <f>F55-D55</f>
        <v>-1124</v>
      </c>
      <c r="I55" s="38">
        <f>G55-E55</f>
        <v>733502.88000000059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-2889432</v>
      </c>
      <c r="F56" s="61">
        <f t="shared" si="10"/>
        <v>-11309695</v>
      </c>
      <c r="G56" s="39">
        <f t="shared" si="10"/>
        <v>-2056584.2499999995</v>
      </c>
      <c r="H56" s="61">
        <f t="shared" si="10"/>
        <v>-11309695</v>
      </c>
      <c r="I56" s="39">
        <f t="shared" si="10"/>
        <v>832847.75000000058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-133064.42999999993</v>
      </c>
      <c r="F70" s="60">
        <f>'WE-GL '!D70</f>
        <v>0</v>
      </c>
      <c r="G70" s="38">
        <f>'WE-GL '!E70</f>
        <v>-890515</v>
      </c>
      <c r="H70" s="60">
        <f>F70-D70</f>
        <v>0</v>
      </c>
      <c r="I70" s="38">
        <f>G70-E70</f>
        <v>-757450.57000000007</v>
      </c>
    </row>
    <row r="71" spans="1:9" x14ac:dyDescent="0.25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-757451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757451</v>
      </c>
    </row>
    <row r="72" spans="1:9" x14ac:dyDescent="0.25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-890515.42999999993</v>
      </c>
      <c r="F72" s="61">
        <f t="shared" si="13"/>
        <v>0</v>
      </c>
      <c r="G72" s="39">
        <f t="shared" si="13"/>
        <v>-890515</v>
      </c>
      <c r="H72" s="61">
        <f t="shared" si="13"/>
        <v>0</v>
      </c>
      <c r="I72" s="39">
        <f t="shared" si="13"/>
        <v>0.42999999993480742</v>
      </c>
    </row>
    <row r="73" spans="1:9" x14ac:dyDescent="0.25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1485484</v>
      </c>
      <c r="F74" s="60">
        <f>'WE-GL '!D74</f>
        <v>0</v>
      </c>
      <c r="G74" s="38">
        <f>'WE-GL '!E74</f>
        <v>512708.24</v>
      </c>
      <c r="H74" s="60">
        <f t="shared" ref="H74:I79" si="14">F74-D74</f>
        <v>0</v>
      </c>
      <c r="I74" s="38">
        <f t="shared" si="14"/>
        <v>-972775.76</v>
      </c>
    </row>
    <row r="75" spans="1:9" x14ac:dyDescent="0.25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45406</v>
      </c>
      <c r="F75" s="60">
        <f>'WE-GL '!D75</f>
        <v>0</v>
      </c>
      <c r="G75" s="38">
        <f>'WE-GL '!E75</f>
        <v>45400</v>
      </c>
      <c r="H75" s="60">
        <f t="shared" si="14"/>
        <v>0</v>
      </c>
      <c r="I75" s="38">
        <f t="shared" si="14"/>
        <v>-6</v>
      </c>
    </row>
    <row r="76" spans="1:9" x14ac:dyDescent="0.25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-4570</v>
      </c>
      <c r="F76" s="60">
        <f>'WE-GL '!D76</f>
        <v>0</v>
      </c>
      <c r="G76" s="38">
        <f>'WE-GL '!E76</f>
        <v>0</v>
      </c>
      <c r="H76" s="60">
        <f t="shared" si="14"/>
        <v>0</v>
      </c>
      <c r="I76" s="38">
        <f t="shared" si="14"/>
        <v>4570</v>
      </c>
    </row>
    <row r="77" spans="1:9" x14ac:dyDescent="0.25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1511956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-1511956</v>
      </c>
    </row>
    <row r="80" spans="1:9" x14ac:dyDescent="0.25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2758</v>
      </c>
      <c r="F81" s="60">
        <f>'WE-GL '!D81</f>
        <v>0</v>
      </c>
      <c r="G81" s="38">
        <f>'WE-GL '!E81</f>
        <v>52139.86</v>
      </c>
      <c r="H81" s="60">
        <f>F81-D81</f>
        <v>0</v>
      </c>
      <c r="I81" s="38">
        <f>G81-E81</f>
        <v>49381.86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44566.674363455735</v>
      </c>
      <c r="F82" s="117">
        <f>F16+F24+F29+F36+F43+F45+F47+F49</f>
        <v>0</v>
      </c>
      <c r="G82" s="118">
        <f>SUM(G72:G81)+G16+G24+G29+G36+G43+G45+G47+G49+G51+G56+G61+G66</f>
        <v>-270168.81600002619</v>
      </c>
      <c r="H82" s="117">
        <f>H16+H24+H29+H36+H43+H45+H47+H49</f>
        <v>0</v>
      </c>
      <c r="I82" s="118">
        <f>SUM(I72:I81)+I16+I24+I29+I36+I43+I45+I47+I49+I51+I56+I61+I66</f>
        <v>-314735.49036347179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4" activePane="bottomRight" state="frozen"/>
      <selection activeCell="D10" sqref="D10"/>
      <selection pane="topRight" activeCell="D10" sqref="D10"/>
      <selection pane="bottomLeft" activeCell="D10" sqref="D10"/>
      <selection pane="bottomRight" activeCell="G41" sqref="G4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20833</v>
      </c>
      <c r="H11" s="60">
        <f>F11-D11</f>
        <v>0</v>
      </c>
      <c r="I11" s="38">
        <f>G11-E11</f>
        <v>20833</v>
      </c>
    </row>
    <row r="12" spans="1:22" x14ac:dyDescent="0.25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66215</v>
      </c>
      <c r="H12" s="60">
        <f>F12-D12</f>
        <v>0</v>
      </c>
      <c r="I12" s="38">
        <f>G12-E12</f>
        <v>66215</v>
      </c>
    </row>
    <row r="13" spans="1:22" x14ac:dyDescent="0.25">
      <c r="A13" s="9">
        <v>3</v>
      </c>
      <c r="B13" s="7"/>
      <c r="C13" s="18" t="s">
        <v>207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-6025953</v>
      </c>
      <c r="H13" s="60">
        <f t="shared" ref="H13:I15" si="0">F13-D13</f>
        <v>0</v>
      </c>
      <c r="I13" s="38">
        <f t="shared" si="0"/>
        <v>-6025953</v>
      </c>
    </row>
    <row r="14" spans="1:22" x14ac:dyDescent="0.25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-5938905</v>
      </c>
      <c r="H16" s="61">
        <f t="shared" si="1"/>
        <v>0</v>
      </c>
      <c r="I16" s="39">
        <f t="shared" si="1"/>
        <v>-5938905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-117344</v>
      </c>
      <c r="H41" s="60">
        <f t="shared" si="7"/>
        <v>0</v>
      </c>
      <c r="I41" s="38">
        <f t="shared" si="7"/>
        <v>-117344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-117344</v>
      </c>
      <c r="H42" s="69">
        <f t="shared" si="8"/>
        <v>0</v>
      </c>
      <c r="I42" s="70">
        <f t="shared" si="8"/>
        <v>-117344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-117344</v>
      </c>
      <c r="H43" s="61">
        <f t="shared" si="9"/>
        <v>0</v>
      </c>
      <c r="I43" s="39">
        <f t="shared" si="9"/>
        <v>-117344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-105777</v>
      </c>
      <c r="H51" s="60">
        <f>F51-D51</f>
        <v>0</v>
      </c>
      <c r="I51" s="38">
        <f>G51-E51</f>
        <v>-105777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202828</v>
      </c>
      <c r="H60" s="60">
        <f>F60-D60</f>
        <v>0</v>
      </c>
      <c r="I60" s="38">
        <f>G60-E60</f>
        <v>202828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202828</v>
      </c>
      <c r="H61" s="69">
        <f t="shared" si="11"/>
        <v>0</v>
      </c>
      <c r="I61" s="70">
        <f t="shared" si="11"/>
        <v>202828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5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37841</v>
      </c>
      <c r="H70" s="60">
        <f>F70-D70</f>
        <v>0</v>
      </c>
      <c r="I70" s="38">
        <f>G70-E70</f>
        <v>37841</v>
      </c>
    </row>
    <row r="71" spans="1:9" x14ac:dyDescent="0.25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37841</v>
      </c>
      <c r="H72" s="69">
        <f t="shared" si="13"/>
        <v>0</v>
      </c>
      <c r="I72" s="70">
        <f t="shared" si="13"/>
        <v>37841</v>
      </c>
    </row>
    <row r="73" spans="1:9" x14ac:dyDescent="0.25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7418139.6600000001</v>
      </c>
      <c r="H74" s="60">
        <f t="shared" ref="H74:I79" si="14">F74-D74</f>
        <v>0</v>
      </c>
      <c r="I74" s="38">
        <f t="shared" si="14"/>
        <v>7418139.6600000001</v>
      </c>
    </row>
    <row r="75" spans="1:9" x14ac:dyDescent="0.25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-213583</v>
      </c>
      <c r="H77" s="60">
        <f t="shared" si="14"/>
        <v>0</v>
      </c>
      <c r="I77" s="38">
        <f t="shared" si="14"/>
        <v>-213583</v>
      </c>
    </row>
    <row r="78" spans="1:9" x14ac:dyDescent="0.25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164000</v>
      </c>
      <c r="F81" s="60">
        <f>STG_GL!D81</f>
        <v>0</v>
      </c>
      <c r="G81" s="38">
        <f>STG_GL!E81</f>
        <v>-92704</v>
      </c>
      <c r="H81" s="60">
        <f>F81-D81</f>
        <v>0</v>
      </c>
      <c r="I81" s="38">
        <f>G81-E81</f>
        <v>-256704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164000</v>
      </c>
      <c r="F82" s="117">
        <f>F16+F24+F29+F36+F43+F45+F47+F49</f>
        <v>0</v>
      </c>
      <c r="G82" s="118">
        <f>SUM(G72:G81)+G16+G24+G29+G36+G43+G45+G47+G49+G51+G56+G61+G66</f>
        <v>1480112.6600000001</v>
      </c>
      <c r="H82" s="117">
        <f>H16+H24+H29+H36+H43+H45+H47+H49</f>
        <v>0</v>
      </c>
      <c r="I82" s="118">
        <f>SUM(I72:I81)+I16+I24+I29+I36+I43+I45+I47+I49+I51+I56+I61+I66</f>
        <v>1316112.6600000001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3" activePane="bottomRight" state="frozen"/>
      <selection activeCell="D10" sqref="D10"/>
      <selection pane="topRight" activeCell="D10" sqref="D10"/>
      <selection pane="bottomLeft" activeCell="D10" sqref="D10"/>
      <selection pane="bottomRight" activeCell="A5" sqref="A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183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ONT_FLSH!L11</f>
        <v>0</v>
      </c>
      <c r="E11" s="66">
        <f>ONT_FLSH!M11</f>
        <v>0</v>
      </c>
      <c r="F11" s="60">
        <f>'ONT_GL '!D11</f>
        <v>0</v>
      </c>
      <c r="G11" s="38">
        <f>'ONT_GL 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ONT_FLSH!L13</f>
        <v>0</v>
      </c>
      <c r="E13" s="66">
        <f>ONT_FLSH!M13</f>
        <v>0</v>
      </c>
      <c r="F13" s="60">
        <f>'ONT_GL '!D13</f>
        <v>0</v>
      </c>
      <c r="G13" s="38">
        <f>'ONT_GL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ONT_FLSH!L19</f>
        <v>0</v>
      </c>
      <c r="E19" s="66">
        <f>ONT_FLSH!M19</f>
        <v>0</v>
      </c>
      <c r="F19" s="60">
        <f>'ONT_GL '!D19</f>
        <v>0</v>
      </c>
      <c r="G19" s="38">
        <f>'ONT_GL 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ONT_FLSH!L21</f>
        <v>0</v>
      </c>
      <c r="E21" s="66">
        <f>ONT_FLSH!M21</f>
        <v>0</v>
      </c>
      <c r="F21" s="60">
        <f>'ONT_GL '!D21</f>
        <v>0</v>
      </c>
      <c r="G21" s="38">
        <f>'ONT_GL 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0</v>
      </c>
      <c r="G49" s="38">
        <f>'ONT_GL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619010</v>
      </c>
      <c r="H54" s="60">
        <f>F54-D54</f>
        <v>0</v>
      </c>
      <c r="I54" s="38">
        <f>G54-E54</f>
        <v>619010</v>
      </c>
    </row>
    <row r="55" spans="1:9" x14ac:dyDescent="0.25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619010</v>
      </c>
      <c r="H56" s="61">
        <f t="shared" si="10"/>
        <v>0</v>
      </c>
      <c r="I56" s="39">
        <f t="shared" si="10"/>
        <v>619010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176228</v>
      </c>
      <c r="F70" s="60">
        <f>'ONT_GL '!D70</f>
        <v>0</v>
      </c>
      <c r="G70" s="38">
        <f>'ONT_GL '!E70</f>
        <v>176228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0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176228</v>
      </c>
      <c r="F72" s="69">
        <f t="shared" si="13"/>
        <v>0</v>
      </c>
      <c r="G72" s="70">
        <f t="shared" si="13"/>
        <v>176228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-620000</v>
      </c>
      <c r="H81" s="60">
        <f>F81-D81</f>
        <v>0</v>
      </c>
      <c r="I81" s="38">
        <f>G81-E81</f>
        <v>-620000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176228</v>
      </c>
      <c r="F82" s="117">
        <f>F16+F24+F29+F36+F43+F45+F47+F49</f>
        <v>0</v>
      </c>
      <c r="G82" s="118">
        <f>SUM(G72:G81)+G16+G24+G29+G36+G43+G45+G47+G49+G51+G56+G61+G66</f>
        <v>175238</v>
      </c>
      <c r="H82" s="117">
        <f>H16+H24+H29+H36+H43+H45+H47+H49</f>
        <v>0</v>
      </c>
      <c r="I82" s="118">
        <f>SUM(I72:I81)+I16+I24+I29+I36+I43+I45+I47+I49+I51+I56+I61+I66</f>
        <v>-990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188</v>
      </c>
      <c r="B85" s="3"/>
      <c r="F85" s="31"/>
      <c r="G85" s="31"/>
      <c r="H85" s="31"/>
      <c r="I85" s="31"/>
    </row>
    <row r="86" spans="1:63" x14ac:dyDescent="0.25">
      <c r="A86" s="183"/>
      <c r="B86" s="3"/>
      <c r="C86" s="10" t="s">
        <v>189</v>
      </c>
      <c r="D86" s="184">
        <f>[4]ONT_FLSH!L86</f>
        <v>0</v>
      </c>
      <c r="E86" s="184">
        <f>ONT_FLSH!M86</f>
        <v>129130</v>
      </c>
      <c r="F86" s="184">
        <f>'ONT_GL '!D86</f>
        <v>0</v>
      </c>
      <c r="G86" s="184">
        <f>'ONT_GL '!E86</f>
        <v>132179</v>
      </c>
      <c r="H86" s="184">
        <f t="shared" ref="H86:I88" si="15">F86-D86</f>
        <v>0</v>
      </c>
      <c r="I86" s="184">
        <f t="shared" si="15"/>
        <v>3049</v>
      </c>
    </row>
    <row r="87" spans="1:63" x14ac:dyDescent="0.25">
      <c r="A87" s="183"/>
      <c r="B87" s="3"/>
      <c r="C87" s="10" t="s">
        <v>75</v>
      </c>
      <c r="D87" s="185">
        <f>[4]ONT_FLSH!L87</f>
        <v>0</v>
      </c>
      <c r="E87" s="185">
        <f>ONT_FLSH!M87</f>
        <v>0</v>
      </c>
      <c r="F87" s="185">
        <f>'ONT_GL '!D87</f>
        <v>0</v>
      </c>
      <c r="G87" s="185">
        <f>'ONT_GL '!E87</f>
        <v>0</v>
      </c>
      <c r="H87" s="185">
        <f t="shared" si="15"/>
        <v>0</v>
      </c>
      <c r="I87" s="185">
        <f t="shared" si="15"/>
        <v>0</v>
      </c>
    </row>
    <row r="88" spans="1:63" x14ac:dyDescent="0.25">
      <c r="A88" s="183"/>
      <c r="B88" s="3"/>
      <c r="C88" s="10" t="s">
        <v>76</v>
      </c>
      <c r="D88" s="186">
        <f>[4]ONT_FLSH!L88</f>
        <v>0</v>
      </c>
      <c r="E88" s="186">
        <f>ONT_FLSH!M88</f>
        <v>0</v>
      </c>
      <c r="F88" s="186">
        <f>'ONT_GL '!D88</f>
        <v>0</v>
      </c>
      <c r="G88" s="186">
        <f>'ONT_GL '!E88</f>
        <v>-3049</v>
      </c>
      <c r="H88" s="186">
        <f t="shared" si="15"/>
        <v>0</v>
      </c>
      <c r="I88" s="186">
        <f t="shared" si="15"/>
        <v>-3049</v>
      </c>
    </row>
    <row r="89" spans="1:63" s="149" customFormat="1" x14ac:dyDescent="0.25">
      <c r="A89" s="187"/>
      <c r="B89" s="188"/>
      <c r="C89" s="189" t="s">
        <v>190</v>
      </c>
      <c r="D89" s="190">
        <f t="shared" ref="D89:I89" si="16">SUM(D86:D88)</f>
        <v>0</v>
      </c>
      <c r="E89" s="190">
        <f t="shared" si="16"/>
        <v>129130</v>
      </c>
      <c r="F89" s="190">
        <f t="shared" si="16"/>
        <v>0</v>
      </c>
      <c r="G89" s="190">
        <f t="shared" si="16"/>
        <v>129130</v>
      </c>
      <c r="H89" s="190">
        <f t="shared" si="16"/>
        <v>0</v>
      </c>
      <c r="I89" s="190">
        <f t="shared" si="16"/>
        <v>0</v>
      </c>
    </row>
    <row r="90" spans="1:63" s="149" customFormat="1" x14ac:dyDescent="0.25">
      <c r="A90" s="191"/>
      <c r="B90" s="188"/>
      <c r="D90" s="156"/>
      <c r="E90" s="156"/>
      <c r="F90" s="156"/>
      <c r="G90" s="156"/>
      <c r="H90" s="156"/>
      <c r="I90" s="156"/>
    </row>
    <row r="91" spans="1:63" s="149" customFormat="1" x14ac:dyDescent="0.25">
      <c r="A91" s="187"/>
      <c r="B91" s="188"/>
      <c r="C91" s="189" t="s">
        <v>191</v>
      </c>
      <c r="D91" s="190">
        <f t="shared" ref="D91:I91" si="17">+D82+D89</f>
        <v>0</v>
      </c>
      <c r="E91" s="190">
        <f t="shared" si="17"/>
        <v>305358</v>
      </c>
      <c r="F91" s="190">
        <f t="shared" si="17"/>
        <v>0</v>
      </c>
      <c r="G91" s="190">
        <f t="shared" si="17"/>
        <v>304368</v>
      </c>
      <c r="H91" s="190">
        <f t="shared" si="17"/>
        <v>0</v>
      </c>
      <c r="I91" s="190">
        <f t="shared" si="17"/>
        <v>-990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64" activePane="bottomRight" state="frozen"/>
      <selection activeCell="A4" sqref="A4"/>
      <selection pane="topRight" activeCell="A4" sqref="A4"/>
      <selection pane="bottomLeft" activeCell="A4" sqref="A4"/>
      <selection pane="bottomRight" activeCell="F78" sqref="F7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9902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BGC_FLSH!D11</f>
        <v>6035598</v>
      </c>
      <c r="E11" s="66">
        <f>BGC_FLSH!E11</f>
        <v>7437659</v>
      </c>
      <c r="F11" s="60">
        <f>BGC_GL!D11</f>
        <v>6006394</v>
      </c>
      <c r="G11" s="38">
        <f>BGC_GL!E11</f>
        <v>7404226.8800000008</v>
      </c>
      <c r="H11" s="60">
        <f>F11-D11</f>
        <v>-29204</v>
      </c>
      <c r="I11" s="38">
        <f>G11-E11</f>
        <v>-33432.11999999918</v>
      </c>
    </row>
    <row r="12" spans="1:22" x14ac:dyDescent="0.25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BGC_FLSH!D13</f>
        <v>11094089</v>
      </c>
      <c r="E13" s="66">
        <f>BGC_FLSH!E13</f>
        <v>22300989</v>
      </c>
      <c r="F13" s="60">
        <f>BGC_GL!D13</f>
        <v>11044800</v>
      </c>
      <c r="G13" s="38">
        <f>BGC_GL!E13</f>
        <v>22182900</v>
      </c>
      <c r="H13" s="60">
        <f t="shared" ref="H13:I15" si="0">F13-D13</f>
        <v>-49289</v>
      </c>
      <c r="I13" s="38">
        <f t="shared" si="0"/>
        <v>-118089</v>
      </c>
    </row>
    <row r="14" spans="1:22" x14ac:dyDescent="0.25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17129687</v>
      </c>
      <c r="E16" s="39">
        <f t="shared" si="1"/>
        <v>29738648</v>
      </c>
      <c r="F16" s="61">
        <f t="shared" si="1"/>
        <v>17051194</v>
      </c>
      <c r="G16" s="39">
        <f t="shared" si="1"/>
        <v>29587126.880000003</v>
      </c>
      <c r="H16" s="61">
        <f t="shared" si="1"/>
        <v>-78493</v>
      </c>
      <c r="I16" s="39">
        <f t="shared" si="1"/>
        <v>-151521.11999999918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BGC_FLSH!D19</f>
        <v>-3229965</v>
      </c>
      <c r="E19" s="66">
        <f>BGC_FLSH!E19</f>
        <v>-3105015</v>
      </c>
      <c r="F19" s="60">
        <f>BGC_GL!D19</f>
        <v>-3229965</v>
      </c>
      <c r="G19" s="38">
        <f>BGC_GL!E19</f>
        <v>-3101320.81</v>
      </c>
      <c r="H19" s="60">
        <f>F19-D19</f>
        <v>0</v>
      </c>
      <c r="I19" s="38">
        <f>G19-E19</f>
        <v>3694.1899999999441</v>
      </c>
    </row>
    <row r="20" spans="1:9" x14ac:dyDescent="0.25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BGC_FLSH!D21</f>
        <v>-13131332</v>
      </c>
      <c r="E21" s="66">
        <f>BGC_FLSH!E21</f>
        <v>-25962903</v>
      </c>
      <c r="F21" s="60">
        <f>BGC_GL!D21</f>
        <v>-13070778</v>
      </c>
      <c r="G21" s="38">
        <f>BGC_GL!E21</f>
        <v>-25823734</v>
      </c>
      <c r="H21" s="60">
        <f t="shared" ref="H21:I23" si="2">F21-D21</f>
        <v>60554</v>
      </c>
      <c r="I21" s="38">
        <f t="shared" si="2"/>
        <v>139169</v>
      </c>
    </row>
    <row r="22" spans="1:9" x14ac:dyDescent="0.25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BGC_FLSH!D23</f>
        <v>303879</v>
      </c>
      <c r="E23" s="66">
        <f>BGC_FLSH!E23</f>
        <v>552784</v>
      </c>
      <c r="F23" s="60">
        <f>BGC_GL!D23</f>
        <v>0</v>
      </c>
      <c r="G23" s="38">
        <f>BGC_GL!E23</f>
        <v>4.0000000000000036E-3</v>
      </c>
      <c r="H23" s="60">
        <f t="shared" si="2"/>
        <v>-303879</v>
      </c>
      <c r="I23" s="38">
        <f t="shared" si="2"/>
        <v>-552783.99600000004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-16057418</v>
      </c>
      <c r="E24" s="39">
        <f t="shared" si="3"/>
        <v>-28515134</v>
      </c>
      <c r="F24" s="61">
        <f t="shared" si="3"/>
        <v>-16300743</v>
      </c>
      <c r="G24" s="39">
        <f t="shared" si="3"/>
        <v>-28925054.805999998</v>
      </c>
      <c r="H24" s="61">
        <f t="shared" si="3"/>
        <v>-243325</v>
      </c>
      <c r="I24" s="39">
        <f t="shared" si="3"/>
        <v>-409920.8060000001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BGC_FLSH!D32</f>
        <v>1996</v>
      </c>
      <c r="E32" s="66">
        <f>BGC_FLSH!E32</f>
        <v>3932</v>
      </c>
      <c r="F32" s="60">
        <f>BGC_GL!D32</f>
        <v>0</v>
      </c>
      <c r="G32" s="38">
        <f>BGC_GL!E32</f>
        <v>0</v>
      </c>
      <c r="H32" s="60">
        <f>F32-D32</f>
        <v>-1996</v>
      </c>
      <c r="I32" s="38">
        <f>G32-E32</f>
        <v>-3932</v>
      </c>
    </row>
    <row r="33" spans="1:9" x14ac:dyDescent="0.25">
      <c r="A33" s="9">
        <v>14</v>
      </c>
      <c r="B33" s="7"/>
      <c r="C33" s="18" t="s">
        <v>44</v>
      </c>
      <c r="D33" s="65">
        <f>BGC_FLSH!D33</f>
        <v>0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BGC_FLSH!D34</f>
        <v>9328</v>
      </c>
      <c r="E34" s="66">
        <f>BGC_FLSH!E34</f>
        <v>18376</v>
      </c>
      <c r="F34" s="60">
        <f>BGC_GL!D34</f>
        <v>0</v>
      </c>
      <c r="G34" s="38">
        <f>BGC_GL!E34</f>
        <v>0</v>
      </c>
      <c r="H34" s="60">
        <f t="shared" si="5"/>
        <v>-9328</v>
      </c>
      <c r="I34" s="38">
        <f t="shared" si="5"/>
        <v>-18376</v>
      </c>
    </row>
    <row r="35" spans="1:9" x14ac:dyDescent="0.25">
      <c r="A35" s="9">
        <v>16</v>
      </c>
      <c r="B35" s="7"/>
      <c r="C35" s="18" t="s">
        <v>46</v>
      </c>
      <c r="D35" s="65">
        <f>BGC_FLSH!D35</f>
        <v>-9328</v>
      </c>
      <c r="E35" s="66">
        <f>BGC_FLSH!E35</f>
        <v>-18563</v>
      </c>
      <c r="F35" s="60">
        <f>BGC_GL!D35</f>
        <v>0</v>
      </c>
      <c r="G35" s="38">
        <f>BGC_GL!E35</f>
        <v>0</v>
      </c>
      <c r="H35" s="60">
        <f t="shared" si="5"/>
        <v>9328</v>
      </c>
      <c r="I35" s="38">
        <f t="shared" si="5"/>
        <v>18563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1996</v>
      </c>
      <c r="E36" s="39">
        <f t="shared" si="6"/>
        <v>3745</v>
      </c>
      <c r="F36" s="61">
        <f t="shared" si="6"/>
        <v>0</v>
      </c>
      <c r="G36" s="39">
        <f t="shared" si="6"/>
        <v>0</v>
      </c>
      <c r="H36" s="61">
        <f t="shared" si="6"/>
        <v>-1996</v>
      </c>
      <c r="I36" s="39">
        <f t="shared" si="6"/>
        <v>-3745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BGC_FLSH!D39</f>
        <v>0</v>
      </c>
      <c r="E39" s="66">
        <f>BGC_FLSH!E39</f>
        <v>0</v>
      </c>
      <c r="F39" s="60">
        <f>BGC_GL!D39</f>
        <v>0</v>
      </c>
      <c r="G39" s="38">
        <f>BGC_GL!E39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BGC_FLSH!D40</f>
        <v>-1074265</v>
      </c>
      <c r="E40" s="66">
        <f>BGC_FLSH!E40</f>
        <v>-103</v>
      </c>
      <c r="F40" s="60">
        <f>BGC_GL!D40</f>
        <v>-1070106</v>
      </c>
      <c r="G40" s="38">
        <f>BGC_GL!E40</f>
        <v>-0.04</v>
      </c>
      <c r="H40" s="60">
        <f t="shared" si="7"/>
        <v>4159</v>
      </c>
      <c r="I40" s="38">
        <f t="shared" si="7"/>
        <v>102.96</v>
      </c>
    </row>
    <row r="41" spans="1:9" x14ac:dyDescent="0.25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-1074265</v>
      </c>
      <c r="E42" s="70">
        <f t="shared" si="8"/>
        <v>-103</v>
      </c>
      <c r="F42" s="69">
        <f t="shared" si="8"/>
        <v>-1070106</v>
      </c>
      <c r="G42" s="70">
        <f t="shared" si="8"/>
        <v>-0.04</v>
      </c>
      <c r="H42" s="69">
        <f t="shared" si="8"/>
        <v>4159</v>
      </c>
      <c r="I42" s="70">
        <f t="shared" si="8"/>
        <v>102.96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-1074265</v>
      </c>
      <c r="E43" s="39">
        <f t="shared" si="9"/>
        <v>-103</v>
      </c>
      <c r="F43" s="61">
        <f t="shared" si="9"/>
        <v>-1070106</v>
      </c>
      <c r="G43" s="39">
        <f t="shared" si="9"/>
        <v>-0.04</v>
      </c>
      <c r="H43" s="61">
        <f t="shared" si="9"/>
        <v>4159</v>
      </c>
      <c r="I43" s="39">
        <f t="shared" si="9"/>
        <v>102.96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319655</v>
      </c>
      <c r="G49" s="38">
        <f>BGC_GL!E49</f>
        <v>571146.47999999952</v>
      </c>
      <c r="H49" s="60">
        <f>F49-D49</f>
        <v>319655</v>
      </c>
      <c r="I49" s="38">
        <f>G49-E49</f>
        <v>571146.47999999952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BGC_FLSH!D51</f>
        <v>-303879</v>
      </c>
      <c r="E51" s="66">
        <f>BGC_FLSH!E51</f>
        <v>-552784</v>
      </c>
      <c r="F51" s="60">
        <f>BGC_GL!D51</f>
        <v>303879</v>
      </c>
      <c r="G51" s="38">
        <f>BGC_GL!E51</f>
        <v>-4.0000000000000036E-3</v>
      </c>
      <c r="H51" s="60">
        <f>F51-D51</f>
        <v>607758</v>
      </c>
      <c r="I51" s="38">
        <f>G51-E51</f>
        <v>552783.99600000004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-480682</v>
      </c>
      <c r="F54" s="60">
        <f>BGC_GL!D54</f>
        <v>-39504</v>
      </c>
      <c r="G54" s="38">
        <f>BGC_GL!E54</f>
        <v>-444731.33</v>
      </c>
      <c r="H54" s="60">
        <f>F54-D54</f>
        <v>-39504</v>
      </c>
      <c r="I54" s="38">
        <f>G54-E54</f>
        <v>35950.669999999984</v>
      </c>
    </row>
    <row r="55" spans="1:9" x14ac:dyDescent="0.25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-3743124</v>
      </c>
      <c r="F55" s="60">
        <f>BGC_GL!D55</f>
        <v>0</v>
      </c>
      <c r="G55" s="38">
        <f>BGC_GL!E55</f>
        <v>-5497.67</v>
      </c>
      <c r="H55" s="60">
        <f>F55-D55</f>
        <v>0</v>
      </c>
      <c r="I55" s="38">
        <f>G55-E55</f>
        <v>3737626.33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-4223806</v>
      </c>
      <c r="F56" s="61">
        <f t="shared" si="10"/>
        <v>-39504</v>
      </c>
      <c r="G56" s="39">
        <f t="shared" si="10"/>
        <v>-450229</v>
      </c>
      <c r="H56" s="61">
        <f t="shared" si="10"/>
        <v>-39504</v>
      </c>
      <c r="I56" s="39">
        <f t="shared" si="10"/>
        <v>3773577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-113999</v>
      </c>
      <c r="F70" s="60">
        <f>BGC_GL!D70</f>
        <v>0</v>
      </c>
      <c r="G70" s="38">
        <f>BGC_GL!E70</f>
        <v>0</v>
      </c>
      <c r="H70" s="60">
        <f>F70-D70</f>
        <v>0</v>
      </c>
      <c r="I70" s="38">
        <f>G70-E70</f>
        <v>113999</v>
      </c>
    </row>
    <row r="71" spans="1:9" x14ac:dyDescent="0.25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-113999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113999</v>
      </c>
    </row>
    <row r="73" spans="1:9" x14ac:dyDescent="0.25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0</v>
      </c>
      <c r="F74" s="60">
        <f>BGC_GL!D74</f>
        <v>0</v>
      </c>
      <c r="G74" s="38">
        <f>BGC_GL!E74</f>
        <v>-113999</v>
      </c>
      <c r="H74" s="60">
        <f t="shared" ref="H74:I79" si="14">F74-D74</f>
        <v>0</v>
      </c>
      <c r="I74" s="38">
        <f t="shared" si="14"/>
        <v>-113999</v>
      </c>
    </row>
    <row r="75" spans="1:9" x14ac:dyDescent="0.25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3743124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-3743124</v>
      </c>
    </row>
    <row r="80" spans="1:9" x14ac:dyDescent="0.25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0</v>
      </c>
      <c r="F81" s="60">
        <f>BGC_GL!D81</f>
        <v>0</v>
      </c>
      <c r="G81" s="38">
        <f>BGC_GL!E81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79691</v>
      </c>
      <c r="F82" s="117">
        <f>F16+F24+F29+F36+F43+F45+F47+F49</f>
        <v>0</v>
      </c>
      <c r="G82" s="118">
        <f>SUM(G72:G81)+G16+G24+G29+G36+G43+G45+G47+G49+G51+G56+G61+G66</f>
        <v>668990.5100000042</v>
      </c>
      <c r="H82" s="117">
        <f>H16+H24+H29+H36+H43+H45+H47+H49</f>
        <v>0</v>
      </c>
      <c r="I82" s="118">
        <f>SUM(I72:I81)+I16+I24+I29+I36+I43+I45+I47+I49+I51+I56+I61+I66</f>
        <v>589299.51000000071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DN655"/>
  <sheetViews>
    <sheetView workbookViewId="0">
      <pane xSplit="4" ySplit="3" topLeftCell="AK638" activePane="bottomRight" state="frozen"/>
      <selection pane="topRight" activeCell="E1" sqref="E1"/>
      <selection pane="bottomLeft" activeCell="A4" sqref="A4"/>
      <selection pane="bottomRight" activeCell="AS648" sqref="AS648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customWidth="1"/>
    <col min="8" max="8" width="12.33203125" customWidth="1"/>
    <col min="9" max="9" width="11.6640625" customWidth="1"/>
    <col min="10" max="10" width="11.33203125" customWidth="1"/>
    <col min="11" max="11" width="14.6640625" customWidth="1"/>
    <col min="12" max="12" width="11.6640625" customWidth="1"/>
    <col min="13" max="13" width="11.44140625" customWidth="1"/>
    <col min="14" max="14" width="12.44140625" customWidth="1"/>
    <col min="15" max="15" width="11.88671875" customWidth="1"/>
    <col min="16" max="16" width="12.33203125" customWidth="1"/>
    <col min="19" max="19" width="12" customWidth="1"/>
    <col min="21" max="21" width="11.109375" customWidth="1"/>
    <col min="23" max="23" width="11.88671875" customWidth="1"/>
  </cols>
  <sheetData>
    <row r="1" spans="1:118" ht="28.5" customHeight="1" x14ac:dyDescent="0.25">
      <c r="E1" s="207">
        <v>36192</v>
      </c>
      <c r="F1" s="207"/>
      <c r="G1" s="208">
        <f>+E1+31</f>
        <v>36223</v>
      </c>
      <c r="H1" s="208"/>
      <c r="I1" s="208">
        <f>+G1+30</f>
        <v>36253</v>
      </c>
      <c r="J1" s="208"/>
      <c r="K1" s="208">
        <f>+I1+31</f>
        <v>36284</v>
      </c>
      <c r="L1" s="208"/>
      <c r="M1" s="208">
        <f>+K1+31</f>
        <v>36315</v>
      </c>
      <c r="N1" s="208"/>
      <c r="O1" s="208">
        <f>+M1+30</f>
        <v>36345</v>
      </c>
      <c r="P1" s="208"/>
      <c r="Q1" s="208">
        <f>+O1+31</f>
        <v>36376</v>
      </c>
      <c r="R1" s="208"/>
      <c r="S1" s="208">
        <f>+Q1+31</f>
        <v>36407</v>
      </c>
      <c r="T1" s="208"/>
      <c r="U1" s="208">
        <f>+S1+31</f>
        <v>36438</v>
      </c>
      <c r="V1" s="208"/>
      <c r="W1" s="208">
        <f>+U1+31</f>
        <v>36469</v>
      </c>
      <c r="X1" s="208"/>
      <c r="Y1" s="208">
        <f>+W1+31</f>
        <v>36500</v>
      </c>
      <c r="Z1" s="208"/>
      <c r="AA1" s="208">
        <f>+Y1+31</f>
        <v>36531</v>
      </c>
      <c r="AB1" s="208"/>
      <c r="AC1" s="208">
        <f>+AA1+31</f>
        <v>36562</v>
      </c>
      <c r="AD1" s="208"/>
      <c r="AE1" s="208">
        <f>+AC1+31</f>
        <v>36593</v>
      </c>
      <c r="AF1" s="208"/>
      <c r="AG1" s="208">
        <f>+AE1+31</f>
        <v>36624</v>
      </c>
      <c r="AH1" s="208"/>
    </row>
    <row r="2" spans="1:118" x14ac:dyDescent="0.25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5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181</v>
      </c>
      <c r="F3" s="123" t="s">
        <v>182</v>
      </c>
      <c r="G3" s="122" t="s">
        <v>181</v>
      </c>
      <c r="H3" s="123" t="s">
        <v>182</v>
      </c>
      <c r="I3" s="122" t="s">
        <v>181</v>
      </c>
      <c r="J3" s="123" t="s">
        <v>182</v>
      </c>
      <c r="K3" s="122" t="s">
        <v>181</v>
      </c>
      <c r="L3" s="123" t="s">
        <v>182</v>
      </c>
      <c r="M3" s="122" t="s">
        <v>181</v>
      </c>
      <c r="N3" s="123" t="s">
        <v>182</v>
      </c>
      <c r="O3" s="122" t="s">
        <v>181</v>
      </c>
      <c r="P3" s="123" t="s">
        <v>182</v>
      </c>
      <c r="Q3" s="122" t="s">
        <v>181</v>
      </c>
      <c r="R3" s="123" t="s">
        <v>182</v>
      </c>
      <c r="S3" s="122" t="s">
        <v>181</v>
      </c>
      <c r="T3" s="123" t="s">
        <v>182</v>
      </c>
      <c r="U3" s="122" t="s">
        <v>181</v>
      </c>
      <c r="V3" s="123" t="s">
        <v>182</v>
      </c>
      <c r="W3" s="122" t="s">
        <v>181</v>
      </c>
      <c r="X3" s="123" t="s">
        <v>182</v>
      </c>
      <c r="Y3" s="122" t="s">
        <v>181</v>
      </c>
      <c r="Z3" s="123" t="s">
        <v>182</v>
      </c>
      <c r="AA3" s="122" t="s">
        <v>181</v>
      </c>
      <c r="AB3" s="123" t="s">
        <v>182</v>
      </c>
      <c r="AC3" s="122" t="s">
        <v>181</v>
      </c>
      <c r="AD3" s="123" t="s">
        <v>182</v>
      </c>
      <c r="AE3" s="122" t="s">
        <v>181</v>
      </c>
      <c r="AF3" s="123" t="s">
        <v>182</v>
      </c>
      <c r="AG3" s="123" t="s">
        <v>181</v>
      </c>
      <c r="AH3" s="123" t="s">
        <v>182</v>
      </c>
      <c r="AI3" s="123" t="s">
        <v>181</v>
      </c>
      <c r="AJ3" s="123" t="s">
        <v>182</v>
      </c>
      <c r="AK3" s="123" t="s">
        <v>181</v>
      </c>
      <c r="AL3" s="123" t="s">
        <v>182</v>
      </c>
    </row>
    <row r="4" spans="1:118" x14ac:dyDescent="0.25">
      <c r="A4" s="124" t="s">
        <v>132</v>
      </c>
      <c r="B4" s="124" t="s">
        <v>133</v>
      </c>
      <c r="C4" s="125">
        <v>1</v>
      </c>
      <c r="D4" s="124" t="s">
        <v>29</v>
      </c>
      <c r="E4" s="126">
        <v>21677408</v>
      </c>
      <c r="F4" s="126">
        <v>42432491.990000002</v>
      </c>
      <c r="G4" s="127">
        <v>198324</v>
      </c>
      <c r="H4" s="127">
        <v>-1868158.14</v>
      </c>
      <c r="I4" s="127">
        <v>61771</v>
      </c>
      <c r="J4" s="127">
        <v>115192.15</v>
      </c>
      <c r="K4" s="127">
        <v>-17408</v>
      </c>
      <c r="L4" s="127">
        <v>-29097.4</v>
      </c>
      <c r="M4" s="127">
        <v>38192</v>
      </c>
      <c r="N4" s="127">
        <v>53304.35</v>
      </c>
      <c r="O4" s="127">
        <v>468386</v>
      </c>
      <c r="P4" s="127">
        <v>872722.4</v>
      </c>
      <c r="Q4" s="127">
        <v>-424857</v>
      </c>
      <c r="R4" s="127">
        <v>-789120.93</v>
      </c>
      <c r="S4" s="127">
        <v>-61254</v>
      </c>
      <c r="T4" s="127">
        <v>-120146.55</v>
      </c>
      <c r="U4" s="127">
        <v>165263</v>
      </c>
      <c r="V4" s="127">
        <v>270206.71999999997</v>
      </c>
      <c r="W4" s="127">
        <v>0</v>
      </c>
      <c r="X4" s="127">
        <v>0</v>
      </c>
      <c r="Y4" s="127">
        <v>-44</v>
      </c>
      <c r="Z4" s="127">
        <v>-750.36</v>
      </c>
      <c r="AA4" s="127">
        <v>0</v>
      </c>
      <c r="AB4" s="127">
        <v>100.47</v>
      </c>
      <c r="AC4" s="127">
        <v>0</v>
      </c>
      <c r="AD4" s="127">
        <v>0</v>
      </c>
      <c r="AE4" s="127">
        <v>-22932</v>
      </c>
      <c r="AF4" s="127">
        <v>-42545.279999999999</v>
      </c>
      <c r="AG4" s="127">
        <v>0</v>
      </c>
      <c r="AH4" s="127">
        <v>0</v>
      </c>
      <c r="AI4" s="127">
        <v>0</v>
      </c>
      <c r="AJ4" s="127">
        <v>-1950.11</v>
      </c>
      <c r="AK4" s="127">
        <v>85110</v>
      </c>
      <c r="AL4" s="127">
        <v>156174.69</v>
      </c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5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>
        <v>0</v>
      </c>
      <c r="AJ5" s="127">
        <v>0</v>
      </c>
      <c r="AK5" s="127">
        <v>0</v>
      </c>
      <c r="AL5" s="127">
        <v>0</v>
      </c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5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>
        <v>0</v>
      </c>
      <c r="AJ6" s="127">
        <v>0</v>
      </c>
      <c r="AK6" s="127">
        <v>0</v>
      </c>
      <c r="AL6" s="127">
        <v>0</v>
      </c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5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>
        <v>0</v>
      </c>
      <c r="AL7" s="127">
        <v>0</v>
      </c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5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>
        <v>0</v>
      </c>
      <c r="AJ8" s="127">
        <v>0</v>
      </c>
      <c r="AK8" s="127">
        <v>0</v>
      </c>
      <c r="AL8" s="127">
        <v>0</v>
      </c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5">
      <c r="A9" s="124" t="s">
        <v>132</v>
      </c>
      <c r="B9" s="124" t="s">
        <v>133</v>
      </c>
      <c r="C9" s="125">
        <v>6</v>
      </c>
      <c r="D9" s="124" t="s">
        <v>29</v>
      </c>
      <c r="E9" s="126">
        <v>-5174379</v>
      </c>
      <c r="F9" s="126">
        <v>-9539124.5800000001</v>
      </c>
      <c r="G9" s="127">
        <v>360614</v>
      </c>
      <c r="H9" s="127">
        <v>1104181.6499999999</v>
      </c>
      <c r="I9" s="127">
        <v>11322539</v>
      </c>
      <c r="J9" s="127">
        <v>20152686.109999999</v>
      </c>
      <c r="K9" s="127">
        <v>-11265094</v>
      </c>
      <c r="L9" s="127">
        <v>-20053767.859999999</v>
      </c>
      <c r="M9" s="127">
        <v>-36954</v>
      </c>
      <c r="N9" s="127">
        <v>-64728.33</v>
      </c>
      <c r="O9" s="127">
        <v>0</v>
      </c>
      <c r="P9" s="127">
        <v>0</v>
      </c>
      <c r="Q9" s="127">
        <v>2921</v>
      </c>
      <c r="R9" s="127">
        <v>4419.47</v>
      </c>
      <c r="S9" s="127">
        <v>109</v>
      </c>
      <c r="T9" s="127">
        <v>168.73</v>
      </c>
      <c r="U9" s="127">
        <v>-147800</v>
      </c>
      <c r="V9" s="127">
        <v>-258732.24</v>
      </c>
      <c r="W9" s="127">
        <v>-672</v>
      </c>
      <c r="X9" s="127">
        <v>-1016.74</v>
      </c>
      <c r="Y9" s="127">
        <v>-9956</v>
      </c>
      <c r="Z9" s="127">
        <v>-17001.62</v>
      </c>
      <c r="AA9" s="127">
        <v>0</v>
      </c>
      <c r="AB9" s="127">
        <v>0</v>
      </c>
      <c r="AC9" s="127">
        <v>0</v>
      </c>
      <c r="AD9" s="127">
        <v>0</v>
      </c>
      <c r="AE9" s="127">
        <v>22932</v>
      </c>
      <c r="AF9" s="127">
        <v>39552.89</v>
      </c>
      <c r="AG9" s="127">
        <v>0</v>
      </c>
      <c r="AH9" s="127">
        <v>0</v>
      </c>
      <c r="AI9" s="127">
        <v>0</v>
      </c>
      <c r="AJ9" s="127">
        <v>0</v>
      </c>
      <c r="AK9" s="127">
        <v>-85110</v>
      </c>
      <c r="AL9" s="127">
        <v>-138817.37</v>
      </c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5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>
        <v>0</v>
      </c>
      <c r="AJ10" s="127">
        <v>0</v>
      </c>
      <c r="AK10" s="127">
        <v>0</v>
      </c>
      <c r="AL10" s="127">
        <v>0</v>
      </c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5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>
        <v>0</v>
      </c>
      <c r="AJ11" s="127">
        <v>0</v>
      </c>
      <c r="AK11" s="127">
        <v>0</v>
      </c>
      <c r="AL11" s="127">
        <v>0</v>
      </c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5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>
        <v>0</v>
      </c>
      <c r="AJ12" s="127">
        <v>0</v>
      </c>
      <c r="AK12" s="127">
        <v>0</v>
      </c>
      <c r="AL12" s="127">
        <v>0</v>
      </c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5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>
        <v>0</v>
      </c>
      <c r="AJ13" s="127">
        <v>0</v>
      </c>
      <c r="AK13" s="127">
        <v>0</v>
      </c>
      <c r="AL13" s="127">
        <v>0</v>
      </c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5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24570425</v>
      </c>
      <c r="F14" s="126">
        <v>43649329.079999998</v>
      </c>
      <c r="G14" s="127">
        <v>-5098486</v>
      </c>
      <c r="H14" s="127">
        <v>-9075304.9299999997</v>
      </c>
      <c r="I14" s="127">
        <v>-320294</v>
      </c>
      <c r="J14" s="127">
        <v>-553214.87650000001</v>
      </c>
      <c r="K14" s="127">
        <v>-16979578</v>
      </c>
      <c r="L14" s="127">
        <v>-30227983.1888</v>
      </c>
      <c r="M14" s="127">
        <v>-13466</v>
      </c>
      <c r="N14" s="127">
        <v>-24246.310399999995</v>
      </c>
      <c r="O14" s="127">
        <v>-424857</v>
      </c>
      <c r="P14" s="127">
        <v>-711890.38919999998</v>
      </c>
      <c r="Q14" s="127">
        <v>424415</v>
      </c>
      <c r="R14" s="127">
        <v>708633.62959999999</v>
      </c>
      <c r="S14" s="127">
        <v>17616</v>
      </c>
      <c r="T14" s="127">
        <v>31241.975999999999</v>
      </c>
      <c r="U14" s="127">
        <v>-19497</v>
      </c>
      <c r="V14" s="127">
        <v>-32669.173200000001</v>
      </c>
      <c r="W14" s="127">
        <v>-3843</v>
      </c>
      <c r="X14" s="127">
        <v>-6439.3307999999997</v>
      </c>
      <c r="Y14" s="127">
        <v>4832</v>
      </c>
      <c r="Z14" s="127">
        <v>-957.82999999995809</v>
      </c>
      <c r="AA14" s="127">
        <v>0</v>
      </c>
      <c r="AB14" s="127">
        <v>0</v>
      </c>
      <c r="AC14" s="127">
        <v>0</v>
      </c>
      <c r="AD14" s="127">
        <v>0</v>
      </c>
      <c r="AE14" s="127">
        <v>0</v>
      </c>
      <c r="AF14" s="127">
        <v>18103.13</v>
      </c>
      <c r="AG14" s="127">
        <v>0</v>
      </c>
      <c r="AH14" s="127">
        <v>0</v>
      </c>
      <c r="AI14" s="127">
        <v>0</v>
      </c>
      <c r="AJ14" s="127">
        <v>0</v>
      </c>
      <c r="AK14" s="127">
        <v>0</v>
      </c>
      <c r="AL14" s="127">
        <v>0</v>
      </c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5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-41073454</v>
      </c>
      <c r="F15" s="126">
        <v>-72715813.430000007</v>
      </c>
      <c r="G15" s="127">
        <v>21754448</v>
      </c>
      <c r="H15" s="127">
        <v>38350615.682499997</v>
      </c>
      <c r="I15" s="127">
        <v>-11149483</v>
      </c>
      <c r="J15" s="127">
        <v>-19847509.419999998</v>
      </c>
      <c r="K15" s="127">
        <v>11141077</v>
      </c>
      <c r="L15" s="127">
        <v>19831116.739999998</v>
      </c>
      <c r="M15" s="127">
        <v>5261</v>
      </c>
      <c r="N15" s="127">
        <v>9364.58</v>
      </c>
      <c r="O15" s="127">
        <v>-43529</v>
      </c>
      <c r="P15" s="127">
        <v>-77431.12</v>
      </c>
      <c r="Q15" s="127">
        <v>-2479</v>
      </c>
      <c r="R15" s="127">
        <v>-4412.62</v>
      </c>
      <c r="S15" s="127">
        <v>43529</v>
      </c>
      <c r="T15" s="127">
        <v>77431.12</v>
      </c>
      <c r="U15" s="127">
        <v>0</v>
      </c>
      <c r="V15" s="127">
        <v>0</v>
      </c>
      <c r="W15" s="127">
        <v>0</v>
      </c>
      <c r="X15" s="127">
        <v>0</v>
      </c>
      <c r="Y15" s="127">
        <v>9683</v>
      </c>
      <c r="Z15" s="127">
        <v>17235.740000000002</v>
      </c>
      <c r="AA15" s="127">
        <v>0</v>
      </c>
      <c r="AB15" s="127">
        <v>0</v>
      </c>
      <c r="AC15" s="127">
        <v>0</v>
      </c>
      <c r="AD15" s="127">
        <v>0</v>
      </c>
      <c r="AE15" s="127">
        <v>0</v>
      </c>
      <c r="AF15" s="127">
        <v>0</v>
      </c>
      <c r="AG15" s="127">
        <v>0</v>
      </c>
      <c r="AH15" s="127">
        <v>0</v>
      </c>
      <c r="AI15" s="127">
        <v>0</v>
      </c>
      <c r="AJ15" s="127">
        <v>0</v>
      </c>
      <c r="AK15" s="127">
        <v>0</v>
      </c>
      <c r="AL15" s="127">
        <v>0</v>
      </c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5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-86930</v>
      </c>
      <c r="H16" s="127">
        <v>-149084.95000000001</v>
      </c>
      <c r="I16" s="127">
        <v>85467</v>
      </c>
      <c r="J16" s="127">
        <v>146834.856</v>
      </c>
      <c r="K16" s="127">
        <v>-6967</v>
      </c>
      <c r="L16" s="127">
        <v>-13075.646000000001</v>
      </c>
      <c r="M16" s="127">
        <v>6967</v>
      </c>
      <c r="N16" s="127">
        <v>11978.4</v>
      </c>
      <c r="O16" s="127">
        <v>0</v>
      </c>
      <c r="P16" s="127">
        <v>156.541</v>
      </c>
      <c r="Q16" s="127">
        <v>0</v>
      </c>
      <c r="R16" s="127">
        <v>-100.947</v>
      </c>
      <c r="S16" s="127">
        <v>0</v>
      </c>
      <c r="T16" s="127">
        <v>-493.03100000000001</v>
      </c>
      <c r="U16" s="127">
        <v>2034</v>
      </c>
      <c r="V16" s="127">
        <v>5422.4089999999997</v>
      </c>
      <c r="W16" s="127">
        <v>4515</v>
      </c>
      <c r="X16" s="127">
        <v>6861.0780000000004</v>
      </c>
      <c r="Y16" s="127">
        <v>-4515</v>
      </c>
      <c r="Z16" s="127">
        <v>-7519.4409999999998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>
        <v>0</v>
      </c>
      <c r="AJ16" s="127">
        <v>0</v>
      </c>
      <c r="AK16" s="127">
        <v>0</v>
      </c>
      <c r="AL16" s="127">
        <v>0</v>
      </c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5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>
        <v>0</v>
      </c>
      <c r="AJ17" s="127">
        <v>0</v>
      </c>
      <c r="AK17" s="127">
        <v>0</v>
      </c>
      <c r="AL17" s="127">
        <v>0</v>
      </c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5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>
        <v>0</v>
      </c>
      <c r="AJ18" s="127">
        <v>0</v>
      </c>
      <c r="AK18" s="127">
        <v>0</v>
      </c>
      <c r="AL18" s="127">
        <v>0</v>
      </c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5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>
        <v>0</v>
      </c>
      <c r="AJ19" s="127">
        <v>0</v>
      </c>
      <c r="AK19" s="127">
        <v>0</v>
      </c>
      <c r="AL19" s="127">
        <v>0</v>
      </c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5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>
        <v>0</v>
      </c>
      <c r="AJ20" s="127">
        <v>0</v>
      </c>
      <c r="AK20" s="127">
        <v>0</v>
      </c>
      <c r="AL20" s="127">
        <v>0</v>
      </c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5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-17127970</v>
      </c>
      <c r="H21" s="127">
        <v>-37894846.130000003</v>
      </c>
      <c r="I21" s="127">
        <v>0</v>
      </c>
      <c r="J21" s="127">
        <v>-3108.62</v>
      </c>
      <c r="K21" s="127">
        <v>17127970</v>
      </c>
      <c r="L21" s="127">
        <v>37897954.75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>
        <v>0</v>
      </c>
      <c r="AL21" s="127">
        <v>0</v>
      </c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5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  <c r="AJ22" s="127">
        <v>0</v>
      </c>
      <c r="AK22" s="127">
        <v>0</v>
      </c>
      <c r="AL22" s="127">
        <v>0</v>
      </c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5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>
        <v>0</v>
      </c>
      <c r="AJ23" s="127">
        <v>0</v>
      </c>
      <c r="AK23" s="127">
        <v>0</v>
      </c>
      <c r="AL23" s="127">
        <v>0</v>
      </c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5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717.56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>
        <v>0</v>
      </c>
      <c r="AJ24" s="127">
        <v>0</v>
      </c>
      <c r="AK24" s="127">
        <v>0</v>
      </c>
      <c r="AL24" s="127">
        <v>0</v>
      </c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5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>
        <v>0</v>
      </c>
      <c r="AJ25" s="127">
        <v>0</v>
      </c>
      <c r="AK25" s="127">
        <v>0</v>
      </c>
      <c r="AL25" s="127">
        <v>0</v>
      </c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5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5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-86943</v>
      </c>
      <c r="F27" s="126">
        <v>14564.58</v>
      </c>
      <c r="G27" s="127">
        <v>14550611</v>
      </c>
      <c r="H27" s="127">
        <v>-247.32</v>
      </c>
      <c r="I27" s="127">
        <v>2924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5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5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0</v>
      </c>
      <c r="G29" s="127">
        <v>0</v>
      </c>
      <c r="H29" s="127">
        <v>350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312.5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969.62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0</v>
      </c>
      <c r="AJ29" s="127">
        <v>0</v>
      </c>
      <c r="AK29" s="127">
        <v>0</v>
      </c>
      <c r="AL29" s="127">
        <v>0</v>
      </c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5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>
        <v>0</v>
      </c>
      <c r="AJ30" s="127">
        <v>0</v>
      </c>
      <c r="AK30" s="127">
        <v>0</v>
      </c>
      <c r="AL30" s="127">
        <v>0</v>
      </c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5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-14463668</v>
      </c>
      <c r="F31" s="126">
        <v>-738665.93</v>
      </c>
      <c r="G31" s="127">
        <v>-14605797</v>
      </c>
      <c r="H31" s="127">
        <v>-23187.96</v>
      </c>
      <c r="I31" s="127">
        <v>17035029</v>
      </c>
      <c r="J31" s="127">
        <v>-550.32000000000005</v>
      </c>
      <c r="K31" s="127">
        <v>-14083</v>
      </c>
      <c r="L31" s="127">
        <v>1910.92</v>
      </c>
      <c r="M31" s="127">
        <v>1564</v>
      </c>
      <c r="N31" s="127">
        <v>-201.12</v>
      </c>
      <c r="O31" s="127">
        <v>0</v>
      </c>
      <c r="P31" s="127">
        <v>0</v>
      </c>
      <c r="Q31" s="127">
        <v>0</v>
      </c>
      <c r="R31" s="127">
        <v>1013.51</v>
      </c>
      <c r="S31" s="127">
        <v>0</v>
      </c>
      <c r="T31" s="127">
        <v>52.32</v>
      </c>
      <c r="U31" s="127">
        <v>262</v>
      </c>
      <c r="V31" s="127">
        <v>11.51</v>
      </c>
      <c r="W31" s="127">
        <v>4515</v>
      </c>
      <c r="X31" s="127">
        <v>-90.75</v>
      </c>
      <c r="Y31" s="127">
        <v>10000</v>
      </c>
      <c r="Z31" s="127">
        <v>100</v>
      </c>
      <c r="AA31" s="127">
        <v>0</v>
      </c>
      <c r="AB31" s="127">
        <v>0</v>
      </c>
      <c r="AC31" s="127">
        <v>0</v>
      </c>
      <c r="AD31" s="127">
        <v>0</v>
      </c>
      <c r="AE31" s="127">
        <v>0</v>
      </c>
      <c r="AF31" s="127">
        <v>-0.78</v>
      </c>
      <c r="AG31" s="127">
        <v>0</v>
      </c>
      <c r="AH31" s="127">
        <v>0</v>
      </c>
      <c r="AI31" s="127">
        <v>0</v>
      </c>
      <c r="AJ31" s="127">
        <v>0</v>
      </c>
      <c r="AK31" s="127">
        <v>-12136</v>
      </c>
      <c r="AL31" s="127">
        <v>4272.08</v>
      </c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5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>
        <v>0</v>
      </c>
      <c r="AJ32" s="127">
        <v>0</v>
      </c>
      <c r="AK32" s="127">
        <v>0</v>
      </c>
      <c r="AL32" s="127">
        <v>0</v>
      </c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5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>
        <v>0</v>
      </c>
      <c r="AJ33" s="127">
        <v>0</v>
      </c>
      <c r="AK33" s="127">
        <v>0</v>
      </c>
      <c r="AL33" s="127">
        <v>0</v>
      </c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5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>
        <v>0</v>
      </c>
      <c r="AJ34" s="127">
        <v>0</v>
      </c>
      <c r="AK34" s="127">
        <v>0</v>
      </c>
      <c r="AL34" s="127">
        <v>0</v>
      </c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5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5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5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5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5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5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5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5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5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5">
      <c r="A44" t="s">
        <v>147</v>
      </c>
      <c r="B44" t="s">
        <v>148</v>
      </c>
      <c r="C44">
        <v>1</v>
      </c>
      <c r="D44" t="s">
        <v>29</v>
      </c>
      <c r="E44" s="14">
        <v>8726924</v>
      </c>
      <c r="F44" s="14">
        <v>17753340.109999999</v>
      </c>
      <c r="G44" s="127">
        <v>62587</v>
      </c>
      <c r="H44" s="127">
        <v>-1430616.39</v>
      </c>
      <c r="I44" s="127">
        <v>0</v>
      </c>
      <c r="J44" s="127">
        <v>743539.46</v>
      </c>
      <c r="K44" s="127">
        <v>0</v>
      </c>
      <c r="L44" s="127">
        <v>12352.83</v>
      </c>
      <c r="M44" s="127">
        <v>-44182</v>
      </c>
      <c r="N44" s="127">
        <v>-79966.44</v>
      </c>
      <c r="O44" s="127">
        <v>52875</v>
      </c>
      <c r="P44" s="127">
        <v>95703.75</v>
      </c>
      <c r="Q44" s="127">
        <v>0</v>
      </c>
      <c r="R44" s="127">
        <v>0.99</v>
      </c>
      <c r="S44" s="127">
        <v>0</v>
      </c>
      <c r="T44" s="127">
        <v>-3.13</v>
      </c>
      <c r="U44" s="127">
        <v>0</v>
      </c>
      <c r="V44" s="127">
        <v>0</v>
      </c>
      <c r="W44" s="127">
        <v>0</v>
      </c>
      <c r="X44" s="127">
        <v>0</v>
      </c>
      <c r="Y44" s="127">
        <v>0</v>
      </c>
      <c r="Z44" s="127">
        <v>0</v>
      </c>
      <c r="AA44" s="127">
        <v>12445</v>
      </c>
      <c r="AB44" s="127">
        <v>21654.3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5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>
        <v>0</v>
      </c>
      <c r="AJ45" s="127">
        <v>0</v>
      </c>
      <c r="AK45" s="127">
        <v>0</v>
      </c>
      <c r="AL45" s="127">
        <v>0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5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>
        <v>0</v>
      </c>
      <c r="AJ46" s="127">
        <v>0</v>
      </c>
      <c r="AK46" s="127">
        <v>0</v>
      </c>
      <c r="AL46" s="127">
        <v>0</v>
      </c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5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  <c r="AJ47" s="127">
        <v>0</v>
      </c>
      <c r="AK47" s="127">
        <v>0</v>
      </c>
      <c r="AL47" s="127">
        <v>0</v>
      </c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5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>
        <v>0</v>
      </c>
      <c r="AJ48" s="127">
        <v>0</v>
      </c>
      <c r="AK48" s="127">
        <v>0</v>
      </c>
      <c r="AL48" s="127">
        <v>0</v>
      </c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5">
      <c r="A49" t="s">
        <v>147</v>
      </c>
      <c r="B49" t="s">
        <v>148</v>
      </c>
      <c r="C49">
        <v>6</v>
      </c>
      <c r="D49" t="s">
        <v>29</v>
      </c>
      <c r="E49" s="14">
        <v>-2695528</v>
      </c>
      <c r="F49" s="14">
        <v>-4643807.54</v>
      </c>
      <c r="G49" s="127">
        <v>-977293</v>
      </c>
      <c r="H49" s="127">
        <v>-1863662.83</v>
      </c>
      <c r="I49" s="127">
        <v>0</v>
      </c>
      <c r="J49" s="127">
        <v>17666.919999999998</v>
      </c>
      <c r="K49" s="127">
        <v>0</v>
      </c>
      <c r="L49" s="127">
        <v>-12115.53</v>
      </c>
      <c r="M49" s="127">
        <v>0</v>
      </c>
      <c r="N49" s="127">
        <v>0</v>
      </c>
      <c r="O49" s="127">
        <v>0</v>
      </c>
      <c r="P49" s="127">
        <v>0</v>
      </c>
      <c r="Q49" s="127">
        <v>0</v>
      </c>
      <c r="R49" s="127">
        <v>0</v>
      </c>
      <c r="S49" s="127">
        <v>-2</v>
      </c>
      <c r="T49" s="127">
        <v>101.53</v>
      </c>
      <c r="U49" s="127">
        <v>2</v>
      </c>
      <c r="V49" s="127">
        <v>3.5</v>
      </c>
      <c r="W49" s="127">
        <v>0</v>
      </c>
      <c r="X49" s="127">
        <v>96.19</v>
      </c>
      <c r="Y49" s="127">
        <v>0</v>
      </c>
      <c r="Z49" s="127">
        <v>0</v>
      </c>
      <c r="AA49" s="127">
        <v>0</v>
      </c>
      <c r="AB49" s="127">
        <v>0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5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>
        <v>0</v>
      </c>
      <c r="AJ50" s="127">
        <v>0</v>
      </c>
      <c r="AK50" s="127">
        <v>0</v>
      </c>
      <c r="AL50" s="127">
        <v>0</v>
      </c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5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>
        <v>0</v>
      </c>
      <c r="AJ51" s="127">
        <v>0</v>
      </c>
      <c r="AK51" s="127">
        <v>0</v>
      </c>
      <c r="AL51" s="127">
        <v>0</v>
      </c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5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>
        <v>0</v>
      </c>
      <c r="AJ52" s="127">
        <v>0</v>
      </c>
      <c r="AK52" s="127">
        <v>0</v>
      </c>
      <c r="AL52" s="127">
        <v>0</v>
      </c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5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-1629</v>
      </c>
      <c r="H53" s="127">
        <v>-3685.33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0</v>
      </c>
      <c r="U53" s="127">
        <v>1500</v>
      </c>
      <c r="V53" s="127">
        <v>3719.41</v>
      </c>
      <c r="W53" s="127">
        <v>0</v>
      </c>
      <c r="X53" s="127">
        <v>0</v>
      </c>
      <c r="Y53" s="127">
        <v>0</v>
      </c>
      <c r="Z53" s="127">
        <v>0</v>
      </c>
      <c r="AA53" s="127">
        <v>-25</v>
      </c>
      <c r="AB53" s="127">
        <v>-43.25</v>
      </c>
      <c r="AC53" s="127">
        <v>0</v>
      </c>
      <c r="AD53" s="127">
        <v>0</v>
      </c>
      <c r="AE53" s="127">
        <v>-25</v>
      </c>
      <c r="AF53" s="127">
        <v>-43.25</v>
      </c>
      <c r="AG53" s="127">
        <v>25</v>
      </c>
      <c r="AH53" s="127">
        <v>43.25</v>
      </c>
      <c r="AI53" s="127">
        <v>0</v>
      </c>
      <c r="AJ53" s="127">
        <v>0</v>
      </c>
      <c r="AK53" s="127">
        <v>0</v>
      </c>
      <c r="AL53" s="127">
        <v>0</v>
      </c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5">
      <c r="A54" t="s">
        <v>147</v>
      </c>
      <c r="B54" t="s">
        <v>148</v>
      </c>
      <c r="C54">
        <v>11</v>
      </c>
      <c r="D54" t="s">
        <v>39</v>
      </c>
      <c r="E54" s="14">
        <v>2414397</v>
      </c>
      <c r="F54" s="14">
        <v>4682567.46</v>
      </c>
      <c r="G54" s="127">
        <v>298857</v>
      </c>
      <c r="H54" s="127">
        <v>159911.51999999999</v>
      </c>
      <c r="I54" s="127">
        <v>-144281</v>
      </c>
      <c r="J54" s="127">
        <v>-250858.27</v>
      </c>
      <c r="K54" s="127">
        <v>7979</v>
      </c>
      <c r="L54" s="127">
        <v>21488.66</v>
      </c>
      <c r="M54" s="127">
        <v>0</v>
      </c>
      <c r="N54" s="127">
        <v>0.05</v>
      </c>
      <c r="O54" s="127">
        <v>0</v>
      </c>
      <c r="P54" s="127">
        <v>0</v>
      </c>
      <c r="Q54" s="127">
        <v>0</v>
      </c>
      <c r="R54" s="127">
        <v>0</v>
      </c>
      <c r="S54" s="127">
        <v>-101055</v>
      </c>
      <c r="T54" s="127">
        <v>-202110</v>
      </c>
      <c r="U54" s="127">
        <v>44577</v>
      </c>
      <c r="V54" s="127">
        <v>99172.55</v>
      </c>
      <c r="W54" s="127">
        <v>0</v>
      </c>
      <c r="X54" s="127">
        <v>0</v>
      </c>
      <c r="Y54" s="127">
        <v>277117</v>
      </c>
      <c r="Z54" s="127">
        <v>511261.51</v>
      </c>
      <c r="AA54" s="127">
        <v>-82104</v>
      </c>
      <c r="AB54" s="127">
        <v>-164208</v>
      </c>
      <c r="AC54" s="127">
        <v>0</v>
      </c>
      <c r="AD54" s="127">
        <v>0.24</v>
      </c>
      <c r="AE54" s="127">
        <v>0</v>
      </c>
      <c r="AF54" s="127">
        <v>0</v>
      </c>
      <c r="AG54" s="127">
        <v>0</v>
      </c>
      <c r="AH54" s="127">
        <v>0</v>
      </c>
      <c r="AI54" s="127">
        <v>-4949</v>
      </c>
      <c r="AJ54" s="127">
        <v>-9474.39</v>
      </c>
      <c r="AK54" s="127">
        <v>3243</v>
      </c>
      <c r="AL54" s="127">
        <v>6486</v>
      </c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5">
      <c r="A55" t="s">
        <v>147</v>
      </c>
      <c r="B55" t="s">
        <v>148</v>
      </c>
      <c r="C55">
        <v>12</v>
      </c>
      <c r="D55" t="s">
        <v>40</v>
      </c>
      <c r="E55" s="14">
        <v>-8440837</v>
      </c>
      <c r="F55" s="14">
        <v>-16794030.91</v>
      </c>
      <c r="G55" s="127">
        <v>-46971</v>
      </c>
      <c r="H55" s="127">
        <v>1653235.31</v>
      </c>
      <c r="I55" s="127">
        <v>6294</v>
      </c>
      <c r="J55" s="127">
        <v>43981.49</v>
      </c>
      <c r="K55" s="127">
        <v>0</v>
      </c>
      <c r="L55" s="127">
        <v>-33097.86</v>
      </c>
      <c r="M55" s="127">
        <v>0</v>
      </c>
      <c r="N55" s="127">
        <v>0</v>
      </c>
      <c r="O55" s="127">
        <v>0</v>
      </c>
      <c r="P55" s="127">
        <v>0</v>
      </c>
      <c r="Q55" s="127">
        <v>-8693</v>
      </c>
      <c r="R55" s="127">
        <v>-17386</v>
      </c>
      <c r="S55" s="127">
        <v>38955</v>
      </c>
      <c r="T55" s="127">
        <v>77910</v>
      </c>
      <c r="U55" s="127">
        <v>2213</v>
      </c>
      <c r="V55" s="127">
        <v>4478.2299999999996</v>
      </c>
      <c r="W55" s="127">
        <v>0</v>
      </c>
      <c r="X55" s="127">
        <v>0</v>
      </c>
      <c r="Y55" s="127">
        <v>-195013</v>
      </c>
      <c r="Z55" s="127">
        <v>-347053.48</v>
      </c>
      <c r="AA55" s="127">
        <v>0</v>
      </c>
      <c r="AB55" s="127">
        <v>0</v>
      </c>
      <c r="AC55" s="127">
        <v>0</v>
      </c>
      <c r="AD55" s="127">
        <v>-0.24</v>
      </c>
      <c r="AE55" s="127">
        <v>0</v>
      </c>
      <c r="AF55" s="127">
        <v>0</v>
      </c>
      <c r="AG55" s="127">
        <v>0</v>
      </c>
      <c r="AH55" s="127">
        <v>0</v>
      </c>
      <c r="AI55" s="127">
        <v>2490</v>
      </c>
      <c r="AJ55" s="127">
        <v>4980</v>
      </c>
      <c r="AK55" s="127">
        <v>-2490</v>
      </c>
      <c r="AL55" s="127">
        <v>-4980</v>
      </c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5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204286</v>
      </c>
      <c r="H56" s="127">
        <v>365263.36800000002</v>
      </c>
      <c r="I56" s="127">
        <v>-192556</v>
      </c>
      <c r="J56" s="127">
        <v>-346307.68800000002</v>
      </c>
      <c r="K56" s="127">
        <v>0</v>
      </c>
      <c r="L56" s="127">
        <v>3307.86</v>
      </c>
      <c r="M56" s="127">
        <v>0</v>
      </c>
      <c r="N56" s="127">
        <v>5360.61</v>
      </c>
      <c r="O56" s="127">
        <v>0</v>
      </c>
      <c r="P56" s="127">
        <v>-1477.98</v>
      </c>
      <c r="Q56" s="127">
        <v>0</v>
      </c>
      <c r="R56" s="127">
        <v>422.28</v>
      </c>
      <c r="S56" s="127">
        <v>0</v>
      </c>
      <c r="T56" s="127">
        <v>4093.77</v>
      </c>
      <c r="U56" s="127">
        <v>0</v>
      </c>
      <c r="V56" s="127">
        <v>3331.32</v>
      </c>
      <c r="W56" s="127">
        <v>0</v>
      </c>
      <c r="X56" s="127">
        <v>-13020.3</v>
      </c>
      <c r="Y56" s="127">
        <v>0</v>
      </c>
      <c r="Z56" s="127">
        <v>0</v>
      </c>
      <c r="AA56" s="127">
        <v>-12445</v>
      </c>
      <c r="AB56" s="127">
        <v>-22251.66</v>
      </c>
      <c r="AC56" s="127">
        <v>183308</v>
      </c>
      <c r="AD56" s="127">
        <v>327754.70400000003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1706</v>
      </c>
      <c r="AL56" s="127">
        <v>3050.328</v>
      </c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5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5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5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5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347235</v>
      </c>
      <c r="H60" s="127">
        <v>630231.53</v>
      </c>
      <c r="I60" s="127">
        <v>1017685</v>
      </c>
      <c r="J60" s="127">
        <v>1847098.28</v>
      </c>
      <c r="K60" s="127">
        <v>153293</v>
      </c>
      <c r="L60" s="127">
        <v>278226.8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5">
      <c r="A61" t="s">
        <v>147</v>
      </c>
      <c r="B61" t="s">
        <v>148</v>
      </c>
      <c r="C61">
        <v>18</v>
      </c>
      <c r="D61" t="s">
        <v>136</v>
      </c>
      <c r="E61" s="14">
        <v>-80069</v>
      </c>
      <c r="F61" s="14">
        <v>-145325.24</v>
      </c>
      <c r="G61" s="127">
        <v>80069</v>
      </c>
      <c r="H61" s="127">
        <v>145325.24</v>
      </c>
      <c r="I61" s="127">
        <v>-744373</v>
      </c>
      <c r="J61" s="127">
        <v>-1351037</v>
      </c>
      <c r="K61" s="127">
        <v>-161272</v>
      </c>
      <c r="L61" s="127">
        <v>292708.68</v>
      </c>
      <c r="M61" s="127">
        <v>0</v>
      </c>
      <c r="N61" s="127">
        <v>-585417.36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5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5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12255</v>
      </c>
      <c r="H63" s="127">
        <v>23652.15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0</v>
      </c>
      <c r="U63" s="127">
        <v>-6390</v>
      </c>
      <c r="V63" s="127">
        <v>-13626.52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0.24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5">
      <c r="A64" t="s">
        <v>147</v>
      </c>
      <c r="B64" t="s">
        <v>148</v>
      </c>
      <c r="C64">
        <v>21</v>
      </c>
      <c r="D64" t="s">
        <v>138</v>
      </c>
      <c r="E64" s="14">
        <v>45722</v>
      </c>
      <c r="F64" s="14">
        <v>82757.02</v>
      </c>
      <c r="G64" s="127">
        <v>16161</v>
      </c>
      <c r="H64" s="127">
        <v>29251.41</v>
      </c>
      <c r="I64" s="127">
        <v>-9008</v>
      </c>
      <c r="J64" s="127">
        <v>-16304.48</v>
      </c>
      <c r="K64" s="127">
        <v>0</v>
      </c>
      <c r="L64" s="127">
        <v>0</v>
      </c>
      <c r="M64" s="127">
        <v>0</v>
      </c>
      <c r="N64" s="127">
        <v>0</v>
      </c>
      <c r="O64" s="127">
        <v>-52875</v>
      </c>
      <c r="P64" s="127">
        <v>-95703.95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>
        <v>0</v>
      </c>
      <c r="AL64" s="127">
        <v>0</v>
      </c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5">
      <c r="A65" t="s">
        <v>147</v>
      </c>
      <c r="B65" t="s">
        <v>148</v>
      </c>
      <c r="C65">
        <v>22</v>
      </c>
      <c r="D65" t="s">
        <v>139</v>
      </c>
      <c r="E65" s="14">
        <v>0</v>
      </c>
      <c r="F65" s="14">
        <v>0</v>
      </c>
      <c r="G65" s="127">
        <v>4443</v>
      </c>
      <c r="H65" s="127">
        <v>7944.0839999999998</v>
      </c>
      <c r="I65" s="127">
        <v>66239</v>
      </c>
      <c r="J65" s="127">
        <v>118435.33199999999</v>
      </c>
      <c r="K65" s="127">
        <v>0</v>
      </c>
      <c r="L65" s="127">
        <v>0</v>
      </c>
      <c r="M65" s="127">
        <v>44182</v>
      </c>
      <c r="N65" s="127">
        <v>78997.415999999997</v>
      </c>
      <c r="O65" s="127">
        <v>0</v>
      </c>
      <c r="P65" s="127">
        <v>0</v>
      </c>
      <c r="Q65" s="127">
        <v>8693</v>
      </c>
      <c r="R65" s="127">
        <v>15543.084000000001</v>
      </c>
      <c r="S65" s="127">
        <v>62102</v>
      </c>
      <c r="T65" s="127">
        <v>111038.376</v>
      </c>
      <c r="U65" s="127">
        <v>-41902</v>
      </c>
      <c r="V65" s="127">
        <v>-74920.775999999998</v>
      </c>
      <c r="W65" s="127">
        <v>0</v>
      </c>
      <c r="X65" s="127">
        <v>0</v>
      </c>
      <c r="Y65" s="127">
        <v>-82104</v>
      </c>
      <c r="Z65" s="127">
        <v>-146801.95199999999</v>
      </c>
      <c r="AA65" s="127">
        <v>82129</v>
      </c>
      <c r="AB65" s="127">
        <v>146846.652</v>
      </c>
      <c r="AC65" s="127">
        <v>-183308</v>
      </c>
      <c r="AD65" s="127">
        <v>-327754.70400000003</v>
      </c>
      <c r="AE65" s="127">
        <v>25</v>
      </c>
      <c r="AF65" s="127">
        <v>44.7</v>
      </c>
      <c r="AG65" s="127">
        <v>-25</v>
      </c>
      <c r="AH65" s="127">
        <v>-44.7</v>
      </c>
      <c r="AI65" s="127">
        <v>2459</v>
      </c>
      <c r="AJ65" s="127">
        <v>4396.692</v>
      </c>
      <c r="AK65" s="127">
        <v>-2459</v>
      </c>
      <c r="AL65" s="127">
        <v>-4396.692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5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-27551</v>
      </c>
      <c r="H66" s="127">
        <v>-47998.53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0</v>
      </c>
      <c r="T66" s="127">
        <v>0</v>
      </c>
      <c r="U66" s="127">
        <v>0</v>
      </c>
      <c r="V66" s="127">
        <v>-665.01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>
        <v>0</v>
      </c>
      <c r="AL66" s="127">
        <v>0</v>
      </c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5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24138.22</v>
      </c>
      <c r="G67" s="127">
        <v>886869</v>
      </c>
      <c r="H67" s="127">
        <v>1112504.5</v>
      </c>
      <c r="I67" s="127">
        <v>0</v>
      </c>
      <c r="J67" s="127">
        <v>0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>
        <v>0</v>
      </c>
      <c r="AL67" s="127">
        <v>0</v>
      </c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5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>
        <v>0</v>
      </c>
      <c r="AL68" s="127">
        <v>0</v>
      </c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5">
      <c r="A69" t="s">
        <v>147</v>
      </c>
      <c r="B69" t="s">
        <v>148</v>
      </c>
      <c r="C69">
        <v>26</v>
      </c>
      <c r="D69" t="s">
        <v>141</v>
      </c>
      <c r="E69" s="14">
        <v>372</v>
      </c>
      <c r="F69" s="14">
        <v>7.44</v>
      </c>
      <c r="G69" s="127">
        <v>3926</v>
      </c>
      <c r="H69" s="127">
        <v>-676256.43</v>
      </c>
      <c r="I69" s="127">
        <v>0</v>
      </c>
      <c r="J69" s="127">
        <v>9725</v>
      </c>
      <c r="K69" s="127">
        <v>0</v>
      </c>
      <c r="L69" s="127">
        <v>0</v>
      </c>
      <c r="M69" s="127">
        <v>0</v>
      </c>
      <c r="N69" s="127">
        <v>0</v>
      </c>
      <c r="O69" s="127">
        <v>8693</v>
      </c>
      <c r="P69" s="127">
        <v>0</v>
      </c>
      <c r="Q69" s="127">
        <v>-8693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0</v>
      </c>
      <c r="Z69" s="127">
        <v>0</v>
      </c>
      <c r="AA69" s="127">
        <v>12445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>
        <v>-141</v>
      </c>
      <c r="AJ69" s="127">
        <v>0</v>
      </c>
      <c r="AK69" s="127">
        <v>0</v>
      </c>
      <c r="AL69" s="127">
        <v>0</v>
      </c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5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>
        <v>0</v>
      </c>
      <c r="AJ70" s="127">
        <v>0</v>
      </c>
      <c r="AK70" s="127">
        <v>0</v>
      </c>
      <c r="AL70" s="127">
        <v>0</v>
      </c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5">
      <c r="A71" t="s">
        <v>147</v>
      </c>
      <c r="B71" t="s">
        <v>148</v>
      </c>
      <c r="C71">
        <v>28</v>
      </c>
      <c r="D71" t="s">
        <v>143</v>
      </c>
      <c r="E71" s="14">
        <v>-886869</v>
      </c>
      <c r="F71" s="14">
        <v>-1246212</v>
      </c>
      <c r="G71" s="127">
        <v>-12665248</v>
      </c>
      <c r="H71" s="127">
        <v>-2193760.2999999998</v>
      </c>
      <c r="I71" s="127">
        <v>192646</v>
      </c>
      <c r="J71" s="127">
        <v>-7743.48</v>
      </c>
      <c r="K71" s="127">
        <v>-21296</v>
      </c>
      <c r="L71" s="127">
        <v>-450000.01</v>
      </c>
      <c r="M71" s="127">
        <v>-7196170</v>
      </c>
      <c r="N71" s="127">
        <v>244531.95</v>
      </c>
      <c r="O71" s="127">
        <v>0</v>
      </c>
      <c r="P71" s="127">
        <v>-323.11</v>
      </c>
      <c r="Q71" s="127">
        <v>78267</v>
      </c>
      <c r="R71" s="127">
        <v>139906.70000000001</v>
      </c>
      <c r="S71" s="127">
        <v>-2</v>
      </c>
      <c r="T71" s="127">
        <v>-0.19</v>
      </c>
      <c r="U71" s="127">
        <v>8695</v>
      </c>
      <c r="V71" s="127">
        <v>986510.99</v>
      </c>
      <c r="W71" s="127">
        <v>-9944</v>
      </c>
      <c r="X71" s="127">
        <v>-986635.9</v>
      </c>
      <c r="Y71" s="127">
        <v>0</v>
      </c>
      <c r="Z71" s="127">
        <v>0.01</v>
      </c>
      <c r="AA71" s="127">
        <v>0</v>
      </c>
      <c r="AB71" s="127">
        <v>-0.01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0.01</v>
      </c>
      <c r="AK71" s="127">
        <v>0</v>
      </c>
      <c r="AL71" s="127">
        <v>-0.01</v>
      </c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5">
      <c r="A72" t="s">
        <v>147</v>
      </c>
      <c r="B72" t="s">
        <v>148</v>
      </c>
      <c r="C72">
        <v>29</v>
      </c>
      <c r="D72" t="s">
        <v>144</v>
      </c>
      <c r="E72" s="14">
        <v>886869</v>
      </c>
      <c r="F72" s="14">
        <v>1246212</v>
      </c>
      <c r="G72" s="127">
        <v>18974549</v>
      </c>
      <c r="H72" s="127">
        <v>703016.35</v>
      </c>
      <c r="I72" s="127">
        <v>-6294</v>
      </c>
      <c r="J72" s="127">
        <v>-629.4</v>
      </c>
      <c r="K72" s="127">
        <v>0</v>
      </c>
      <c r="L72" s="127">
        <v>0.01</v>
      </c>
      <c r="M72" s="127">
        <v>0</v>
      </c>
      <c r="N72" s="127">
        <v>-0.01</v>
      </c>
      <c r="O72" s="127">
        <v>0</v>
      </c>
      <c r="P72" s="127">
        <v>0.01</v>
      </c>
      <c r="Q72" s="127">
        <v>8693</v>
      </c>
      <c r="R72" s="127">
        <v>869.29</v>
      </c>
      <c r="S72" s="127">
        <v>0</v>
      </c>
      <c r="T72" s="127">
        <v>0</v>
      </c>
      <c r="U72" s="127">
        <v>-8693</v>
      </c>
      <c r="V72" s="127">
        <v>-986510.8</v>
      </c>
      <c r="W72" s="127">
        <v>9944</v>
      </c>
      <c r="X72" s="127">
        <v>986635.9</v>
      </c>
      <c r="Y72" s="127">
        <v>0</v>
      </c>
      <c r="Z72" s="127">
        <v>0</v>
      </c>
      <c r="AA72" s="127">
        <v>0</v>
      </c>
      <c r="AB72" s="127">
        <v>0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>
        <v>0</v>
      </c>
      <c r="AJ72" s="127">
        <v>0</v>
      </c>
      <c r="AK72" s="127">
        <v>0</v>
      </c>
      <c r="AL72" s="127">
        <v>0</v>
      </c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5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>
        <v>0</v>
      </c>
      <c r="AJ73" s="127">
        <v>0</v>
      </c>
      <c r="AK73" s="127">
        <v>0</v>
      </c>
      <c r="AL73" s="127">
        <v>0</v>
      </c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5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>
        <v>0</v>
      </c>
      <c r="AJ74" s="127">
        <v>0</v>
      </c>
      <c r="AK74" s="127">
        <v>0</v>
      </c>
      <c r="AL74" s="127">
        <v>0</v>
      </c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5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>
        <v>0</v>
      </c>
      <c r="AL75" s="127">
        <v>0</v>
      </c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5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>
        <v>0</v>
      </c>
      <c r="AJ76" s="127">
        <v>0</v>
      </c>
      <c r="AK76" s="127">
        <v>0</v>
      </c>
      <c r="AL76" s="127">
        <v>0</v>
      </c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5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>
        <v>0</v>
      </c>
      <c r="AJ77" s="127">
        <v>0</v>
      </c>
      <c r="AK77" s="127">
        <v>0</v>
      </c>
      <c r="AL77" s="127">
        <v>0</v>
      </c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5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>
        <v>0</v>
      </c>
      <c r="AJ78" s="127">
        <v>0</v>
      </c>
      <c r="AK78" s="127">
        <v>0</v>
      </c>
      <c r="AL78" s="127">
        <v>0</v>
      </c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5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>
        <v>0</v>
      </c>
      <c r="AJ79" s="127">
        <v>0</v>
      </c>
      <c r="AK79" s="127">
        <v>0</v>
      </c>
      <c r="AL79" s="127">
        <v>0</v>
      </c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5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>
        <v>0</v>
      </c>
      <c r="AJ80" s="127">
        <v>0</v>
      </c>
      <c r="AK80" s="127">
        <v>0</v>
      </c>
      <c r="AL80" s="127">
        <v>0</v>
      </c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5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>
        <v>0</v>
      </c>
      <c r="AJ81" s="127">
        <v>0</v>
      </c>
      <c r="AK81" s="127">
        <v>0</v>
      </c>
      <c r="AL81" s="127">
        <v>0</v>
      </c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5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>
        <v>0</v>
      </c>
      <c r="AJ82" s="127">
        <v>0</v>
      </c>
      <c r="AK82" s="127">
        <v>0</v>
      </c>
      <c r="AL82" s="127">
        <v>0</v>
      </c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5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>
        <v>0</v>
      </c>
      <c r="AJ83" s="127">
        <v>0</v>
      </c>
      <c r="AK83" s="127">
        <v>0</v>
      </c>
      <c r="AL83" s="127">
        <v>0</v>
      </c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5">
      <c r="A84" t="s">
        <v>149</v>
      </c>
      <c r="B84" t="s">
        <v>123</v>
      </c>
      <c r="C84">
        <v>1</v>
      </c>
      <c r="D84" t="s">
        <v>29</v>
      </c>
      <c r="E84" s="14">
        <v>6005598</v>
      </c>
      <c r="F84" s="14">
        <v>7404225.5999999996</v>
      </c>
      <c r="G84" s="127">
        <v>800</v>
      </c>
      <c r="H84" s="127">
        <v>3660507.48</v>
      </c>
      <c r="I84" s="127">
        <v>-4</v>
      </c>
      <c r="J84" s="127">
        <v>51370.8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0</v>
      </c>
      <c r="U84" s="127">
        <v>0</v>
      </c>
      <c r="V84" s="127">
        <v>-3711877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</v>
      </c>
      <c r="AJ84" s="127">
        <v>0</v>
      </c>
      <c r="AK84" s="127">
        <v>0</v>
      </c>
      <c r="AL84" s="127">
        <v>0</v>
      </c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5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7">
        <v>0</v>
      </c>
      <c r="AK85" s="127">
        <v>0</v>
      </c>
      <c r="AL85" s="127">
        <v>0</v>
      </c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5">
      <c r="A86" t="s">
        <v>149</v>
      </c>
      <c r="B86" t="s">
        <v>123</v>
      </c>
      <c r="C86">
        <v>3</v>
      </c>
      <c r="D86" t="s">
        <v>31</v>
      </c>
      <c r="E86" s="14">
        <v>11044800</v>
      </c>
      <c r="F86" s="14">
        <v>22182900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7">
        <v>0</v>
      </c>
      <c r="AK86" s="127">
        <v>0</v>
      </c>
      <c r="AL86" s="127">
        <v>0</v>
      </c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5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>
        <v>0</v>
      </c>
      <c r="AJ87" s="127">
        <v>0</v>
      </c>
      <c r="AK87" s="127">
        <v>0</v>
      </c>
      <c r="AL87" s="127">
        <v>0</v>
      </c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5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>
        <v>0</v>
      </c>
      <c r="AJ88" s="127">
        <v>0</v>
      </c>
      <c r="AK88" s="127">
        <v>0</v>
      </c>
      <c r="AL88" s="127">
        <v>0</v>
      </c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5">
      <c r="A89" t="s">
        <v>149</v>
      </c>
      <c r="B89" t="s">
        <v>123</v>
      </c>
      <c r="C89">
        <v>6</v>
      </c>
      <c r="D89" t="s">
        <v>29</v>
      </c>
      <c r="E89" s="14">
        <v>-3229965</v>
      </c>
      <c r="F89" s="14">
        <v>-3102620.81</v>
      </c>
      <c r="G89" s="127">
        <v>0</v>
      </c>
      <c r="H89" s="127">
        <v>1300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>
        <v>0</v>
      </c>
      <c r="AL89" s="127">
        <v>0</v>
      </c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5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>
        <v>0</v>
      </c>
      <c r="AJ90" s="127">
        <v>0</v>
      </c>
      <c r="AK90" s="127">
        <v>0</v>
      </c>
      <c r="AL90" s="127">
        <v>0</v>
      </c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5">
      <c r="A91" t="s">
        <v>149</v>
      </c>
      <c r="B91" t="s">
        <v>123</v>
      </c>
      <c r="C91">
        <v>8</v>
      </c>
      <c r="D91" t="s">
        <v>31</v>
      </c>
      <c r="E91" s="14">
        <v>-13070778</v>
      </c>
      <c r="F91" s="14">
        <v>-25823734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>
        <v>0</v>
      </c>
      <c r="AJ91" s="127">
        <v>0</v>
      </c>
      <c r="AK91" s="127">
        <v>0</v>
      </c>
      <c r="AL91" s="127">
        <v>0</v>
      </c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5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>
        <v>0</v>
      </c>
      <c r="AJ92" s="127">
        <v>0</v>
      </c>
      <c r="AK92" s="127">
        <v>0</v>
      </c>
      <c r="AL92" s="127">
        <v>0</v>
      </c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5">
      <c r="A93" t="s">
        <v>149</v>
      </c>
      <c r="B93" t="s">
        <v>123</v>
      </c>
      <c r="C93">
        <v>10</v>
      </c>
      <c r="D93" t="s">
        <v>36</v>
      </c>
      <c r="E93" s="14">
        <v>2</v>
      </c>
      <c r="F93" s="14">
        <v>3.58</v>
      </c>
      <c r="G93" s="127">
        <v>-2</v>
      </c>
      <c r="H93" s="127">
        <v>-3.5760000000000001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>
        <v>0</v>
      </c>
      <c r="AJ93" s="127">
        <v>0</v>
      </c>
      <c r="AK93" s="127">
        <v>0</v>
      </c>
      <c r="AL93" s="127">
        <v>0</v>
      </c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5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>
        <v>0</v>
      </c>
      <c r="AJ94" s="127">
        <v>0</v>
      </c>
      <c r="AK94" s="127">
        <v>0</v>
      </c>
      <c r="AL94" s="127">
        <v>0</v>
      </c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5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>
        <v>0</v>
      </c>
      <c r="AJ95" s="127">
        <v>0</v>
      </c>
      <c r="AK95" s="127">
        <v>0</v>
      </c>
      <c r="AL95" s="127">
        <v>0</v>
      </c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5">
      <c r="A96" t="s">
        <v>149</v>
      </c>
      <c r="B96" t="s">
        <v>123</v>
      </c>
      <c r="C96">
        <v>13</v>
      </c>
      <c r="D96" t="s">
        <v>43</v>
      </c>
      <c r="E96" s="14">
        <v>-2</v>
      </c>
      <c r="F96" s="14">
        <v>-3.58</v>
      </c>
      <c r="G96" s="127">
        <v>2</v>
      </c>
      <c r="H96" s="127">
        <v>3.58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>
        <v>0</v>
      </c>
      <c r="AJ96" s="127">
        <v>0</v>
      </c>
      <c r="AK96" s="127">
        <v>0</v>
      </c>
      <c r="AL96" s="127">
        <v>0</v>
      </c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5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>
        <v>0</v>
      </c>
      <c r="AJ97" s="127">
        <v>0</v>
      </c>
      <c r="AK97" s="127">
        <v>0</v>
      </c>
      <c r="AL97" s="127">
        <v>0</v>
      </c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5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>
        <v>0</v>
      </c>
      <c r="AJ98" s="127">
        <v>0</v>
      </c>
      <c r="AK98" s="127">
        <v>0</v>
      </c>
      <c r="AL98" s="127">
        <v>0</v>
      </c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5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>
        <v>0</v>
      </c>
      <c r="AJ99" s="127">
        <v>0</v>
      </c>
      <c r="AK99" s="127">
        <v>0</v>
      </c>
      <c r="AL99" s="127">
        <v>0</v>
      </c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5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>
        <v>0</v>
      </c>
      <c r="AJ100" s="127">
        <v>0</v>
      </c>
      <c r="AK100" s="127">
        <v>0</v>
      </c>
      <c r="AL100" s="127">
        <v>0</v>
      </c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5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0</v>
      </c>
      <c r="T101" s="127">
        <v>0</v>
      </c>
      <c r="U101" s="127">
        <v>-1070106</v>
      </c>
      <c r="V101" s="127">
        <v>-0.04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>
        <v>0</v>
      </c>
      <c r="AJ101" s="127">
        <v>0</v>
      </c>
      <c r="AK101" s="127">
        <v>0</v>
      </c>
      <c r="AL101" s="127">
        <v>0</v>
      </c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5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>
        <v>0</v>
      </c>
      <c r="AJ102" s="127">
        <v>0</v>
      </c>
      <c r="AK102" s="127">
        <v>0</v>
      </c>
      <c r="AL102" s="127">
        <v>0</v>
      </c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5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>
        <v>0</v>
      </c>
      <c r="AJ103" s="127">
        <v>0</v>
      </c>
      <c r="AK103" s="127">
        <v>0</v>
      </c>
      <c r="AL103" s="127">
        <v>0</v>
      </c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5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>
        <v>0</v>
      </c>
      <c r="AJ104" s="127">
        <v>0</v>
      </c>
      <c r="AK104" s="127">
        <v>0</v>
      </c>
      <c r="AL104" s="127">
        <v>0</v>
      </c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5">
      <c r="A105" t="s">
        <v>149</v>
      </c>
      <c r="B105" t="s">
        <v>123</v>
      </c>
      <c r="C105">
        <v>22</v>
      </c>
      <c r="D105" t="s">
        <v>139</v>
      </c>
      <c r="E105" s="14">
        <v>-749655</v>
      </c>
      <c r="F105" s="14">
        <v>-1340383.1399999999</v>
      </c>
      <c r="G105" s="127">
        <v>-800</v>
      </c>
      <c r="H105" s="127">
        <v>-1430.4000000003725</v>
      </c>
      <c r="I105" s="127">
        <v>4</v>
      </c>
      <c r="J105" s="127">
        <v>-3622441.5080000004</v>
      </c>
      <c r="K105" s="127">
        <v>0</v>
      </c>
      <c r="L105" s="127">
        <v>3622052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0</v>
      </c>
      <c r="T105" s="127">
        <v>0</v>
      </c>
      <c r="U105" s="127">
        <v>1070106</v>
      </c>
      <c r="V105" s="127">
        <v>1913349.5279999999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>
        <v>0</v>
      </c>
      <c r="AJ105" s="127">
        <v>0</v>
      </c>
      <c r="AK105" s="127">
        <v>0</v>
      </c>
      <c r="AL105" s="127">
        <v>0</v>
      </c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5">
      <c r="A106" t="s">
        <v>149</v>
      </c>
      <c r="B106" t="s">
        <v>123</v>
      </c>
      <c r="C106">
        <v>23</v>
      </c>
      <c r="D106" t="s">
        <v>140</v>
      </c>
      <c r="E106" s="14">
        <v>-2</v>
      </c>
      <c r="F106" s="14">
        <v>-3.58</v>
      </c>
      <c r="G106" s="127">
        <v>2</v>
      </c>
      <c r="H106" s="127">
        <v>3.5760000000000001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0</v>
      </c>
      <c r="T106" s="127">
        <v>0</v>
      </c>
      <c r="U106" s="127">
        <v>303879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>
        <v>0</v>
      </c>
      <c r="AJ106" s="127">
        <v>0</v>
      </c>
      <c r="AK106" s="127">
        <v>0</v>
      </c>
      <c r="AL106" s="127">
        <v>0</v>
      </c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5">
      <c r="A107" t="s">
        <v>149</v>
      </c>
      <c r="B107" t="s">
        <v>123</v>
      </c>
      <c r="C107">
        <v>24</v>
      </c>
      <c r="D107" t="s">
        <v>59</v>
      </c>
      <c r="E107" s="14">
        <v>-39504</v>
      </c>
      <c r="F107" s="14">
        <v>-583.05999999999995</v>
      </c>
      <c r="G107" s="127">
        <v>0</v>
      </c>
      <c r="H107" s="127">
        <v>-2.27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>
        <v>0</v>
      </c>
      <c r="AJ107" s="127">
        <v>0</v>
      </c>
      <c r="AK107" s="127">
        <v>0</v>
      </c>
      <c r="AL107" s="127">
        <v>0</v>
      </c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5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-5497.16</v>
      </c>
      <c r="G108" s="127">
        <v>0</v>
      </c>
      <c r="H108" s="127">
        <v>-0.51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>
        <v>0</v>
      </c>
      <c r="AJ108" s="127">
        <v>0</v>
      </c>
      <c r="AK108" s="127">
        <v>0</v>
      </c>
      <c r="AL108" s="127">
        <v>0</v>
      </c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5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>
        <v>0</v>
      </c>
      <c r="AJ109" s="127">
        <v>0</v>
      </c>
      <c r="AK109" s="127">
        <v>0</v>
      </c>
      <c r="AL109" s="127">
        <v>0</v>
      </c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5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>
        <v>0</v>
      </c>
      <c r="AJ110" s="127">
        <v>0</v>
      </c>
      <c r="AK110" s="127">
        <v>0</v>
      </c>
      <c r="AL110" s="127">
        <v>0</v>
      </c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5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>
        <v>0</v>
      </c>
      <c r="AJ111" s="127">
        <v>0</v>
      </c>
      <c r="AK111" s="127">
        <v>0</v>
      </c>
      <c r="AL111" s="127">
        <v>0</v>
      </c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5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>
        <v>0</v>
      </c>
      <c r="AJ112" s="127">
        <v>0</v>
      </c>
      <c r="AK112" s="127">
        <v>0</v>
      </c>
      <c r="AL112" s="127">
        <v>0</v>
      </c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5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>
        <v>0</v>
      </c>
      <c r="AJ113" s="127">
        <v>0</v>
      </c>
      <c r="AK113" s="127">
        <v>0</v>
      </c>
      <c r="AL113" s="127">
        <v>0</v>
      </c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5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>
        <v>0</v>
      </c>
      <c r="AJ114" s="127">
        <v>0</v>
      </c>
      <c r="AK114" s="127">
        <v>0</v>
      </c>
      <c r="AL114" s="127">
        <v>0</v>
      </c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5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>
        <v>0</v>
      </c>
      <c r="AJ115" s="127">
        <v>0</v>
      </c>
      <c r="AK115" s="127">
        <v>0</v>
      </c>
      <c r="AL115" s="127">
        <v>0</v>
      </c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5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>
        <v>0</v>
      </c>
      <c r="AJ116" s="127">
        <v>0</v>
      </c>
      <c r="AK116" s="127">
        <v>0</v>
      </c>
      <c r="AL116" s="127">
        <v>0</v>
      </c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5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>
        <v>0</v>
      </c>
      <c r="AJ117" s="127">
        <v>0</v>
      </c>
      <c r="AK117" s="127">
        <v>0</v>
      </c>
      <c r="AL117" s="127">
        <v>0</v>
      </c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5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>
        <v>0</v>
      </c>
      <c r="AJ118" s="127">
        <v>0</v>
      </c>
      <c r="AK118" s="127">
        <v>0</v>
      </c>
      <c r="AL118" s="127">
        <v>0</v>
      </c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5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>
        <v>0</v>
      </c>
      <c r="AJ119" s="127">
        <v>0</v>
      </c>
      <c r="AK119" s="127">
        <v>0</v>
      </c>
      <c r="AL119" s="127">
        <v>0</v>
      </c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5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>
        <v>0</v>
      </c>
      <c r="AJ120" s="127">
        <v>0</v>
      </c>
      <c r="AK120" s="127">
        <v>0</v>
      </c>
      <c r="AL120" s="127">
        <v>0</v>
      </c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5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>
        <v>0</v>
      </c>
      <c r="AJ121" s="127">
        <v>0</v>
      </c>
      <c r="AK121" s="127">
        <v>0</v>
      </c>
      <c r="AL121" s="127">
        <v>0</v>
      </c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5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>
        <v>0</v>
      </c>
      <c r="AJ122" s="127">
        <v>0</v>
      </c>
      <c r="AK122" s="127">
        <v>0</v>
      </c>
      <c r="AL122" s="127">
        <v>0</v>
      </c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5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>
        <v>0</v>
      </c>
      <c r="AL123" s="127">
        <v>0</v>
      </c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5">
      <c r="A124" t="s">
        <v>149</v>
      </c>
      <c r="B124" t="s">
        <v>150</v>
      </c>
      <c r="C124">
        <v>1</v>
      </c>
      <c r="D124" t="s">
        <v>29</v>
      </c>
      <c r="E124" s="14">
        <v>45157332</v>
      </c>
      <c r="F124" s="14">
        <v>97335211.689999998</v>
      </c>
      <c r="G124" s="127">
        <v>-432877</v>
      </c>
      <c r="H124" s="127">
        <v>-3800107.47</v>
      </c>
      <c r="I124" s="127">
        <v>-50161</v>
      </c>
      <c r="J124" s="127">
        <v>377218.18</v>
      </c>
      <c r="K124" s="127">
        <v>0</v>
      </c>
      <c r="L124" s="127">
        <v>160829.51</v>
      </c>
      <c r="M124" s="127">
        <v>3556</v>
      </c>
      <c r="N124" s="127">
        <v>6079.34</v>
      </c>
      <c r="O124" s="127">
        <v>6566</v>
      </c>
      <c r="P124" s="127">
        <v>5210.7</v>
      </c>
      <c r="Q124" s="127">
        <v>0</v>
      </c>
      <c r="R124" s="127">
        <v>-19014.04</v>
      </c>
      <c r="S124" s="127">
        <v>0</v>
      </c>
      <c r="T124" s="127">
        <v>0</v>
      </c>
      <c r="U124" s="127">
        <v>-2569</v>
      </c>
      <c r="V124" s="127">
        <v>-24475.3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>
        <v>0</v>
      </c>
      <c r="AJ124" s="127">
        <v>0</v>
      </c>
      <c r="AK124" s="127">
        <v>0</v>
      </c>
      <c r="AL124" s="127">
        <v>0</v>
      </c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5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>
        <v>0</v>
      </c>
      <c r="AJ125" s="127">
        <v>0</v>
      </c>
      <c r="AK125" s="127">
        <v>0</v>
      </c>
      <c r="AL125" s="127">
        <v>0</v>
      </c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5">
      <c r="A126" t="s">
        <v>149</v>
      </c>
      <c r="B126" t="s">
        <v>150</v>
      </c>
      <c r="C126">
        <v>3</v>
      </c>
      <c r="D126" t="s">
        <v>31</v>
      </c>
      <c r="E126" s="14">
        <v>14314155</v>
      </c>
      <c r="F126" s="14">
        <v>25175609</v>
      </c>
      <c r="G126" s="127">
        <v>0</v>
      </c>
      <c r="H126" s="127">
        <v>0</v>
      </c>
      <c r="I126" s="127">
        <v>0</v>
      </c>
      <c r="J126" s="127">
        <v>0</v>
      </c>
      <c r="K126" s="127">
        <v>0</v>
      </c>
      <c r="L126" s="127">
        <v>-691</v>
      </c>
      <c r="M126" s="127">
        <v>0</v>
      </c>
      <c r="N126" s="127">
        <v>0</v>
      </c>
      <c r="O126" s="127">
        <v>0</v>
      </c>
      <c r="P126" s="127">
        <v>0</v>
      </c>
      <c r="Q126" s="127">
        <v>0</v>
      </c>
      <c r="R126" s="127">
        <v>0</v>
      </c>
      <c r="S126" s="127">
        <v>0</v>
      </c>
      <c r="T126" s="127">
        <v>0</v>
      </c>
      <c r="U126" s="127">
        <v>29317</v>
      </c>
      <c r="V126" s="127">
        <v>46020</v>
      </c>
      <c r="W126" s="127">
        <v>29317</v>
      </c>
      <c r="X126" s="127">
        <v>46020</v>
      </c>
      <c r="Y126" s="127">
        <v>-58634</v>
      </c>
      <c r="Z126" s="127">
        <v>-91349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>
        <v>0</v>
      </c>
      <c r="AL126" s="127">
        <v>0</v>
      </c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5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>
        <v>0</v>
      </c>
      <c r="AJ127" s="127">
        <v>0</v>
      </c>
      <c r="AK127" s="127">
        <v>0</v>
      </c>
      <c r="AL127" s="127">
        <v>0</v>
      </c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5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>
        <v>0</v>
      </c>
      <c r="AJ128" s="127">
        <v>0</v>
      </c>
      <c r="AK128" s="127">
        <v>0</v>
      </c>
      <c r="AL128" s="127">
        <v>0</v>
      </c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5">
      <c r="A129" t="s">
        <v>149</v>
      </c>
      <c r="B129" t="s">
        <v>150</v>
      </c>
      <c r="C129">
        <v>6</v>
      </c>
      <c r="D129" t="s">
        <v>29</v>
      </c>
      <c r="E129" s="14">
        <v>-44853740</v>
      </c>
      <c r="F129" s="14">
        <v>-80251341.129999995</v>
      </c>
      <c r="G129" s="127">
        <v>-139644</v>
      </c>
      <c r="H129" s="127">
        <v>196843.36</v>
      </c>
      <c r="I129" s="127">
        <v>-1668</v>
      </c>
      <c r="J129" s="127">
        <v>-755772.76</v>
      </c>
      <c r="K129" s="127">
        <v>0</v>
      </c>
      <c r="L129" s="127">
        <v>-271578.99</v>
      </c>
      <c r="M129" s="127">
        <v>0</v>
      </c>
      <c r="N129" s="127">
        <v>-6139.76</v>
      </c>
      <c r="O129" s="127">
        <v>950</v>
      </c>
      <c r="P129" s="127">
        <v>-25564.13</v>
      </c>
      <c r="Q129" s="127">
        <v>0</v>
      </c>
      <c r="R129" s="127">
        <v>8369.86</v>
      </c>
      <c r="S129" s="127">
        <v>-4734</v>
      </c>
      <c r="T129" s="127">
        <v>-8284.5</v>
      </c>
      <c r="U129" s="127">
        <v>14287</v>
      </c>
      <c r="V129" s="127">
        <v>27310.75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>
        <v>0</v>
      </c>
      <c r="AL129" s="127">
        <v>0</v>
      </c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5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>
        <v>0</v>
      </c>
      <c r="AJ130" s="127">
        <v>0</v>
      </c>
      <c r="AK130" s="127">
        <v>0</v>
      </c>
      <c r="AL130" s="127">
        <v>0</v>
      </c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5">
      <c r="A131" t="s">
        <v>149</v>
      </c>
      <c r="B131" t="s">
        <v>150</v>
      </c>
      <c r="C131">
        <v>8</v>
      </c>
      <c r="D131" t="s">
        <v>31</v>
      </c>
      <c r="E131" s="14">
        <v>-15162621</v>
      </c>
      <c r="F131" s="14">
        <v>-26636734</v>
      </c>
      <c r="G131" s="127">
        <v>0</v>
      </c>
      <c r="H131" s="127">
        <v>0</v>
      </c>
      <c r="I131" s="127">
        <v>20000</v>
      </c>
      <c r="J131" s="127">
        <v>35523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5000</v>
      </c>
      <c r="R131" s="127">
        <v>8650</v>
      </c>
      <c r="S131" s="127">
        <v>0</v>
      </c>
      <c r="T131" s="127">
        <v>0</v>
      </c>
      <c r="U131" s="127">
        <v>-29317</v>
      </c>
      <c r="V131" s="127">
        <v>-46020</v>
      </c>
      <c r="W131" s="127">
        <v>-29317</v>
      </c>
      <c r="X131" s="127">
        <v>-46020</v>
      </c>
      <c r="Y131" s="127">
        <v>33634</v>
      </c>
      <c r="Z131" s="127">
        <v>47867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>
        <v>0</v>
      </c>
      <c r="AJ131" s="127">
        <v>0</v>
      </c>
      <c r="AK131" s="127">
        <v>0</v>
      </c>
      <c r="AL131" s="127">
        <v>0</v>
      </c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5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>
        <v>0</v>
      </c>
      <c r="AJ132" s="127">
        <v>0</v>
      </c>
      <c r="AK132" s="127">
        <v>0</v>
      </c>
      <c r="AL132" s="127">
        <v>0</v>
      </c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5">
      <c r="A133" t="s">
        <v>149</v>
      </c>
      <c r="B133" t="s">
        <v>150</v>
      </c>
      <c r="C133">
        <v>10</v>
      </c>
      <c r="D133" t="s">
        <v>36</v>
      </c>
      <c r="E133" s="14">
        <v>337997</v>
      </c>
      <c r="F133" s="14">
        <v>606704.62</v>
      </c>
      <c r="G133" s="127">
        <v>1698</v>
      </c>
      <c r="H133" s="127">
        <v>3047.91</v>
      </c>
      <c r="I133" s="127">
        <v>3704</v>
      </c>
      <c r="J133" s="127">
        <v>6648.68</v>
      </c>
      <c r="K133" s="127">
        <v>0</v>
      </c>
      <c r="L133" s="127">
        <v>0</v>
      </c>
      <c r="M133" s="127">
        <v>0</v>
      </c>
      <c r="N133" s="127">
        <v>0</v>
      </c>
      <c r="O133" s="127">
        <v>-19</v>
      </c>
      <c r="P133" s="127">
        <v>-34.104999999999997</v>
      </c>
      <c r="Q133" s="127">
        <v>0</v>
      </c>
      <c r="R133" s="127">
        <v>0</v>
      </c>
      <c r="S133" s="127">
        <v>-139381</v>
      </c>
      <c r="T133" s="127">
        <v>-250188.89499999999</v>
      </c>
      <c r="U133" s="127">
        <v>8652</v>
      </c>
      <c r="V133" s="127">
        <v>15530.34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>
        <v>0</v>
      </c>
      <c r="AJ133" s="127">
        <v>0</v>
      </c>
      <c r="AK133" s="127">
        <v>0</v>
      </c>
      <c r="AL133" s="127">
        <v>0</v>
      </c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5">
      <c r="A134" t="s">
        <v>149</v>
      </c>
      <c r="B134" t="s">
        <v>150</v>
      </c>
      <c r="C134">
        <v>11</v>
      </c>
      <c r="D134" t="s">
        <v>39</v>
      </c>
      <c r="E134" s="14">
        <v>337409</v>
      </c>
      <c r="F134" s="14">
        <v>598943.06999999995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>
        <v>0</v>
      </c>
      <c r="AJ134" s="127">
        <v>0</v>
      </c>
      <c r="AK134" s="127">
        <v>0</v>
      </c>
      <c r="AL134" s="127">
        <v>0</v>
      </c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5">
      <c r="A135" t="s">
        <v>149</v>
      </c>
      <c r="B135" t="s">
        <v>150</v>
      </c>
      <c r="C135">
        <v>12</v>
      </c>
      <c r="D135" t="s">
        <v>40</v>
      </c>
      <c r="E135" s="14">
        <v>-613076</v>
      </c>
      <c r="F135" s="14">
        <v>-1110780.1499999999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>
        <v>0</v>
      </c>
      <c r="AJ135" s="127">
        <v>0</v>
      </c>
      <c r="AK135" s="127">
        <v>0</v>
      </c>
      <c r="AL135" s="127">
        <v>0</v>
      </c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5">
      <c r="A136" t="s">
        <v>149</v>
      </c>
      <c r="B136" t="s">
        <v>150</v>
      </c>
      <c r="C136">
        <v>13</v>
      </c>
      <c r="D136" t="s">
        <v>43</v>
      </c>
      <c r="E136" s="14">
        <v>-119042</v>
      </c>
      <c r="F136" s="14">
        <v>-213680.39</v>
      </c>
      <c r="G136" s="127">
        <v>117607</v>
      </c>
      <c r="H136" s="127">
        <v>211381.52</v>
      </c>
      <c r="I136" s="127">
        <v>0</v>
      </c>
      <c r="J136" s="127">
        <v>-265.47500000000002</v>
      </c>
      <c r="K136" s="127">
        <v>-8032</v>
      </c>
      <c r="L136" s="127">
        <v>-18887.877</v>
      </c>
      <c r="M136" s="127">
        <v>-375</v>
      </c>
      <c r="N136" s="127">
        <v>175.78639999999999</v>
      </c>
      <c r="O136" s="127">
        <v>-957</v>
      </c>
      <c r="P136" s="127">
        <v>-2762.1383999999998</v>
      </c>
      <c r="Q136" s="127">
        <v>0</v>
      </c>
      <c r="R136" s="127">
        <v>-11954.493</v>
      </c>
      <c r="S136" s="127">
        <v>0</v>
      </c>
      <c r="T136" s="127">
        <v>8293.2009999999991</v>
      </c>
      <c r="U136" s="127">
        <v>0</v>
      </c>
      <c r="V136" s="127">
        <v>8314.8610000000008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>
        <v>0</v>
      </c>
      <c r="AJ136" s="127">
        <v>0</v>
      </c>
      <c r="AK136" s="127">
        <v>0</v>
      </c>
      <c r="AL136" s="127">
        <v>0</v>
      </c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5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-4930</v>
      </c>
      <c r="H137" s="127">
        <v>-8354.4</v>
      </c>
      <c r="I137" s="127">
        <v>-258</v>
      </c>
      <c r="J137" s="127">
        <v>-434.78</v>
      </c>
      <c r="K137" s="127">
        <v>0</v>
      </c>
      <c r="L137" s="127">
        <v>0</v>
      </c>
      <c r="M137" s="127">
        <v>0</v>
      </c>
      <c r="N137" s="127">
        <v>0</v>
      </c>
      <c r="O137" s="127">
        <v>0</v>
      </c>
      <c r="P137" s="127">
        <v>0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>
        <v>0</v>
      </c>
      <c r="AJ137" s="127">
        <v>0</v>
      </c>
      <c r="AK137" s="127">
        <v>0</v>
      </c>
      <c r="AL137" s="127">
        <v>0</v>
      </c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5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27355</v>
      </c>
      <c r="H138" s="127">
        <v>19664.3</v>
      </c>
      <c r="I138" s="127">
        <v>458</v>
      </c>
      <c r="J138" s="127">
        <v>796.01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27">
        <v>0</v>
      </c>
      <c r="R138" s="127">
        <v>0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>
        <v>0</v>
      </c>
      <c r="AL138" s="127">
        <v>0</v>
      </c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5">
      <c r="A139" t="s">
        <v>149</v>
      </c>
      <c r="B139" t="s">
        <v>150</v>
      </c>
      <c r="C139">
        <v>16</v>
      </c>
      <c r="D139" t="s">
        <v>46</v>
      </c>
      <c r="E139" s="14">
        <v>423849</v>
      </c>
      <c r="F139" s="14">
        <v>-0.01</v>
      </c>
      <c r="G139" s="127">
        <v>-60</v>
      </c>
      <c r="H139" s="127">
        <v>0</v>
      </c>
      <c r="I139" s="127">
        <v>1</v>
      </c>
      <c r="J139" s="127">
        <v>0</v>
      </c>
      <c r="K139" s="127">
        <v>0</v>
      </c>
      <c r="L139" s="127">
        <v>0</v>
      </c>
      <c r="M139" s="127">
        <v>0</v>
      </c>
      <c r="N139" s="127">
        <v>0</v>
      </c>
      <c r="O139" s="127">
        <v>0</v>
      </c>
      <c r="P139" s="127">
        <v>707028.12</v>
      </c>
      <c r="Q139" s="127">
        <v>0</v>
      </c>
      <c r="R139" s="127">
        <v>0</v>
      </c>
      <c r="S139" s="127">
        <v>0</v>
      </c>
      <c r="T139" s="127">
        <v>0</v>
      </c>
      <c r="U139" s="127">
        <v>-8652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>
        <v>0</v>
      </c>
      <c r="AJ139" s="127">
        <v>0</v>
      </c>
      <c r="AK139" s="127">
        <v>0</v>
      </c>
      <c r="AL139" s="127">
        <v>0</v>
      </c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5">
      <c r="A140" t="s">
        <v>149</v>
      </c>
      <c r="B140" t="s">
        <v>150</v>
      </c>
      <c r="C140">
        <v>17</v>
      </c>
      <c r="D140" t="s">
        <v>135</v>
      </c>
      <c r="E140" s="14">
        <v>90645</v>
      </c>
      <c r="F140" s="14">
        <v>162707.78</v>
      </c>
      <c r="G140" s="127">
        <v>-3421</v>
      </c>
      <c r="H140" s="127">
        <v>-6140.69</v>
      </c>
      <c r="I140" s="127">
        <v>0</v>
      </c>
      <c r="J140" s="127">
        <v>0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0</v>
      </c>
      <c r="AI140" s="127">
        <v>0</v>
      </c>
      <c r="AJ140" s="127">
        <v>0</v>
      </c>
      <c r="AK140" s="127">
        <v>0</v>
      </c>
      <c r="AL140" s="127">
        <v>0</v>
      </c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5">
      <c r="A141" t="s">
        <v>149</v>
      </c>
      <c r="B141" t="s">
        <v>150</v>
      </c>
      <c r="C141">
        <v>18</v>
      </c>
      <c r="D141" t="s">
        <v>136</v>
      </c>
      <c r="E141" s="14">
        <v>0</v>
      </c>
      <c r="F141" s="14">
        <v>0</v>
      </c>
      <c r="G141" s="127">
        <v>-100108</v>
      </c>
      <c r="H141" s="127">
        <v>-0.01</v>
      </c>
      <c r="I141" s="127">
        <v>0</v>
      </c>
      <c r="J141" s="127">
        <v>0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0</v>
      </c>
      <c r="R141" s="127">
        <v>0</v>
      </c>
      <c r="S141" s="127">
        <v>139619</v>
      </c>
      <c r="T141" s="127">
        <v>0.01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0</v>
      </c>
      <c r="AH141" s="127">
        <v>0</v>
      </c>
      <c r="AI141" s="127">
        <v>4035</v>
      </c>
      <c r="AJ141" s="127">
        <v>-771039.17</v>
      </c>
      <c r="AK141" s="127">
        <v>0</v>
      </c>
      <c r="AL141" s="127">
        <v>0</v>
      </c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5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>
        <v>0</v>
      </c>
      <c r="AJ142" s="127">
        <v>0</v>
      </c>
      <c r="AK142" s="127">
        <v>0</v>
      </c>
      <c r="AL142" s="127">
        <v>0</v>
      </c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5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>
        <v>0</v>
      </c>
      <c r="AJ143" s="127">
        <v>0</v>
      </c>
      <c r="AK143" s="127">
        <v>0</v>
      </c>
      <c r="AL143" s="127">
        <v>0</v>
      </c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5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>
        <v>0</v>
      </c>
      <c r="AJ144" s="127">
        <v>0</v>
      </c>
      <c r="AK144" s="127">
        <v>0</v>
      </c>
      <c r="AL144" s="127">
        <v>0</v>
      </c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5">
      <c r="A145" t="s">
        <v>149</v>
      </c>
      <c r="B145" t="s">
        <v>150</v>
      </c>
      <c r="C145">
        <v>22</v>
      </c>
      <c r="D145" t="s">
        <v>139</v>
      </c>
      <c r="E145" s="14">
        <v>185092</v>
      </c>
      <c r="F145" s="14">
        <v>332240.14</v>
      </c>
      <c r="G145" s="127">
        <v>534380</v>
      </c>
      <c r="H145" s="127">
        <v>959212.1</v>
      </c>
      <c r="I145" s="127">
        <v>27924</v>
      </c>
      <c r="J145" s="127">
        <v>-1472872.89</v>
      </c>
      <c r="K145" s="127">
        <v>8032</v>
      </c>
      <c r="L145" s="127">
        <v>1537016.44</v>
      </c>
      <c r="M145" s="127">
        <v>-3181</v>
      </c>
      <c r="N145" s="127">
        <v>-5709.8950000000004</v>
      </c>
      <c r="O145" s="127">
        <v>-6540</v>
      </c>
      <c r="P145" s="127">
        <v>-11739.3</v>
      </c>
      <c r="Q145" s="127">
        <v>-5000</v>
      </c>
      <c r="R145" s="127">
        <v>-8975</v>
      </c>
      <c r="S145" s="127">
        <v>4496</v>
      </c>
      <c r="T145" s="127">
        <v>8070.32</v>
      </c>
      <c r="U145" s="127">
        <v>-11718</v>
      </c>
      <c r="V145" s="127">
        <v>-21033.81</v>
      </c>
      <c r="W145" s="127">
        <v>0</v>
      </c>
      <c r="X145" s="127">
        <v>0</v>
      </c>
      <c r="Y145" s="127">
        <v>25000</v>
      </c>
      <c r="Z145" s="127">
        <v>44875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>
        <v>0</v>
      </c>
      <c r="AH145" s="127">
        <v>0</v>
      </c>
      <c r="AI145" s="127">
        <v>-4035</v>
      </c>
      <c r="AJ145" s="127">
        <v>-7214.58</v>
      </c>
      <c r="AK145" s="127">
        <v>0</v>
      </c>
      <c r="AL145" s="127">
        <v>0</v>
      </c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5">
      <c r="A146" t="s">
        <v>149</v>
      </c>
      <c r="B146" t="s">
        <v>150</v>
      </c>
      <c r="C146">
        <v>23</v>
      </c>
      <c r="D146" t="s">
        <v>140</v>
      </c>
      <c r="E146" s="14">
        <v>-337997</v>
      </c>
      <c r="F146" s="14">
        <v>-606704.62</v>
      </c>
      <c r="G146" s="127">
        <v>-1698</v>
      </c>
      <c r="H146" s="127">
        <v>-3047.91</v>
      </c>
      <c r="I146" s="127">
        <v>-3704</v>
      </c>
      <c r="J146" s="127">
        <v>-6648.68</v>
      </c>
      <c r="K146" s="127">
        <v>0</v>
      </c>
      <c r="L146" s="127">
        <v>0</v>
      </c>
      <c r="M146" s="127">
        <v>0</v>
      </c>
      <c r="N146" s="127">
        <v>0</v>
      </c>
      <c r="O146" s="127">
        <v>19</v>
      </c>
      <c r="P146" s="127">
        <v>34.104999999999997</v>
      </c>
      <c r="Q146" s="127">
        <v>0</v>
      </c>
      <c r="R146" s="127">
        <v>0</v>
      </c>
      <c r="S146" s="127">
        <v>139381</v>
      </c>
      <c r="T146" s="127">
        <v>250188.89499999999</v>
      </c>
      <c r="U146" s="127">
        <v>-8652</v>
      </c>
      <c r="V146" s="127">
        <v>-15530.34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>
        <v>0</v>
      </c>
      <c r="AJ146" s="127">
        <v>0</v>
      </c>
      <c r="AK146" s="127">
        <v>0</v>
      </c>
      <c r="AL146" s="127">
        <v>0</v>
      </c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5">
      <c r="A147" t="s">
        <v>149</v>
      </c>
      <c r="B147" t="s">
        <v>150</v>
      </c>
      <c r="C147">
        <v>24</v>
      </c>
      <c r="D147" t="s">
        <v>59</v>
      </c>
      <c r="E147" s="14">
        <v>-7786218</v>
      </c>
      <c r="F147" s="14">
        <v>-943765.71</v>
      </c>
      <c r="G147" s="127">
        <v>-4825601</v>
      </c>
      <c r="H147" s="127">
        <v>95300.44</v>
      </c>
      <c r="I147" s="127">
        <v>-647955</v>
      </c>
      <c r="J147" s="127">
        <v>-6937.09</v>
      </c>
      <c r="K147" s="127">
        <v>0</v>
      </c>
      <c r="L147" s="127">
        <v>0</v>
      </c>
      <c r="M147" s="127">
        <v>0</v>
      </c>
      <c r="N147" s="127">
        <v>0</v>
      </c>
      <c r="O147" s="127">
        <v>950</v>
      </c>
      <c r="P147" s="127">
        <v>199.5</v>
      </c>
      <c r="Q147" s="127">
        <v>-16064</v>
      </c>
      <c r="R147" s="127">
        <v>-3258.58</v>
      </c>
      <c r="S147" s="127">
        <v>-2537</v>
      </c>
      <c r="T147" s="127">
        <v>-430.9</v>
      </c>
      <c r="U147" s="127">
        <v>0</v>
      </c>
      <c r="V147" s="127">
        <v>0</v>
      </c>
      <c r="W147" s="127">
        <v>0</v>
      </c>
      <c r="X147" s="127">
        <v>-4219.01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>
        <v>0</v>
      </c>
      <c r="AJ147" s="127">
        <v>0</v>
      </c>
      <c r="AK147" s="127">
        <v>0</v>
      </c>
      <c r="AL147" s="127">
        <v>0</v>
      </c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5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-971138.62</v>
      </c>
      <c r="G148" s="127">
        <v>0</v>
      </c>
      <c r="H148" s="127">
        <v>-1443566.2</v>
      </c>
      <c r="I148" s="127">
        <v>0</v>
      </c>
      <c r="J148" s="127">
        <v>0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27">
        <v>55102.98</v>
      </c>
      <c r="Q148" s="127">
        <v>0</v>
      </c>
      <c r="R148" s="127">
        <v>1819.99</v>
      </c>
      <c r="S148" s="127">
        <v>0</v>
      </c>
      <c r="T148" s="127">
        <v>0.01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>
        <v>0</v>
      </c>
      <c r="AJ148" s="127">
        <v>0</v>
      </c>
      <c r="AK148" s="127">
        <v>0</v>
      </c>
      <c r="AL148" s="127">
        <v>0</v>
      </c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5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>
        <v>0</v>
      </c>
      <c r="AJ149" s="127">
        <v>0</v>
      </c>
      <c r="AK149" s="127">
        <v>0</v>
      </c>
      <c r="AL149" s="127">
        <v>0</v>
      </c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5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>
        <v>0</v>
      </c>
      <c r="AJ150" s="127">
        <v>0</v>
      </c>
      <c r="AK150" s="127">
        <v>0</v>
      </c>
      <c r="AL150" s="127">
        <v>0</v>
      </c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5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>
        <v>0</v>
      </c>
      <c r="AJ151" s="127">
        <v>0</v>
      </c>
      <c r="AK151" s="127">
        <v>0</v>
      </c>
      <c r="AL151" s="127">
        <v>0</v>
      </c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5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>
        <v>0</v>
      </c>
      <c r="AJ152" s="127">
        <v>0</v>
      </c>
      <c r="AK152" s="127">
        <v>0</v>
      </c>
      <c r="AL152" s="127">
        <v>0</v>
      </c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5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>
        <v>0</v>
      </c>
      <c r="AJ153" s="127">
        <v>0</v>
      </c>
      <c r="AK153" s="127">
        <v>0</v>
      </c>
      <c r="AL153" s="127">
        <v>0</v>
      </c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5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>
        <v>0</v>
      </c>
      <c r="AL154" s="127">
        <v>0</v>
      </c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5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>
        <v>0</v>
      </c>
      <c r="AJ155" s="127">
        <v>0</v>
      </c>
      <c r="AK155" s="127">
        <v>0</v>
      </c>
      <c r="AL155" s="127">
        <v>0</v>
      </c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5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>
        <v>0</v>
      </c>
      <c r="AJ156" s="127">
        <v>0</v>
      </c>
      <c r="AK156" s="127">
        <v>0</v>
      </c>
      <c r="AL156" s="127">
        <v>0</v>
      </c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5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>
        <v>0</v>
      </c>
      <c r="AJ157" s="127">
        <v>0</v>
      </c>
      <c r="AK157" s="127">
        <v>0</v>
      </c>
      <c r="AL157" s="127">
        <v>0</v>
      </c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5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0</v>
      </c>
      <c r="G158" s="127">
        <v>0</v>
      </c>
      <c r="H158" s="127">
        <v>-562.73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0</v>
      </c>
      <c r="S158" s="127">
        <v>0</v>
      </c>
      <c r="T158" s="127">
        <v>-3774.9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>
        <v>0</v>
      </c>
      <c r="AJ158" s="127">
        <v>0</v>
      </c>
      <c r="AK158" s="127">
        <v>0</v>
      </c>
      <c r="AL158" s="127">
        <v>0</v>
      </c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5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>
        <v>0</v>
      </c>
      <c r="AJ159" s="127">
        <v>0</v>
      </c>
      <c r="AK159" s="127">
        <v>0</v>
      </c>
      <c r="AL159" s="127">
        <v>0</v>
      </c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5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>
        <v>0</v>
      </c>
      <c r="AJ160" s="127">
        <v>0</v>
      </c>
      <c r="AK160" s="127">
        <v>0</v>
      </c>
      <c r="AL160" s="127">
        <v>0</v>
      </c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5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>
        <v>0</v>
      </c>
      <c r="AJ161" s="127">
        <v>0</v>
      </c>
      <c r="AK161" s="127">
        <v>0</v>
      </c>
      <c r="AL161" s="127">
        <v>0</v>
      </c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5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>
        <v>0</v>
      </c>
      <c r="AJ162" s="127">
        <v>0</v>
      </c>
      <c r="AK162" s="127">
        <v>0</v>
      </c>
      <c r="AL162" s="127">
        <v>0</v>
      </c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5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249550</v>
      </c>
      <c r="I163" s="127">
        <v>0</v>
      </c>
      <c r="J163" s="127">
        <v>5925.91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>
        <v>0</v>
      </c>
      <c r="AJ163" s="127">
        <v>0</v>
      </c>
      <c r="AK163" s="127">
        <v>0</v>
      </c>
      <c r="AL163" s="127">
        <v>0</v>
      </c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5">
      <c r="A164" t="s">
        <v>149</v>
      </c>
      <c r="B164" t="s">
        <v>151</v>
      </c>
      <c r="C164">
        <v>1</v>
      </c>
      <c r="D164" t="s">
        <v>29</v>
      </c>
      <c r="E164" s="14">
        <v>101777747</v>
      </c>
      <c r="F164" s="14">
        <v>213982835.48000005</v>
      </c>
      <c r="G164" s="127">
        <v>-33056</v>
      </c>
      <c r="H164" s="127">
        <v>6500173.3500000015</v>
      </c>
      <c r="I164" s="127">
        <v>-25720</v>
      </c>
      <c r="J164" s="127">
        <v>-4943124.49</v>
      </c>
      <c r="K164" s="127">
        <v>1</v>
      </c>
      <c r="L164" s="127">
        <v>-84440.65</v>
      </c>
      <c r="M164" s="127">
        <v>-250</v>
      </c>
      <c r="N164" s="127">
        <v>28733.85</v>
      </c>
      <c r="O164" s="127">
        <v>-3201</v>
      </c>
      <c r="P164" s="127">
        <v>-5411.38</v>
      </c>
      <c r="Q164" s="127">
        <v>0</v>
      </c>
      <c r="R164" s="127">
        <v>61667.5</v>
      </c>
      <c r="S164" s="127">
        <v>0</v>
      </c>
      <c r="T164" s="127">
        <v>0</v>
      </c>
      <c r="U164" s="127">
        <v>0</v>
      </c>
      <c r="V164" s="127">
        <v>3711877</v>
      </c>
      <c r="W164" s="127">
        <v>0</v>
      </c>
      <c r="X164" s="127">
        <v>0</v>
      </c>
      <c r="Y164" s="127">
        <v>0</v>
      </c>
      <c r="Z164" s="127">
        <v>0</v>
      </c>
      <c r="AA164" s="127">
        <v>0</v>
      </c>
      <c r="AB164" s="127">
        <v>11500.1</v>
      </c>
      <c r="AC164" s="127">
        <v>0</v>
      </c>
      <c r="AD164" s="127">
        <v>0</v>
      </c>
      <c r="AE164" s="127">
        <v>0</v>
      </c>
      <c r="AF164" s="127">
        <v>0</v>
      </c>
      <c r="AG164" s="127">
        <v>0</v>
      </c>
      <c r="AH164" s="127">
        <v>0</v>
      </c>
      <c r="AI164" s="127">
        <v>0</v>
      </c>
      <c r="AJ164" s="127">
        <v>10516.3</v>
      </c>
      <c r="AK164" s="127">
        <v>0</v>
      </c>
      <c r="AL164" s="127">
        <v>0</v>
      </c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5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>
        <v>0</v>
      </c>
      <c r="AJ165" s="127">
        <v>0</v>
      </c>
      <c r="AK165" s="127">
        <v>0</v>
      </c>
      <c r="AL165" s="127">
        <v>0</v>
      </c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5">
      <c r="A166" t="s">
        <v>149</v>
      </c>
      <c r="B166" t="s">
        <v>151</v>
      </c>
      <c r="C166">
        <v>3</v>
      </c>
      <c r="D166" t="s">
        <v>31</v>
      </c>
      <c r="E166" s="14">
        <v>51679271</v>
      </c>
      <c r="F166" s="14">
        <v>98255083</v>
      </c>
      <c r="G166" s="127">
        <v>0</v>
      </c>
      <c r="H166" s="127">
        <v>0</v>
      </c>
      <c r="I166" s="127">
        <v>-214075</v>
      </c>
      <c r="J166" s="127">
        <v>-374265</v>
      </c>
      <c r="K166" s="127">
        <v>0</v>
      </c>
      <c r="L166" s="127">
        <v>0</v>
      </c>
      <c r="M166" s="127">
        <v>-4494</v>
      </c>
      <c r="N166" s="127">
        <v>-7707</v>
      </c>
      <c r="O166" s="127">
        <v>0</v>
      </c>
      <c r="P166" s="127">
        <v>0</v>
      </c>
      <c r="Q166" s="127">
        <v>0</v>
      </c>
      <c r="R166" s="127">
        <v>0</v>
      </c>
      <c r="S166" s="127">
        <v>0</v>
      </c>
      <c r="T166" s="127">
        <v>0</v>
      </c>
      <c r="U166" s="127">
        <v>212581</v>
      </c>
      <c r="V166" s="127">
        <v>370643</v>
      </c>
      <c r="W166" s="127">
        <v>258531</v>
      </c>
      <c r="X166" s="127">
        <v>452217</v>
      </c>
      <c r="Y166" s="127">
        <v>-252543</v>
      </c>
      <c r="Z166" s="127">
        <v>-440888</v>
      </c>
      <c r="AA166" s="127">
        <v>58634</v>
      </c>
      <c r="AB166" s="127">
        <v>91349</v>
      </c>
      <c r="AC166" s="127">
        <v>0</v>
      </c>
      <c r="AD166" s="127">
        <v>0</v>
      </c>
      <c r="AE166" s="127">
        <v>-58634</v>
      </c>
      <c r="AF166" s="127">
        <v>-91349</v>
      </c>
      <c r="AG166" s="127">
        <v>0</v>
      </c>
      <c r="AH166" s="127">
        <v>0</v>
      </c>
      <c r="AI166" s="127">
        <v>0</v>
      </c>
      <c r="AJ166" s="127">
        <v>0</v>
      </c>
      <c r="AK166" s="127">
        <v>0</v>
      </c>
      <c r="AL166" s="127">
        <v>0</v>
      </c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5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>
        <v>0</v>
      </c>
      <c r="AJ167" s="127">
        <v>0</v>
      </c>
      <c r="AK167" s="127">
        <v>0</v>
      </c>
      <c r="AL167" s="127">
        <v>0</v>
      </c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5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>
        <v>0</v>
      </c>
      <c r="AJ168" s="127">
        <v>0</v>
      </c>
      <c r="AK168" s="127">
        <v>0</v>
      </c>
      <c r="AL168" s="127">
        <v>0</v>
      </c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5">
      <c r="A169" t="s">
        <v>149</v>
      </c>
      <c r="B169" t="s">
        <v>151</v>
      </c>
      <c r="C169">
        <v>6</v>
      </c>
      <c r="D169" t="s">
        <v>29</v>
      </c>
      <c r="E169" s="14">
        <v>-100804275</v>
      </c>
      <c r="F169" s="14">
        <v>-187151056.24000001</v>
      </c>
      <c r="G169" s="127">
        <v>201126</v>
      </c>
      <c r="H169" s="127">
        <v>-2519806.14</v>
      </c>
      <c r="I169" s="127">
        <v>-91034</v>
      </c>
      <c r="J169" s="127">
        <v>-338678.19</v>
      </c>
      <c r="K169" s="127">
        <v>-20032</v>
      </c>
      <c r="L169" s="127">
        <v>-40530.03</v>
      </c>
      <c r="M169" s="127">
        <v>-2846</v>
      </c>
      <c r="N169" s="127">
        <v>15375.9</v>
      </c>
      <c r="O169" s="127">
        <v>4611</v>
      </c>
      <c r="P169" s="127">
        <v>4728.29</v>
      </c>
      <c r="Q169" s="127">
        <v>2508</v>
      </c>
      <c r="R169" s="127">
        <v>26466.1</v>
      </c>
      <c r="S169" s="127">
        <v>2</v>
      </c>
      <c r="T169" s="127">
        <v>9.75</v>
      </c>
      <c r="U169" s="127">
        <v>-32164</v>
      </c>
      <c r="V169" s="127">
        <v>-46014.43</v>
      </c>
      <c r="W169" s="127">
        <v>0</v>
      </c>
      <c r="X169" s="127">
        <v>0</v>
      </c>
      <c r="Y169" s="127">
        <v>0</v>
      </c>
      <c r="Z169" s="127">
        <v>0</v>
      </c>
      <c r="AA169" s="127">
        <v>0</v>
      </c>
      <c r="AB169" s="127">
        <v>122826.53</v>
      </c>
      <c r="AC169" s="127">
        <v>0</v>
      </c>
      <c r="AD169" s="127">
        <v>0</v>
      </c>
      <c r="AE169" s="127">
        <v>0</v>
      </c>
      <c r="AF169" s="127">
        <v>0</v>
      </c>
      <c r="AG169" s="127">
        <v>0</v>
      </c>
      <c r="AH169" s="127">
        <v>0</v>
      </c>
      <c r="AI169" s="127">
        <v>0</v>
      </c>
      <c r="AJ169" s="127">
        <v>0</v>
      </c>
      <c r="AK169" s="127">
        <v>0</v>
      </c>
      <c r="AL169" s="127">
        <v>0</v>
      </c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5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>
        <v>0</v>
      </c>
      <c r="AJ170" s="127">
        <v>0</v>
      </c>
      <c r="AK170" s="127">
        <v>0</v>
      </c>
      <c r="AL170" s="127">
        <v>0</v>
      </c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5">
      <c r="A171" t="s">
        <v>149</v>
      </c>
      <c r="B171" t="s">
        <v>151</v>
      </c>
      <c r="C171">
        <v>8</v>
      </c>
      <c r="D171" t="s">
        <v>31</v>
      </c>
      <c r="E171" s="14">
        <v>-50191436</v>
      </c>
      <c r="F171" s="14">
        <v>-95514268</v>
      </c>
      <c r="G171" s="127">
        <v>0</v>
      </c>
      <c r="H171" s="127">
        <v>0</v>
      </c>
      <c r="I171" s="127">
        <v>199516</v>
      </c>
      <c r="J171" s="127">
        <v>332885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0</v>
      </c>
      <c r="T171" s="127">
        <v>0</v>
      </c>
      <c r="U171" s="127">
        <v>-212581</v>
      </c>
      <c r="V171" s="127">
        <v>-370643</v>
      </c>
      <c r="W171" s="127">
        <v>-258531</v>
      </c>
      <c r="X171" s="127">
        <v>-452217</v>
      </c>
      <c r="Y171" s="127">
        <v>271596</v>
      </c>
      <c r="Z171" s="127">
        <v>489975</v>
      </c>
      <c r="AA171" s="127">
        <v>-33634</v>
      </c>
      <c r="AB171" s="127">
        <v>-47867</v>
      </c>
      <c r="AC171" s="127">
        <v>0</v>
      </c>
      <c r="AD171" s="127">
        <v>0</v>
      </c>
      <c r="AE171" s="127">
        <v>33634</v>
      </c>
      <c r="AF171" s="127">
        <v>47867</v>
      </c>
      <c r="AG171" s="127">
        <v>0</v>
      </c>
      <c r="AH171" s="127">
        <v>0</v>
      </c>
      <c r="AI171" s="127">
        <v>0</v>
      </c>
      <c r="AJ171" s="127">
        <v>0</v>
      </c>
      <c r="AK171" s="127">
        <v>0</v>
      </c>
      <c r="AL171" s="127">
        <v>0</v>
      </c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5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>
        <v>0</v>
      </c>
      <c r="AJ172" s="127">
        <v>0</v>
      </c>
      <c r="AK172" s="127">
        <v>0</v>
      </c>
      <c r="AL172" s="127">
        <v>0</v>
      </c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5">
      <c r="A173" t="s">
        <v>149</v>
      </c>
      <c r="B173" t="s">
        <v>151</v>
      </c>
      <c r="C173">
        <v>10</v>
      </c>
      <c r="D173" t="s">
        <v>36</v>
      </c>
      <c r="E173" s="14">
        <v>1038487</v>
      </c>
      <c r="F173" s="14">
        <v>1856814.76</v>
      </c>
      <c r="G173" s="127">
        <v>-175151</v>
      </c>
      <c r="H173" s="127">
        <v>-313169.98800000001</v>
      </c>
      <c r="I173" s="127">
        <v>34742</v>
      </c>
      <c r="J173" s="127">
        <v>62118.696000000004</v>
      </c>
      <c r="K173" s="127">
        <v>136</v>
      </c>
      <c r="L173" s="127">
        <v>243.16800000000001</v>
      </c>
      <c r="M173" s="127">
        <v>-3084</v>
      </c>
      <c r="N173" s="127">
        <v>-5514.192</v>
      </c>
      <c r="O173" s="127">
        <v>-1</v>
      </c>
      <c r="P173" s="127">
        <v>-1.788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>
        <v>0</v>
      </c>
      <c r="AJ173" s="127">
        <v>0</v>
      </c>
      <c r="AK173" s="127">
        <v>0</v>
      </c>
      <c r="AL173" s="127">
        <v>0</v>
      </c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5">
      <c r="A174" t="s">
        <v>149</v>
      </c>
      <c r="B174" t="s">
        <v>151</v>
      </c>
      <c r="C174">
        <v>11</v>
      </c>
      <c r="D174" t="s">
        <v>39</v>
      </c>
      <c r="E174" s="14">
        <v>8074037</v>
      </c>
      <c r="F174" s="14">
        <v>16143036.380000001</v>
      </c>
      <c r="G174" s="127">
        <v>0</v>
      </c>
      <c r="H174" s="127">
        <v>-1890126.68</v>
      </c>
      <c r="I174" s="127">
        <v>0</v>
      </c>
      <c r="J174" s="127">
        <v>112786.51</v>
      </c>
      <c r="K174" s="127">
        <v>0</v>
      </c>
      <c r="L174" s="127">
        <v>33097.919999999998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>
        <v>0</v>
      </c>
      <c r="AJ174" s="127">
        <v>0</v>
      </c>
      <c r="AK174" s="127">
        <v>0</v>
      </c>
      <c r="AL174" s="127">
        <v>0</v>
      </c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5">
      <c r="A175" t="s">
        <v>149</v>
      </c>
      <c r="B175" t="s">
        <v>151</v>
      </c>
      <c r="C175">
        <v>12</v>
      </c>
      <c r="D175" t="s">
        <v>40</v>
      </c>
      <c r="E175" s="14">
        <v>-1820006</v>
      </c>
      <c r="F175" s="14">
        <v>-3602316</v>
      </c>
      <c r="G175" s="127">
        <v>43186</v>
      </c>
      <c r="H175" s="127">
        <v>78425.600000000006</v>
      </c>
      <c r="I175" s="127">
        <v>13676</v>
      </c>
      <c r="J175" s="127">
        <v>381774.39</v>
      </c>
      <c r="K175" s="127">
        <v>0</v>
      </c>
      <c r="L175" s="127">
        <v>19110.34</v>
      </c>
      <c r="M175" s="127">
        <v>0</v>
      </c>
      <c r="N175" s="127">
        <v>3140.14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>
        <v>0</v>
      </c>
      <c r="AJ175" s="127">
        <v>0</v>
      </c>
      <c r="AK175" s="127">
        <v>0</v>
      </c>
      <c r="AL175" s="127">
        <v>0</v>
      </c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5">
      <c r="A176" t="s">
        <v>149</v>
      </c>
      <c r="B176" t="s">
        <v>151</v>
      </c>
      <c r="C176">
        <v>13</v>
      </c>
      <c r="D176" t="s">
        <v>43</v>
      </c>
      <c r="E176" s="14">
        <v>-25563</v>
      </c>
      <c r="F176" s="14">
        <v>-45706.64</v>
      </c>
      <c r="G176" s="127">
        <v>-909372</v>
      </c>
      <c r="H176" s="127">
        <v>-1465148.32</v>
      </c>
      <c r="I176" s="127">
        <v>69197</v>
      </c>
      <c r="J176" s="127">
        <v>-132315.764</v>
      </c>
      <c r="K176" s="127">
        <v>400923</v>
      </c>
      <c r="L176" s="127">
        <v>548531.39899999998</v>
      </c>
      <c r="M176" s="127">
        <v>42022</v>
      </c>
      <c r="N176" s="127">
        <v>152233.728</v>
      </c>
      <c r="O176" s="127">
        <v>35302</v>
      </c>
      <c r="P176" s="127">
        <v>64738.482000000004</v>
      </c>
      <c r="Q176" s="127">
        <v>278040</v>
      </c>
      <c r="R176" s="127">
        <v>501155.67499999999</v>
      </c>
      <c r="S176" s="127">
        <v>3867</v>
      </c>
      <c r="T176" s="127">
        <v>34162.482000000004</v>
      </c>
      <c r="U176" s="127">
        <v>12227</v>
      </c>
      <c r="V176" s="127">
        <v>175427.29500000001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>
        <v>0</v>
      </c>
      <c r="AJ176" s="127">
        <v>0</v>
      </c>
      <c r="AK176" s="127">
        <v>0</v>
      </c>
      <c r="AL176" s="127">
        <v>0</v>
      </c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5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-567</v>
      </c>
      <c r="H177" s="127">
        <v>-1022.22</v>
      </c>
      <c r="I177" s="127">
        <v>-23655</v>
      </c>
      <c r="J177" s="127">
        <v>-41258.28</v>
      </c>
      <c r="K177" s="127">
        <v>-30214</v>
      </c>
      <c r="L177" s="127">
        <v>-53658.2</v>
      </c>
      <c r="M177" s="127">
        <v>-1251</v>
      </c>
      <c r="N177" s="127">
        <v>-2203.04</v>
      </c>
      <c r="O177" s="127">
        <v>-43471</v>
      </c>
      <c r="P177" s="127">
        <v>-74097.27</v>
      </c>
      <c r="Q177" s="127">
        <v>0</v>
      </c>
      <c r="R177" s="127">
        <v>0</v>
      </c>
      <c r="S177" s="127">
        <v>-3869</v>
      </c>
      <c r="T177" s="127">
        <v>-6809.44</v>
      </c>
      <c r="U177" s="127">
        <v>-38</v>
      </c>
      <c r="V177" s="127">
        <v>-64.03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>
        <v>0</v>
      </c>
      <c r="AJ177" s="127">
        <v>0</v>
      </c>
      <c r="AK177" s="127">
        <v>0</v>
      </c>
      <c r="AL177" s="127">
        <v>0</v>
      </c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5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162100</v>
      </c>
      <c r="H178" s="127">
        <v>281403.63</v>
      </c>
      <c r="I178" s="127">
        <v>956</v>
      </c>
      <c r="J178" s="127">
        <v>1696.91</v>
      </c>
      <c r="K178" s="127">
        <v>7</v>
      </c>
      <c r="L178" s="127">
        <v>12.11</v>
      </c>
      <c r="M178" s="127">
        <v>7121</v>
      </c>
      <c r="N178" s="127">
        <v>12608.18</v>
      </c>
      <c r="O178" s="127">
        <v>396</v>
      </c>
      <c r="P178" s="127">
        <v>726.77</v>
      </c>
      <c r="Q178" s="127">
        <v>0</v>
      </c>
      <c r="R178" s="127">
        <v>0</v>
      </c>
      <c r="S178" s="127">
        <v>0</v>
      </c>
      <c r="T178" s="127">
        <v>0</v>
      </c>
      <c r="U178" s="127">
        <v>32202</v>
      </c>
      <c r="V178" s="127">
        <v>54263.59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>
        <v>0</v>
      </c>
      <c r="AJ178" s="127">
        <v>0</v>
      </c>
      <c r="AK178" s="127">
        <v>0</v>
      </c>
      <c r="AL178" s="127">
        <v>0</v>
      </c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5">
      <c r="A179" t="s">
        <v>149</v>
      </c>
      <c r="B179" t="s">
        <v>151</v>
      </c>
      <c r="C179">
        <v>16</v>
      </c>
      <c r="D179" t="s">
        <v>46</v>
      </c>
      <c r="E179" s="14">
        <v>0</v>
      </c>
      <c r="F179" s="14">
        <v>0</v>
      </c>
      <c r="G179" s="127">
        <v>364400</v>
      </c>
      <c r="H179" s="127">
        <v>0</v>
      </c>
      <c r="I179" s="127">
        <v>0</v>
      </c>
      <c r="J179" s="127">
        <v>0</v>
      </c>
      <c r="K179" s="127">
        <v>-364400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0</v>
      </c>
      <c r="U179" s="127">
        <v>0</v>
      </c>
      <c r="V179" s="127">
        <v>-36367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>
        <v>0</v>
      </c>
      <c r="AJ179" s="127">
        <v>0</v>
      </c>
      <c r="AK179" s="127">
        <v>0</v>
      </c>
      <c r="AL179" s="127">
        <v>0</v>
      </c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5">
      <c r="A180" t="s">
        <v>149</v>
      </c>
      <c r="B180" t="s">
        <v>151</v>
      </c>
      <c r="C180">
        <v>17</v>
      </c>
      <c r="D180" t="s">
        <v>135</v>
      </c>
      <c r="E180" s="14">
        <v>0</v>
      </c>
      <c r="F180" s="14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-5666</v>
      </c>
      <c r="N180" s="127">
        <v>-13116.79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>
        <v>0</v>
      </c>
      <c r="AJ180" s="127">
        <v>0</v>
      </c>
      <c r="AK180" s="127">
        <v>0</v>
      </c>
      <c r="AL180" s="127">
        <v>0</v>
      </c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5">
      <c r="A181" t="s">
        <v>149</v>
      </c>
      <c r="B181" t="s">
        <v>151</v>
      </c>
      <c r="C181">
        <v>18</v>
      </c>
      <c r="D181" t="s">
        <v>136</v>
      </c>
      <c r="E181" s="14">
        <v>-10091728</v>
      </c>
      <c r="F181" s="14">
        <v>-6970484.7400000002</v>
      </c>
      <c r="G181" s="127">
        <v>276407</v>
      </c>
      <c r="H181" s="127">
        <v>627077.6</v>
      </c>
      <c r="I181" s="127">
        <v>55915</v>
      </c>
      <c r="J181" s="127">
        <v>-15645931.83</v>
      </c>
      <c r="K181" s="127">
        <v>5666</v>
      </c>
      <c r="L181" s="127">
        <v>13116.79</v>
      </c>
      <c r="M181" s="127">
        <v>-37490</v>
      </c>
      <c r="N181" s="127">
        <v>-75716.81</v>
      </c>
      <c r="O181" s="127">
        <v>0</v>
      </c>
      <c r="P181" s="127">
        <v>0</v>
      </c>
      <c r="Q181" s="127">
        <v>-278003</v>
      </c>
      <c r="R181" s="127">
        <v>1860907.59</v>
      </c>
      <c r="S181" s="127">
        <v>0</v>
      </c>
      <c r="T181" s="127">
        <v>0</v>
      </c>
      <c r="U181" s="127">
        <v>1070106</v>
      </c>
      <c r="V181" s="127">
        <v>0.04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>
        <v>0</v>
      </c>
      <c r="AJ181" s="127">
        <v>0</v>
      </c>
      <c r="AK181" s="127">
        <v>0</v>
      </c>
      <c r="AL181" s="127">
        <v>0</v>
      </c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5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>
        <v>0</v>
      </c>
      <c r="AJ182" s="127">
        <v>0</v>
      </c>
      <c r="AK182" s="127">
        <v>0</v>
      </c>
      <c r="AL182" s="127">
        <v>0</v>
      </c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5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>
        <v>0</v>
      </c>
      <c r="AJ183" s="127">
        <v>0</v>
      </c>
      <c r="AK183" s="127">
        <v>0</v>
      </c>
      <c r="AL183" s="127">
        <v>0</v>
      </c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5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>
        <v>0</v>
      </c>
      <c r="AJ184" s="127">
        <v>0</v>
      </c>
      <c r="AK184" s="127">
        <v>0</v>
      </c>
      <c r="AL184" s="127">
        <v>0</v>
      </c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5">
      <c r="A185" t="s">
        <v>149</v>
      </c>
      <c r="B185" t="s">
        <v>151</v>
      </c>
      <c r="C185">
        <v>22</v>
      </c>
      <c r="D185" t="s">
        <v>139</v>
      </c>
      <c r="E185" s="14">
        <v>363466</v>
      </c>
      <c r="F185" s="14">
        <v>649877.20799999998</v>
      </c>
      <c r="G185" s="127">
        <v>70927</v>
      </c>
      <c r="H185" s="127">
        <v>126817.47599999979</v>
      </c>
      <c r="I185" s="127">
        <v>-19518</v>
      </c>
      <c r="J185" s="127">
        <v>2625350.7960000001</v>
      </c>
      <c r="K185" s="127">
        <v>7913</v>
      </c>
      <c r="L185" s="127">
        <v>-2646497.5559999999</v>
      </c>
      <c r="M185" s="127">
        <v>5938</v>
      </c>
      <c r="N185" s="127">
        <v>10617.144</v>
      </c>
      <c r="O185" s="127">
        <v>6364</v>
      </c>
      <c r="P185" s="127">
        <v>11378.832</v>
      </c>
      <c r="Q185" s="127">
        <v>-2545</v>
      </c>
      <c r="R185" s="127">
        <v>-4550.46</v>
      </c>
      <c r="S185" s="127">
        <v>0</v>
      </c>
      <c r="T185" s="127">
        <v>0</v>
      </c>
      <c r="U185" s="127">
        <v>-1082333</v>
      </c>
      <c r="V185" s="127">
        <v>-1935211.4040000001</v>
      </c>
      <c r="W185" s="127">
        <v>0</v>
      </c>
      <c r="X185" s="127">
        <v>0</v>
      </c>
      <c r="Y185" s="127">
        <v>-19053</v>
      </c>
      <c r="Z185" s="127">
        <v>-34066.764000000003</v>
      </c>
      <c r="AA185" s="127">
        <v>-25000</v>
      </c>
      <c r="AB185" s="127">
        <v>-44875</v>
      </c>
      <c r="AC185" s="127">
        <v>0</v>
      </c>
      <c r="AD185" s="127">
        <v>0</v>
      </c>
      <c r="AE185" s="127">
        <v>25000</v>
      </c>
      <c r="AF185" s="127">
        <v>44875</v>
      </c>
      <c r="AG185" s="127">
        <v>0</v>
      </c>
      <c r="AH185" s="127">
        <v>0</v>
      </c>
      <c r="AI185" s="127">
        <v>0</v>
      </c>
      <c r="AJ185" s="127">
        <v>0</v>
      </c>
      <c r="AK185" s="127">
        <v>0</v>
      </c>
      <c r="AL185" s="127">
        <v>0</v>
      </c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5">
      <c r="A186" t="s">
        <v>149</v>
      </c>
      <c r="B186" t="s">
        <v>151</v>
      </c>
      <c r="C186">
        <v>23</v>
      </c>
      <c r="D186" t="s">
        <v>140</v>
      </c>
      <c r="E186" s="14">
        <v>-1038487</v>
      </c>
      <c r="F186" s="14">
        <v>-1856814.76</v>
      </c>
      <c r="G186" s="127">
        <v>175151</v>
      </c>
      <c r="H186" s="127">
        <v>313169.98800000001</v>
      </c>
      <c r="I186" s="127">
        <v>-34742</v>
      </c>
      <c r="J186" s="127">
        <v>-62118.696000000004</v>
      </c>
      <c r="K186" s="127">
        <v>-136</v>
      </c>
      <c r="L186" s="127">
        <v>-243.16800000000001</v>
      </c>
      <c r="M186" s="127">
        <v>3084</v>
      </c>
      <c r="N186" s="127">
        <v>5514.192</v>
      </c>
      <c r="O186" s="127">
        <v>1</v>
      </c>
      <c r="P186" s="127">
        <v>1.788</v>
      </c>
      <c r="Q186" s="127">
        <v>0</v>
      </c>
      <c r="R186" s="127">
        <v>0</v>
      </c>
      <c r="S186" s="127">
        <v>0</v>
      </c>
      <c r="T186" s="127">
        <v>0</v>
      </c>
      <c r="U186" s="127">
        <v>-303879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>
        <v>0</v>
      </c>
      <c r="AJ186" s="127">
        <v>0</v>
      </c>
      <c r="AK186" s="127">
        <v>0</v>
      </c>
      <c r="AL186" s="127">
        <v>0</v>
      </c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5">
      <c r="A187" t="s">
        <v>149</v>
      </c>
      <c r="B187" t="s">
        <v>151</v>
      </c>
      <c r="C187">
        <v>24</v>
      </c>
      <c r="D187" t="s">
        <v>59</v>
      </c>
      <c r="E187" s="14">
        <v>-50252924</v>
      </c>
      <c r="F187" s="14">
        <v>-2330384.9300000002</v>
      </c>
      <c r="G187" s="127">
        <v>2762839</v>
      </c>
      <c r="H187" s="127">
        <v>755204.55</v>
      </c>
      <c r="I187" s="127">
        <v>6517</v>
      </c>
      <c r="J187" s="127">
        <v>-38368.589999999997</v>
      </c>
      <c r="K187" s="127">
        <v>-30790</v>
      </c>
      <c r="L187" s="127">
        <v>-6283.65</v>
      </c>
      <c r="M187" s="127">
        <v>-1376</v>
      </c>
      <c r="N187" s="127">
        <v>-13902.79</v>
      </c>
      <c r="O187" s="127">
        <v>30000</v>
      </c>
      <c r="P187" s="127">
        <v>53700</v>
      </c>
      <c r="Q187" s="127">
        <v>0</v>
      </c>
      <c r="R187" s="127">
        <v>0</v>
      </c>
      <c r="S187" s="127">
        <v>-39</v>
      </c>
      <c r="T187" s="127">
        <v>-6.4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-383.87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>
        <v>0</v>
      </c>
      <c r="AJ187" s="127">
        <v>0</v>
      </c>
      <c r="AK187" s="127">
        <v>0</v>
      </c>
      <c r="AL187" s="127">
        <v>0</v>
      </c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5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-15978696.720000001</v>
      </c>
      <c r="G188" s="127">
        <v>0</v>
      </c>
      <c r="H188" s="127">
        <v>-27036.05</v>
      </c>
      <c r="I188" s="127">
        <v>0</v>
      </c>
      <c r="J188" s="127">
        <v>77829.63</v>
      </c>
      <c r="K188" s="127">
        <v>0</v>
      </c>
      <c r="L188" s="127">
        <v>-543.05999999999995</v>
      </c>
      <c r="M188" s="127">
        <v>0</v>
      </c>
      <c r="N188" s="127">
        <v>5524.02</v>
      </c>
      <c r="O188" s="127">
        <v>0</v>
      </c>
      <c r="P188" s="127">
        <v>-33.409999999999997</v>
      </c>
      <c r="Q188" s="127">
        <v>0</v>
      </c>
      <c r="R188" s="127">
        <v>33.409999999999997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>
        <v>0</v>
      </c>
      <c r="AH188" s="127">
        <v>0</v>
      </c>
      <c r="AI188" s="127">
        <v>0</v>
      </c>
      <c r="AJ188" s="127">
        <v>0</v>
      </c>
      <c r="AK188" s="127">
        <v>0</v>
      </c>
      <c r="AL188" s="127">
        <v>0</v>
      </c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5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>
        <v>0</v>
      </c>
      <c r="AJ189" s="127">
        <v>0</v>
      </c>
      <c r="AK189" s="127">
        <v>0</v>
      </c>
      <c r="AL189" s="127">
        <v>0</v>
      </c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5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>
        <v>0</v>
      </c>
      <c r="AJ190" s="127">
        <v>0</v>
      </c>
      <c r="AK190" s="127">
        <v>0</v>
      </c>
      <c r="AL190" s="127">
        <v>0</v>
      </c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5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>
        <v>0</v>
      </c>
      <c r="AJ191" s="127">
        <v>0</v>
      </c>
      <c r="AK191" s="127">
        <v>0</v>
      </c>
      <c r="AL191" s="127">
        <v>0</v>
      </c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5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>
        <v>0</v>
      </c>
      <c r="AJ192" s="127">
        <v>0</v>
      </c>
      <c r="AK192" s="127">
        <v>0</v>
      </c>
      <c r="AL192" s="127">
        <v>0</v>
      </c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5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>
        <v>0</v>
      </c>
      <c r="AJ193" s="127">
        <v>0</v>
      </c>
      <c r="AK193" s="127">
        <v>0</v>
      </c>
      <c r="AL193" s="127">
        <v>0</v>
      </c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5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>
        <v>0</v>
      </c>
      <c r="AJ194" s="127">
        <v>0</v>
      </c>
      <c r="AK194" s="127">
        <v>0</v>
      </c>
      <c r="AL194" s="127">
        <v>0</v>
      </c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5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>
        <v>0</v>
      </c>
      <c r="AJ195" s="127">
        <v>0</v>
      </c>
      <c r="AK195" s="127">
        <v>0</v>
      </c>
      <c r="AL195" s="127">
        <v>0</v>
      </c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5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>
        <v>0</v>
      </c>
      <c r="AJ196" s="127">
        <v>0</v>
      </c>
      <c r="AK196" s="127">
        <v>0</v>
      </c>
      <c r="AL196" s="127">
        <v>0</v>
      </c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5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>
        <v>0</v>
      </c>
      <c r="AJ197" s="127">
        <v>0</v>
      </c>
      <c r="AK197" s="127">
        <v>0</v>
      </c>
      <c r="AL197" s="127">
        <v>0</v>
      </c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5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0</v>
      </c>
      <c r="G198" s="127">
        <v>0</v>
      </c>
      <c r="H198" s="127">
        <v>-184499.99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>
        <v>0</v>
      </c>
      <c r="AJ198" s="127">
        <v>0</v>
      </c>
      <c r="AK198" s="127">
        <v>0</v>
      </c>
      <c r="AL198" s="127">
        <v>0</v>
      </c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5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>
        <v>0</v>
      </c>
      <c r="AJ199" s="127">
        <v>0</v>
      </c>
      <c r="AK199" s="127">
        <v>0</v>
      </c>
      <c r="AL199" s="127">
        <v>0</v>
      </c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5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>
        <v>0</v>
      </c>
      <c r="AJ200" s="127">
        <v>0</v>
      </c>
      <c r="AK200" s="127">
        <v>0</v>
      </c>
      <c r="AL200" s="127">
        <v>0</v>
      </c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5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>
        <v>0</v>
      </c>
      <c r="AJ201" s="127">
        <v>0</v>
      </c>
      <c r="AK201" s="127">
        <v>0</v>
      </c>
      <c r="AL201" s="127">
        <v>0</v>
      </c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5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>
        <v>0</v>
      </c>
      <c r="AJ202" s="127">
        <v>0</v>
      </c>
      <c r="AK202" s="127">
        <v>0</v>
      </c>
      <c r="AL202" s="127">
        <v>0</v>
      </c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5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287432.57</v>
      </c>
      <c r="G203" s="127">
        <v>0</v>
      </c>
      <c r="H203" s="127">
        <v>189429.38</v>
      </c>
      <c r="I203" s="127">
        <v>0</v>
      </c>
      <c r="J203" s="127">
        <v>0</v>
      </c>
      <c r="K203" s="127">
        <v>0</v>
      </c>
      <c r="L203" s="127">
        <v>0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>
        <v>0</v>
      </c>
      <c r="AJ203" s="127">
        <v>0</v>
      </c>
      <c r="AK203" s="127">
        <v>0</v>
      </c>
      <c r="AL203" s="127">
        <v>0</v>
      </c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5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>
        <v>0</v>
      </c>
      <c r="AJ204" s="127">
        <v>0</v>
      </c>
      <c r="AK204" s="127">
        <v>0</v>
      </c>
      <c r="AL204" s="127">
        <v>0</v>
      </c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5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>
        <v>0</v>
      </c>
      <c r="AJ205" s="127">
        <v>0</v>
      </c>
      <c r="AK205" s="127">
        <v>0</v>
      </c>
      <c r="AL205" s="127">
        <v>0</v>
      </c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5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>
        <v>0</v>
      </c>
      <c r="AJ206" s="127">
        <v>0</v>
      </c>
      <c r="AK206" s="127">
        <v>0</v>
      </c>
      <c r="AL206" s="127">
        <v>0</v>
      </c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5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>
        <v>0</v>
      </c>
      <c r="AJ207" s="127">
        <v>0</v>
      </c>
      <c r="AK207" s="127">
        <v>0</v>
      </c>
      <c r="AL207" s="127">
        <v>0</v>
      </c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5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>
        <v>0</v>
      </c>
      <c r="AJ208" s="127">
        <v>0</v>
      </c>
      <c r="AK208" s="127">
        <v>0</v>
      </c>
      <c r="AL208" s="127">
        <v>0</v>
      </c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5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>
        <v>0</v>
      </c>
      <c r="AJ209" s="127">
        <v>0</v>
      </c>
      <c r="AK209" s="127">
        <v>0</v>
      </c>
      <c r="AL209" s="127">
        <v>0</v>
      </c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5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>
        <v>0</v>
      </c>
      <c r="AJ210" s="127">
        <v>0</v>
      </c>
      <c r="AK210" s="127">
        <v>0</v>
      </c>
      <c r="AL210" s="127">
        <v>0</v>
      </c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5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>
        <v>0</v>
      </c>
      <c r="AJ211" s="127">
        <v>0</v>
      </c>
      <c r="AK211" s="127">
        <v>0</v>
      </c>
      <c r="AL211" s="127">
        <v>0</v>
      </c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5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>
        <v>0</v>
      </c>
      <c r="AJ212" s="127">
        <v>0</v>
      </c>
      <c r="AK212" s="127">
        <v>0</v>
      </c>
      <c r="AL212" s="127">
        <v>0</v>
      </c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5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>
        <v>0</v>
      </c>
      <c r="AJ213" s="127">
        <v>0</v>
      </c>
      <c r="AK213" s="127">
        <v>0</v>
      </c>
      <c r="AL213" s="127">
        <v>0</v>
      </c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5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>
        <v>0</v>
      </c>
      <c r="AJ214" s="127">
        <v>0</v>
      </c>
      <c r="AK214" s="127">
        <v>0</v>
      </c>
      <c r="AL214" s="127">
        <v>0</v>
      </c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5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>
        <v>0</v>
      </c>
      <c r="AJ215" s="127">
        <v>0</v>
      </c>
      <c r="AK215" s="127">
        <v>0</v>
      </c>
      <c r="AL215" s="127">
        <v>0</v>
      </c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5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>
        <v>0</v>
      </c>
      <c r="AJ216" s="127">
        <v>0</v>
      </c>
      <c r="AK216" s="127">
        <v>0</v>
      </c>
      <c r="AL216" s="127">
        <v>0</v>
      </c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5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>
        <v>0</v>
      </c>
      <c r="AJ217" s="127">
        <v>0</v>
      </c>
      <c r="AK217" s="127">
        <v>0</v>
      </c>
      <c r="AL217" s="127">
        <v>0</v>
      </c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5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>
        <v>0</v>
      </c>
      <c r="AJ218" s="127">
        <v>0</v>
      </c>
      <c r="AK218" s="127">
        <v>0</v>
      </c>
      <c r="AL218" s="127">
        <v>0</v>
      </c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5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>
        <v>0</v>
      </c>
      <c r="AJ219" s="127">
        <v>0</v>
      </c>
      <c r="AK219" s="127">
        <v>0</v>
      </c>
      <c r="AL219" s="127">
        <v>0</v>
      </c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5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>
        <v>0</v>
      </c>
      <c r="AJ220" s="127">
        <v>0</v>
      </c>
      <c r="AK220" s="127">
        <v>0</v>
      </c>
      <c r="AL220" s="127">
        <v>0</v>
      </c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5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>
        <v>0</v>
      </c>
      <c r="AJ221" s="127">
        <v>0</v>
      </c>
      <c r="AK221" s="127">
        <v>0</v>
      </c>
      <c r="AL221" s="127">
        <v>0</v>
      </c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5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>
        <v>0</v>
      </c>
      <c r="AJ222" s="127">
        <v>0</v>
      </c>
      <c r="AK222" s="127">
        <v>0</v>
      </c>
      <c r="AL222" s="127">
        <v>0</v>
      </c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5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>
        <v>0</v>
      </c>
      <c r="AJ223" s="127">
        <v>0</v>
      </c>
      <c r="AK223" s="127">
        <v>0</v>
      </c>
      <c r="AL223" s="127">
        <v>0</v>
      </c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5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>
        <v>0</v>
      </c>
      <c r="AJ224" s="127">
        <v>0</v>
      </c>
      <c r="AK224" s="127">
        <v>0</v>
      </c>
      <c r="AL224" s="127">
        <v>0</v>
      </c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5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>
        <v>0</v>
      </c>
      <c r="AJ225" s="127">
        <v>0</v>
      </c>
      <c r="AK225" s="127">
        <v>0</v>
      </c>
      <c r="AL225" s="127">
        <v>0</v>
      </c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5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>
        <v>0</v>
      </c>
      <c r="AJ226" s="127">
        <v>0</v>
      </c>
      <c r="AK226" s="127">
        <v>0</v>
      </c>
      <c r="AL226" s="127">
        <v>0</v>
      </c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5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>
        <v>0</v>
      </c>
      <c r="AJ227" s="127">
        <v>0</v>
      </c>
      <c r="AK227" s="127">
        <v>0</v>
      </c>
      <c r="AL227" s="127">
        <v>0</v>
      </c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5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>
        <v>0</v>
      </c>
      <c r="AJ228" s="127">
        <v>0</v>
      </c>
      <c r="AK228" s="127">
        <v>0</v>
      </c>
      <c r="AL228" s="127">
        <v>0</v>
      </c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5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>
        <v>0</v>
      </c>
      <c r="AJ229" s="127">
        <v>0</v>
      </c>
      <c r="AK229" s="127">
        <v>0</v>
      </c>
      <c r="AL229" s="127">
        <v>0</v>
      </c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5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>
        <v>0</v>
      </c>
      <c r="AJ230" s="127">
        <v>0</v>
      </c>
      <c r="AK230" s="127">
        <v>0</v>
      </c>
      <c r="AL230" s="127">
        <v>0</v>
      </c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5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>
        <v>0</v>
      </c>
      <c r="AJ231" s="127">
        <v>0</v>
      </c>
      <c r="AK231" s="127">
        <v>0</v>
      </c>
      <c r="AL231" s="127">
        <v>0</v>
      </c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5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>
        <v>0</v>
      </c>
      <c r="AJ232" s="127">
        <v>0</v>
      </c>
      <c r="AK232" s="127">
        <v>0</v>
      </c>
      <c r="AL232" s="127">
        <v>0</v>
      </c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5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>
        <v>0</v>
      </c>
      <c r="AJ233" s="127">
        <v>0</v>
      </c>
      <c r="AK233" s="127">
        <v>0</v>
      </c>
      <c r="AL233" s="127">
        <v>0</v>
      </c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5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>
        <v>0</v>
      </c>
      <c r="AJ234" s="127">
        <v>0</v>
      </c>
      <c r="AK234" s="127">
        <v>0</v>
      </c>
      <c r="AL234" s="127">
        <v>0</v>
      </c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5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>
        <v>0</v>
      </c>
      <c r="AJ235" s="127">
        <v>0</v>
      </c>
      <c r="AK235" s="127">
        <v>0</v>
      </c>
      <c r="AL235" s="127">
        <v>0</v>
      </c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5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>
        <v>0</v>
      </c>
      <c r="AJ236" s="127">
        <v>0</v>
      </c>
      <c r="AK236" s="127">
        <v>0</v>
      </c>
      <c r="AL236" s="127">
        <v>0</v>
      </c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5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>
        <v>0</v>
      </c>
      <c r="AJ237" s="127">
        <v>0</v>
      </c>
      <c r="AK237" s="127">
        <v>0</v>
      </c>
      <c r="AL237" s="127">
        <v>0</v>
      </c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5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>
        <v>0</v>
      </c>
      <c r="AJ238" s="127">
        <v>0</v>
      </c>
      <c r="AK238" s="127">
        <v>0</v>
      </c>
      <c r="AL238" s="127">
        <v>0</v>
      </c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5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>
        <v>0</v>
      </c>
      <c r="AJ239" s="127">
        <v>0</v>
      </c>
      <c r="AK239" s="127">
        <v>0</v>
      </c>
      <c r="AL239" s="127">
        <v>0</v>
      </c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5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>
        <v>0</v>
      </c>
      <c r="AJ240" s="127">
        <v>0</v>
      </c>
      <c r="AK240" s="127">
        <v>0</v>
      </c>
      <c r="AL240" s="127">
        <v>0</v>
      </c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5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>
        <v>0</v>
      </c>
      <c r="AJ241" s="127">
        <v>0</v>
      </c>
      <c r="AK241" s="127">
        <v>0</v>
      </c>
      <c r="AL241" s="127">
        <v>0</v>
      </c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5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>
        <v>0</v>
      </c>
      <c r="AJ242" s="127">
        <v>0</v>
      </c>
      <c r="AK242" s="127">
        <v>0</v>
      </c>
      <c r="AL242" s="127">
        <v>0</v>
      </c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5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>
        <v>0</v>
      </c>
      <c r="AJ243" s="127">
        <v>0</v>
      </c>
      <c r="AK243" s="127">
        <v>0</v>
      </c>
      <c r="AL243" s="127">
        <v>0</v>
      </c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5">
      <c r="A244" t="s">
        <v>149</v>
      </c>
      <c r="B244" t="s">
        <v>152</v>
      </c>
      <c r="C244">
        <v>1</v>
      </c>
      <c r="D244" t="s">
        <v>29</v>
      </c>
      <c r="E244" s="14">
        <v>13991640</v>
      </c>
      <c r="F244" s="14">
        <v>31923321.450000003</v>
      </c>
      <c r="G244" s="127">
        <v>-2352995</v>
      </c>
      <c r="H244" s="127">
        <v>-3924496.43</v>
      </c>
      <c r="I244" s="127">
        <v>-1069600</v>
      </c>
      <c r="J244" s="127">
        <v>-1210382.07</v>
      </c>
      <c r="K244" s="127">
        <v>676172</v>
      </c>
      <c r="L244" s="127">
        <v>1392773.21</v>
      </c>
      <c r="M244" s="127">
        <v>37199</v>
      </c>
      <c r="N244" s="127">
        <v>101971.19</v>
      </c>
      <c r="O244" s="127">
        <v>-83745</v>
      </c>
      <c r="P244" s="127">
        <v>-181993.60000000001</v>
      </c>
      <c r="Q244" s="127">
        <v>2976847</v>
      </c>
      <c r="R244" s="127">
        <v>5283115.37</v>
      </c>
      <c r="S244" s="127">
        <v>119203</v>
      </c>
      <c r="T244" s="127">
        <v>276752.32</v>
      </c>
      <c r="U244" s="127">
        <v>-3238</v>
      </c>
      <c r="V244" s="127">
        <v>-4058.83</v>
      </c>
      <c r="W244" s="127">
        <v>8542</v>
      </c>
      <c r="X244" s="127">
        <v>14471.48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0</v>
      </c>
      <c r="AH244" s="127">
        <v>0</v>
      </c>
      <c r="AI244" s="127">
        <v>2167</v>
      </c>
      <c r="AJ244" s="127">
        <v>6379.98</v>
      </c>
      <c r="AK244" s="127">
        <v>0</v>
      </c>
      <c r="AL244" s="127">
        <v>-9157.4</v>
      </c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5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>
        <v>0</v>
      </c>
      <c r="AJ245" s="127">
        <v>0</v>
      </c>
      <c r="AK245" s="127">
        <v>0</v>
      </c>
      <c r="AL245" s="127">
        <v>0</v>
      </c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5">
      <c r="A246" t="s">
        <v>149</v>
      </c>
      <c r="B246" t="s">
        <v>152</v>
      </c>
      <c r="C246">
        <v>3</v>
      </c>
      <c r="D246" t="s">
        <v>31</v>
      </c>
      <c r="E246" s="14">
        <v>30030037</v>
      </c>
      <c r="F246" s="14">
        <v>52418185</v>
      </c>
      <c r="G246" s="127">
        <v>0</v>
      </c>
      <c r="H246" s="127">
        <v>0</v>
      </c>
      <c r="I246" s="127">
        <v>-219516</v>
      </c>
      <c r="J246" s="127">
        <v>-368409</v>
      </c>
      <c r="K246" s="127">
        <v>0</v>
      </c>
      <c r="L246" s="127">
        <v>691</v>
      </c>
      <c r="M246" s="127">
        <v>0</v>
      </c>
      <c r="N246" s="127">
        <v>0</v>
      </c>
      <c r="O246" s="127">
        <v>0</v>
      </c>
      <c r="P246" s="127">
        <v>0</v>
      </c>
      <c r="Q246" s="127">
        <v>-5000</v>
      </c>
      <c r="R246" s="127">
        <v>-8650</v>
      </c>
      <c r="S246" s="127">
        <v>0</v>
      </c>
      <c r="T246" s="127">
        <v>0</v>
      </c>
      <c r="U246" s="127">
        <v>957311</v>
      </c>
      <c r="V246" s="127">
        <v>1625596</v>
      </c>
      <c r="W246" s="127">
        <v>957311</v>
      </c>
      <c r="X246" s="127">
        <v>1625596</v>
      </c>
      <c r="Y246" s="127">
        <v>-1690106</v>
      </c>
      <c r="Z246" s="127">
        <v>-2874824</v>
      </c>
      <c r="AA246" s="127">
        <v>252543</v>
      </c>
      <c r="AB246" s="127">
        <v>440888</v>
      </c>
      <c r="AC246" s="127">
        <v>0</v>
      </c>
      <c r="AD246" s="127">
        <v>0</v>
      </c>
      <c r="AE246" s="127">
        <v>-252543</v>
      </c>
      <c r="AF246" s="127">
        <v>-440888</v>
      </c>
      <c r="AG246" s="127">
        <v>0</v>
      </c>
      <c r="AH246" s="127">
        <v>0</v>
      </c>
      <c r="AI246" s="127">
        <v>0</v>
      </c>
      <c r="AJ246" s="127">
        <v>0</v>
      </c>
      <c r="AK246" s="127">
        <v>0</v>
      </c>
      <c r="AL246" s="127">
        <v>0</v>
      </c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5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>
        <v>0</v>
      </c>
      <c r="AJ247" s="127">
        <v>0</v>
      </c>
      <c r="AK247" s="127">
        <v>0</v>
      </c>
      <c r="AL247" s="127">
        <v>0</v>
      </c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5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>
        <v>0</v>
      </c>
      <c r="AJ248" s="127">
        <v>0</v>
      </c>
      <c r="AK248" s="127">
        <v>0</v>
      </c>
      <c r="AL248" s="127">
        <v>0</v>
      </c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5">
      <c r="A249" t="s">
        <v>149</v>
      </c>
      <c r="B249" t="s">
        <v>152</v>
      </c>
      <c r="C249">
        <v>6</v>
      </c>
      <c r="D249" t="s">
        <v>29</v>
      </c>
      <c r="E249" s="14">
        <v>-22098980</v>
      </c>
      <c r="F249" s="14">
        <v>-28914087.18</v>
      </c>
      <c r="G249" s="127">
        <v>28332487</v>
      </c>
      <c r="H249" s="127">
        <v>40722590.630000003</v>
      </c>
      <c r="I249" s="127">
        <v>-27774684</v>
      </c>
      <c r="J249" s="127">
        <v>-49340342.270000003</v>
      </c>
      <c r="K249" s="127">
        <v>-526101</v>
      </c>
      <c r="L249" s="127">
        <v>-925540.13</v>
      </c>
      <c r="M249" s="127">
        <v>11821</v>
      </c>
      <c r="N249" s="127">
        <v>17524.419999999998</v>
      </c>
      <c r="O249" s="127">
        <v>6585</v>
      </c>
      <c r="P249" s="127">
        <v>13221.6</v>
      </c>
      <c r="Q249" s="127">
        <v>61979</v>
      </c>
      <c r="R249" s="127">
        <v>120107.69</v>
      </c>
      <c r="S249" s="127">
        <v>-129851</v>
      </c>
      <c r="T249" s="127">
        <v>-226916.62</v>
      </c>
      <c r="U249" s="127">
        <v>-673</v>
      </c>
      <c r="V249" s="127">
        <v>-1047.1500000000001</v>
      </c>
      <c r="W249" s="127">
        <v>-47868</v>
      </c>
      <c r="X249" s="127">
        <v>-80657.58</v>
      </c>
      <c r="Y249" s="127">
        <v>10000</v>
      </c>
      <c r="Z249" s="127">
        <v>17700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>
        <v>0</v>
      </c>
      <c r="AH249" s="127">
        <v>0</v>
      </c>
      <c r="AI249" s="127">
        <v>-148</v>
      </c>
      <c r="AJ249" s="127">
        <v>-596.29999999999995</v>
      </c>
      <c r="AK249" s="127">
        <v>0</v>
      </c>
      <c r="AL249" s="127">
        <v>0</v>
      </c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5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>
        <v>0</v>
      </c>
      <c r="AJ250" s="127">
        <v>0</v>
      </c>
      <c r="AK250" s="127">
        <v>0</v>
      </c>
      <c r="AL250" s="127">
        <v>0</v>
      </c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5">
      <c r="A251" t="s">
        <v>149</v>
      </c>
      <c r="B251" t="s">
        <v>152</v>
      </c>
      <c r="C251">
        <v>8</v>
      </c>
      <c r="D251" t="s">
        <v>31</v>
      </c>
      <c r="E251" s="14">
        <v>-30179525</v>
      </c>
      <c r="F251" s="14">
        <v>-52688368</v>
      </c>
      <c r="G251" s="127">
        <v>0</v>
      </c>
      <c r="H251" s="127">
        <v>0</v>
      </c>
      <c r="I251" s="127">
        <v>282462</v>
      </c>
      <c r="J251" s="127">
        <v>491526</v>
      </c>
      <c r="K251" s="127">
        <v>0</v>
      </c>
      <c r="L251" s="127">
        <v>0</v>
      </c>
      <c r="M251" s="127">
        <v>4494</v>
      </c>
      <c r="N251" s="127">
        <v>7707</v>
      </c>
      <c r="O251" s="127">
        <v>0</v>
      </c>
      <c r="P251" s="127">
        <v>0</v>
      </c>
      <c r="Q251" s="127">
        <v>0</v>
      </c>
      <c r="R251" s="127">
        <v>0</v>
      </c>
      <c r="S251" s="127">
        <v>0</v>
      </c>
      <c r="T251" s="127">
        <v>0</v>
      </c>
      <c r="U251" s="127">
        <v>-957311</v>
      </c>
      <c r="V251" s="127">
        <v>-1625596</v>
      </c>
      <c r="W251" s="127">
        <v>-957311</v>
      </c>
      <c r="X251" s="127">
        <v>-1625596</v>
      </c>
      <c r="Y251" s="127">
        <v>1627666</v>
      </c>
      <c r="Z251" s="127">
        <v>2751959</v>
      </c>
      <c r="AA251" s="127">
        <v>-271596</v>
      </c>
      <c r="AB251" s="127">
        <v>-489975</v>
      </c>
      <c r="AC251" s="127">
        <v>0</v>
      </c>
      <c r="AD251" s="127">
        <v>0</v>
      </c>
      <c r="AE251" s="127">
        <v>271596</v>
      </c>
      <c r="AF251" s="127">
        <v>489975</v>
      </c>
      <c r="AG251" s="127">
        <v>0</v>
      </c>
      <c r="AH251" s="127">
        <v>0</v>
      </c>
      <c r="AI251" s="127">
        <v>0</v>
      </c>
      <c r="AJ251" s="127">
        <v>0</v>
      </c>
      <c r="AK251" s="127">
        <v>0</v>
      </c>
      <c r="AL251" s="127">
        <v>0</v>
      </c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5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>
        <v>0</v>
      </c>
      <c r="AJ252" s="127">
        <v>0</v>
      </c>
      <c r="AK252" s="127">
        <v>0</v>
      </c>
      <c r="AL252" s="127">
        <v>0</v>
      </c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5">
      <c r="A253" t="s">
        <v>149</v>
      </c>
      <c r="B253" t="s">
        <v>152</v>
      </c>
      <c r="C253">
        <v>10</v>
      </c>
      <c r="D253" t="s">
        <v>36</v>
      </c>
      <c r="E253" s="14">
        <v>0</v>
      </c>
      <c r="F253" s="14">
        <v>0</v>
      </c>
      <c r="G253" s="127">
        <v>3148</v>
      </c>
      <c r="H253" s="127">
        <v>5876</v>
      </c>
      <c r="I253" s="127">
        <v>1807</v>
      </c>
      <c r="J253" s="127">
        <v>3099.01</v>
      </c>
      <c r="K253" s="127">
        <v>2</v>
      </c>
      <c r="L253" s="127">
        <v>3.43</v>
      </c>
      <c r="M253" s="127">
        <v>35</v>
      </c>
      <c r="N253" s="127">
        <v>60.03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>
        <v>0</v>
      </c>
      <c r="AJ253" s="127">
        <v>0</v>
      </c>
      <c r="AK253" s="127">
        <v>0</v>
      </c>
      <c r="AL253" s="127">
        <v>0</v>
      </c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5">
      <c r="A254" t="s">
        <v>149</v>
      </c>
      <c r="B254" t="s">
        <v>152</v>
      </c>
      <c r="C254">
        <v>11</v>
      </c>
      <c r="D254" t="s">
        <v>39</v>
      </c>
      <c r="E254" s="14">
        <v>33205385</v>
      </c>
      <c r="F254" s="14">
        <v>58683893.939999998</v>
      </c>
      <c r="G254" s="127">
        <v>-18399121</v>
      </c>
      <c r="H254" s="127">
        <v>-32382373.91</v>
      </c>
      <c r="I254" s="127">
        <v>195216</v>
      </c>
      <c r="J254" s="127">
        <v>347484.8</v>
      </c>
      <c r="K254" s="127">
        <v>151304</v>
      </c>
      <c r="L254" s="127">
        <v>269321.12</v>
      </c>
      <c r="M254" s="127">
        <v>5376</v>
      </c>
      <c r="N254" s="127">
        <v>9569.2800000000007</v>
      </c>
      <c r="O254" s="127">
        <v>-29172</v>
      </c>
      <c r="P254" s="127">
        <v>-51927</v>
      </c>
      <c r="Q254" s="127">
        <v>-2872269</v>
      </c>
      <c r="R254" s="127">
        <v>-5062039.37</v>
      </c>
      <c r="S254" s="127">
        <v>0</v>
      </c>
      <c r="T254" s="127">
        <v>0</v>
      </c>
      <c r="U254" s="127">
        <v>0</v>
      </c>
      <c r="V254" s="127">
        <v>0</v>
      </c>
      <c r="W254" s="127">
        <v>47868</v>
      </c>
      <c r="X254" s="127">
        <v>85205.04</v>
      </c>
      <c r="Y254" s="127">
        <v>-9710</v>
      </c>
      <c r="Z254" s="127">
        <v>-17283.8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>
        <v>0</v>
      </c>
      <c r="AJ254" s="127">
        <v>0</v>
      </c>
      <c r="AK254" s="127">
        <v>0</v>
      </c>
      <c r="AL254" s="127">
        <v>0</v>
      </c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5">
      <c r="A255" t="s">
        <v>149</v>
      </c>
      <c r="B255" t="s">
        <v>152</v>
      </c>
      <c r="C255">
        <v>12</v>
      </c>
      <c r="D255" t="s">
        <v>40</v>
      </c>
      <c r="E255" s="14">
        <v>-28542883</v>
      </c>
      <c r="F255" s="14">
        <v>-50684924.219999999</v>
      </c>
      <c r="G255" s="127">
        <v>-23105565</v>
      </c>
      <c r="H255" s="127">
        <v>-41007399.309999995</v>
      </c>
      <c r="I255" s="127">
        <v>28568659</v>
      </c>
      <c r="J255" s="127">
        <v>50730813.140000001</v>
      </c>
      <c r="K255" s="127">
        <v>17059092</v>
      </c>
      <c r="L255" s="127">
        <v>30365175.899999999</v>
      </c>
      <c r="M255" s="127">
        <v>-41282</v>
      </c>
      <c r="N255" s="127">
        <v>-74011.649999999994</v>
      </c>
      <c r="O255" s="127">
        <v>6795</v>
      </c>
      <c r="P255" s="127">
        <v>12095</v>
      </c>
      <c r="Q255" s="127">
        <v>65673</v>
      </c>
      <c r="R255" s="127">
        <v>116898</v>
      </c>
      <c r="S255" s="127">
        <v>10000</v>
      </c>
      <c r="T255" s="127">
        <v>17700</v>
      </c>
      <c r="U255" s="127">
        <v>1600</v>
      </c>
      <c r="V255" s="127">
        <v>2848</v>
      </c>
      <c r="W255" s="127">
        <v>-49967</v>
      </c>
      <c r="X255" s="127">
        <v>-88941.26</v>
      </c>
      <c r="Y255" s="127">
        <v>326542</v>
      </c>
      <c r="Z255" s="127">
        <v>581244.76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>
        <v>0</v>
      </c>
      <c r="AJ255" s="127">
        <v>0</v>
      </c>
      <c r="AK255" s="127">
        <v>0</v>
      </c>
      <c r="AL255" s="127">
        <v>0</v>
      </c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5">
      <c r="A256" t="s">
        <v>149</v>
      </c>
      <c r="B256" t="s">
        <v>152</v>
      </c>
      <c r="C256">
        <v>13</v>
      </c>
      <c r="D256" t="s">
        <v>43</v>
      </c>
      <c r="E256" s="14">
        <v>0</v>
      </c>
      <c r="F256" s="14">
        <v>0</v>
      </c>
      <c r="G256" s="127">
        <v>-14097</v>
      </c>
      <c r="H256" s="127">
        <v>-24176</v>
      </c>
      <c r="I256" s="127">
        <v>213574</v>
      </c>
      <c r="J256" s="127">
        <v>386825.19</v>
      </c>
      <c r="K256" s="127">
        <v>-164523</v>
      </c>
      <c r="L256" s="127">
        <v>-302703.08</v>
      </c>
      <c r="M256" s="127">
        <v>67665</v>
      </c>
      <c r="N256" s="127">
        <v>163865.93</v>
      </c>
      <c r="O256" s="127">
        <v>1545</v>
      </c>
      <c r="P256" s="127">
        <v>3476.25</v>
      </c>
      <c r="Q256" s="127">
        <v>-64348</v>
      </c>
      <c r="R256" s="127">
        <v>-220711.826</v>
      </c>
      <c r="S256" s="127">
        <v>84625</v>
      </c>
      <c r="T256" s="127">
        <v>279820.86</v>
      </c>
      <c r="U256" s="127">
        <v>82572</v>
      </c>
      <c r="V256" s="127">
        <v>116449.83</v>
      </c>
      <c r="W256" s="127">
        <v>128278</v>
      </c>
      <c r="X256" s="127">
        <v>219996.77</v>
      </c>
      <c r="Y256" s="127">
        <v>27795</v>
      </c>
      <c r="Z256" s="127">
        <v>47668.425000000003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>
        <v>0</v>
      </c>
      <c r="AJ256" s="127">
        <v>0</v>
      </c>
      <c r="AK256" s="127">
        <v>0</v>
      </c>
      <c r="AL256" s="127">
        <v>0</v>
      </c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5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>
        <v>0</v>
      </c>
      <c r="AJ257" s="127">
        <v>0</v>
      </c>
      <c r="AK257" s="127">
        <v>0</v>
      </c>
      <c r="AL257" s="127">
        <v>0</v>
      </c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5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>
        <v>0</v>
      </c>
      <c r="AJ258" s="127">
        <v>0</v>
      </c>
      <c r="AK258" s="127">
        <v>0</v>
      </c>
      <c r="AL258" s="127">
        <v>0</v>
      </c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5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>
        <v>0</v>
      </c>
      <c r="AJ259" s="127">
        <v>0</v>
      </c>
      <c r="AK259" s="127">
        <v>0</v>
      </c>
      <c r="AL259" s="127">
        <v>0</v>
      </c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5">
      <c r="A260" t="s">
        <v>149</v>
      </c>
      <c r="B260" t="s">
        <v>152</v>
      </c>
      <c r="C260">
        <v>17</v>
      </c>
      <c r="D260" t="s">
        <v>135</v>
      </c>
      <c r="E260" s="14">
        <v>3288769</v>
      </c>
      <c r="F260" s="14">
        <v>6011464.0199999996</v>
      </c>
      <c r="G260" s="127">
        <v>15541320</v>
      </c>
      <c r="H260" s="127">
        <v>28475738.98</v>
      </c>
      <c r="I260" s="127">
        <v>-274810</v>
      </c>
      <c r="J260" s="127">
        <v>-503514.08</v>
      </c>
      <c r="K260" s="127">
        <v>-16653389</v>
      </c>
      <c r="L260" s="127">
        <v>-30513367.850000001</v>
      </c>
      <c r="M260" s="127">
        <v>-9196</v>
      </c>
      <c r="N260" s="127">
        <v>-16849.46</v>
      </c>
      <c r="O260" s="127">
        <v>56863</v>
      </c>
      <c r="P260" s="127">
        <v>116641.3</v>
      </c>
      <c r="Q260" s="127">
        <v>-69962</v>
      </c>
      <c r="R260" s="127">
        <v>-429341.2</v>
      </c>
      <c r="S260" s="127">
        <v>4590</v>
      </c>
      <c r="T260" s="127">
        <v>7818.13</v>
      </c>
      <c r="U260" s="127">
        <v>4870</v>
      </c>
      <c r="V260" s="127">
        <v>7823.04</v>
      </c>
      <c r="W260" s="127">
        <v>0</v>
      </c>
      <c r="X260" s="127">
        <v>0</v>
      </c>
      <c r="Y260" s="127">
        <v>-352845</v>
      </c>
      <c r="Z260" s="127">
        <v>-694923.87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>
        <v>0</v>
      </c>
      <c r="AJ260" s="127">
        <v>0</v>
      </c>
      <c r="AK260" s="127">
        <v>0</v>
      </c>
      <c r="AL260" s="127">
        <v>0</v>
      </c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5">
      <c r="A261" t="s">
        <v>149</v>
      </c>
      <c r="B261" t="s">
        <v>152</v>
      </c>
      <c r="C261">
        <v>18</v>
      </c>
      <c r="D261" t="s">
        <v>136</v>
      </c>
      <c r="E261" s="14">
        <v>0</v>
      </c>
      <c r="F261" s="14">
        <v>0</v>
      </c>
      <c r="G261" s="127">
        <v>0</v>
      </c>
      <c r="H261" s="127">
        <v>0</v>
      </c>
      <c r="I261" s="127">
        <v>0</v>
      </c>
      <c r="J261" s="127">
        <v>0</v>
      </c>
      <c r="K261" s="127">
        <v>-438916</v>
      </c>
      <c r="L261" s="127">
        <v>-752740.94</v>
      </c>
      <c r="M261" s="127">
        <v>0</v>
      </c>
      <c r="N261" s="127">
        <v>0</v>
      </c>
      <c r="O261" s="127">
        <v>0</v>
      </c>
      <c r="P261" s="127">
        <v>0</v>
      </c>
      <c r="Q261" s="127">
        <v>0</v>
      </c>
      <c r="R261" s="127">
        <v>-28529.54</v>
      </c>
      <c r="S261" s="127">
        <v>-25739</v>
      </c>
      <c r="T261" s="127">
        <v>-45815.42</v>
      </c>
      <c r="U261" s="127">
        <v>2</v>
      </c>
      <c r="V261" s="127">
        <v>3.56</v>
      </c>
      <c r="W261" s="127">
        <v>4515</v>
      </c>
      <c r="X261" s="127">
        <v>8036.7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>
        <v>0</v>
      </c>
      <c r="AJ261" s="127">
        <v>0</v>
      </c>
      <c r="AK261" s="127">
        <v>0</v>
      </c>
      <c r="AL261" s="127">
        <v>0</v>
      </c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5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>
        <v>0</v>
      </c>
      <c r="AJ262" s="127">
        <v>0</v>
      </c>
      <c r="AK262" s="127">
        <v>0</v>
      </c>
      <c r="AL262" s="127">
        <v>0</v>
      </c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5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5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>
        <v>0</v>
      </c>
      <c r="AJ264" s="127">
        <v>0</v>
      </c>
      <c r="AK264" s="127">
        <v>0</v>
      </c>
      <c r="AL264" s="127">
        <v>0</v>
      </c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5">
      <c r="A265" t="s">
        <v>149</v>
      </c>
      <c r="B265" t="s">
        <v>152</v>
      </c>
      <c r="C265">
        <v>22</v>
      </c>
      <c r="D265" t="s">
        <v>139</v>
      </c>
      <c r="E265" s="14">
        <v>144928</v>
      </c>
      <c r="F265" s="14">
        <v>248551.52</v>
      </c>
      <c r="G265" s="127">
        <v>-5177</v>
      </c>
      <c r="H265" s="127">
        <v>-46553.195</v>
      </c>
      <c r="I265" s="127">
        <v>76892</v>
      </c>
      <c r="J265" s="127">
        <v>-49152.86</v>
      </c>
      <c r="K265" s="127">
        <v>-103641</v>
      </c>
      <c r="L265" s="127">
        <v>40555.684999999998</v>
      </c>
      <c r="M265" s="127">
        <v>-76112</v>
      </c>
      <c r="N265" s="127">
        <v>-130532.08</v>
      </c>
      <c r="O265" s="127">
        <v>41129</v>
      </c>
      <c r="P265" s="127">
        <v>70536.235000000001</v>
      </c>
      <c r="Q265" s="127">
        <v>-92920</v>
      </c>
      <c r="R265" s="127">
        <v>-159357.79999999999</v>
      </c>
      <c r="S265" s="127">
        <v>-62828</v>
      </c>
      <c r="T265" s="127">
        <v>-107750.02</v>
      </c>
      <c r="U265" s="127">
        <v>-85133</v>
      </c>
      <c r="V265" s="127">
        <v>-146003.095</v>
      </c>
      <c r="W265" s="127">
        <v>-91368</v>
      </c>
      <c r="X265" s="127">
        <v>-156696.12</v>
      </c>
      <c r="Y265" s="127">
        <v>60658</v>
      </c>
      <c r="Z265" s="127">
        <v>104028.47</v>
      </c>
      <c r="AA265" s="127">
        <v>19053</v>
      </c>
      <c r="AB265" s="127">
        <v>34066.764000000003</v>
      </c>
      <c r="AC265" s="127">
        <v>0</v>
      </c>
      <c r="AD265" s="127">
        <v>0</v>
      </c>
      <c r="AE265" s="127">
        <v>-19053</v>
      </c>
      <c r="AF265" s="127">
        <v>-34066.764000000003</v>
      </c>
      <c r="AG265" s="127">
        <v>0</v>
      </c>
      <c r="AH265" s="127">
        <v>0</v>
      </c>
      <c r="AI265" s="127">
        <v>-2019</v>
      </c>
      <c r="AJ265" s="127">
        <v>-3609.9720000000002</v>
      </c>
      <c r="AK265" s="127">
        <v>0</v>
      </c>
      <c r="AL265" s="127">
        <v>0</v>
      </c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5">
      <c r="A266" t="s">
        <v>149</v>
      </c>
      <c r="B266" t="s">
        <v>152</v>
      </c>
      <c r="C266">
        <v>23</v>
      </c>
      <c r="D266" t="s">
        <v>140</v>
      </c>
      <c r="E266" s="14">
        <v>0</v>
      </c>
      <c r="F266" s="14">
        <v>0</v>
      </c>
      <c r="G266" s="127">
        <v>-3148</v>
      </c>
      <c r="H266" s="127">
        <v>-5876</v>
      </c>
      <c r="I266" s="127">
        <v>-1807</v>
      </c>
      <c r="J266" s="127">
        <v>-3099.01</v>
      </c>
      <c r="K266" s="127">
        <v>-2</v>
      </c>
      <c r="L266" s="127">
        <v>-3.43</v>
      </c>
      <c r="M266" s="127">
        <v>-35</v>
      </c>
      <c r="N266" s="127">
        <v>-60.03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>
        <v>0</v>
      </c>
      <c r="AJ266" s="127">
        <v>0</v>
      </c>
      <c r="AK266" s="127">
        <v>0</v>
      </c>
      <c r="AL266" s="127">
        <v>0</v>
      </c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5">
      <c r="A267" t="s">
        <v>149</v>
      </c>
      <c r="B267" t="s">
        <v>152</v>
      </c>
      <c r="C267">
        <v>24</v>
      </c>
      <c r="D267" t="s">
        <v>59</v>
      </c>
      <c r="E267" s="14">
        <v>-3179698</v>
      </c>
      <c r="F267" s="14">
        <v>848376.54</v>
      </c>
      <c r="G267" s="127">
        <v>51445002</v>
      </c>
      <c r="H267" s="127">
        <v>603289.94999999995</v>
      </c>
      <c r="I267" s="127">
        <v>-25972291</v>
      </c>
      <c r="J267" s="127">
        <v>-1309355.42</v>
      </c>
      <c r="K267" s="127">
        <v>-180934</v>
      </c>
      <c r="L267" s="127">
        <v>-108995.19</v>
      </c>
      <c r="M267" s="127">
        <v>54047</v>
      </c>
      <c r="N267" s="127">
        <v>573.23</v>
      </c>
      <c r="O267" s="127">
        <v>0</v>
      </c>
      <c r="P267" s="127">
        <v>770</v>
      </c>
      <c r="Q267" s="127">
        <v>0</v>
      </c>
      <c r="R267" s="127">
        <v>-9693</v>
      </c>
      <c r="S267" s="127">
        <v>-24529</v>
      </c>
      <c r="T267" s="127">
        <v>247.05</v>
      </c>
      <c r="U267" s="127">
        <v>-673</v>
      </c>
      <c r="V267" s="127">
        <v>28.57</v>
      </c>
      <c r="W267" s="127">
        <v>4515</v>
      </c>
      <c r="X267" s="127">
        <v>-45.15</v>
      </c>
      <c r="Y267" s="127">
        <v>369477</v>
      </c>
      <c r="Z267" s="127">
        <v>997.05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0</v>
      </c>
      <c r="AI267" s="127">
        <v>0</v>
      </c>
      <c r="AJ267" s="127">
        <v>-74974.48</v>
      </c>
      <c r="AK267" s="127">
        <v>0</v>
      </c>
      <c r="AL267" s="127">
        <v>-103.9</v>
      </c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5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>
        <v>0</v>
      </c>
      <c r="AJ268" s="127">
        <v>0</v>
      </c>
      <c r="AK268" s="127">
        <v>0</v>
      </c>
      <c r="AL268" s="127">
        <v>0</v>
      </c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5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0</v>
      </c>
      <c r="Q269" s="127">
        <v>0</v>
      </c>
      <c r="R269" s="127">
        <v>200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0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>
        <v>0</v>
      </c>
      <c r="AJ269" s="127">
        <v>0</v>
      </c>
      <c r="AK269" s="127">
        <v>0</v>
      </c>
      <c r="AL269" s="127">
        <v>0</v>
      </c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5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>
        <v>0</v>
      </c>
      <c r="AJ270" s="127">
        <v>0</v>
      </c>
      <c r="AK270" s="127">
        <v>0</v>
      </c>
      <c r="AL270" s="127">
        <v>0</v>
      </c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5">
      <c r="A271" t="s">
        <v>149</v>
      </c>
      <c r="B271" t="s">
        <v>152</v>
      </c>
      <c r="C271">
        <v>28</v>
      </c>
      <c r="D271" t="s">
        <v>143</v>
      </c>
      <c r="E271" s="14">
        <v>-25993375</v>
      </c>
      <c r="F271" s="14">
        <v>-842621.87</v>
      </c>
      <c r="G271" s="127">
        <v>-41834941</v>
      </c>
      <c r="H271" s="127">
        <v>-584872.41</v>
      </c>
      <c r="I271" s="127">
        <v>11484140</v>
      </c>
      <c r="J271" s="127">
        <v>697160.06</v>
      </c>
      <c r="K271" s="127">
        <v>227621</v>
      </c>
      <c r="L271" s="127">
        <v>584.62</v>
      </c>
      <c r="M271" s="127">
        <v>21347</v>
      </c>
      <c r="N271" s="127">
        <v>-24.71</v>
      </c>
      <c r="O271" s="127">
        <v>-58407</v>
      </c>
      <c r="P271" s="127">
        <v>375</v>
      </c>
      <c r="Q271" s="127">
        <v>86495</v>
      </c>
      <c r="R271" s="127">
        <v>-810</v>
      </c>
      <c r="S271" s="127">
        <v>-2781</v>
      </c>
      <c r="T271" s="127">
        <v>-7.0000000000000007E-2</v>
      </c>
      <c r="U271" s="127">
        <v>-6679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>
        <v>0</v>
      </c>
      <c r="AJ271" s="127">
        <v>0</v>
      </c>
      <c r="AK271" s="127">
        <v>0</v>
      </c>
      <c r="AL271" s="127">
        <v>0</v>
      </c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5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>
        <v>0</v>
      </c>
      <c r="AJ272" s="127">
        <v>0</v>
      </c>
      <c r="AK272" s="127">
        <v>0</v>
      </c>
      <c r="AL272" s="127">
        <v>0</v>
      </c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5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>
        <v>0</v>
      </c>
      <c r="AJ273" s="127">
        <v>0</v>
      </c>
      <c r="AK273" s="127">
        <v>0</v>
      </c>
      <c r="AL273" s="127">
        <v>0</v>
      </c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5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>
        <v>0</v>
      </c>
      <c r="AJ274" s="127">
        <v>0</v>
      </c>
      <c r="AK274" s="127">
        <v>0</v>
      </c>
      <c r="AL274" s="127">
        <v>0</v>
      </c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5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>
        <v>0</v>
      </c>
      <c r="AJ275" s="127">
        <v>0</v>
      </c>
      <c r="AK275" s="127">
        <v>0</v>
      </c>
      <c r="AL275" s="127">
        <v>0</v>
      </c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5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>
        <v>0</v>
      </c>
      <c r="AJ276" s="127">
        <v>0</v>
      </c>
      <c r="AK276" s="127">
        <v>0</v>
      </c>
      <c r="AL276" s="127">
        <v>0</v>
      </c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5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>
        <v>0</v>
      </c>
      <c r="AL277" s="127">
        <v>0</v>
      </c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5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0</v>
      </c>
      <c r="G278" s="127">
        <v>0</v>
      </c>
      <c r="H278" s="127">
        <v>-60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>
        <v>0</v>
      </c>
      <c r="AJ278" s="127">
        <v>0</v>
      </c>
      <c r="AK278" s="127">
        <v>0</v>
      </c>
      <c r="AL278" s="127">
        <v>0</v>
      </c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5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>
        <v>0</v>
      </c>
      <c r="AJ279" s="127">
        <v>0</v>
      </c>
      <c r="AK279" s="127">
        <v>0</v>
      </c>
      <c r="AL279" s="127">
        <v>0</v>
      </c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5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>
        <v>0</v>
      </c>
      <c r="AJ280" s="127">
        <v>0</v>
      </c>
      <c r="AK280" s="127">
        <v>0</v>
      </c>
      <c r="AL280" s="127">
        <v>0</v>
      </c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5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>
        <v>0</v>
      </c>
      <c r="AJ281" s="127">
        <v>0</v>
      </c>
      <c r="AK281" s="127">
        <v>0</v>
      </c>
      <c r="AL281" s="127">
        <v>0</v>
      </c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5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>
        <v>0</v>
      </c>
      <c r="AJ282" s="127">
        <v>0</v>
      </c>
      <c r="AK282" s="127">
        <v>0</v>
      </c>
      <c r="AL282" s="127">
        <v>0</v>
      </c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5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>
        <v>0</v>
      </c>
      <c r="AJ283" s="127">
        <v>0</v>
      </c>
      <c r="AK283" s="127">
        <v>0</v>
      </c>
      <c r="AL283" s="127">
        <v>0</v>
      </c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5">
      <c r="A284" t="s">
        <v>149</v>
      </c>
      <c r="B284" t="s">
        <v>153</v>
      </c>
      <c r="C284">
        <v>1</v>
      </c>
      <c r="D284" t="s">
        <v>29</v>
      </c>
      <c r="E284" s="14">
        <v>26634801</v>
      </c>
      <c r="F284" s="14">
        <v>47340207.019999996</v>
      </c>
      <c r="G284" s="127">
        <v>3868</v>
      </c>
      <c r="H284" s="127">
        <v>-138185.15</v>
      </c>
      <c r="I284" s="127">
        <v>-291499</v>
      </c>
      <c r="J284" s="127">
        <v>-260712.45</v>
      </c>
      <c r="K284" s="127">
        <v>35040</v>
      </c>
      <c r="L284" s="127">
        <v>54335.28</v>
      </c>
      <c r="M284" s="127">
        <v>5000</v>
      </c>
      <c r="N284" s="127">
        <v>8850</v>
      </c>
      <c r="O284" s="127">
        <v>0</v>
      </c>
      <c r="P284" s="127">
        <v>0</v>
      </c>
      <c r="Q284" s="127">
        <v>131247</v>
      </c>
      <c r="R284" s="127">
        <v>0</v>
      </c>
      <c r="S284" s="127">
        <v>-89329</v>
      </c>
      <c r="T284" s="127">
        <v>65742.42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>
        <v>0</v>
      </c>
      <c r="AJ284" s="127">
        <v>0</v>
      </c>
      <c r="AK284" s="127">
        <v>0</v>
      </c>
      <c r="AL284" s="127">
        <v>0</v>
      </c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5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>
        <v>0</v>
      </c>
      <c r="AJ285" s="127">
        <v>0</v>
      </c>
      <c r="AK285" s="127">
        <v>0</v>
      </c>
      <c r="AL285" s="127">
        <v>0</v>
      </c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5">
      <c r="A286" t="s">
        <v>149</v>
      </c>
      <c r="B286" t="s">
        <v>153</v>
      </c>
      <c r="C286">
        <v>3</v>
      </c>
      <c r="D286" t="s">
        <v>31</v>
      </c>
      <c r="E286" s="14">
        <v>16058211</v>
      </c>
      <c r="F286" s="14">
        <v>27637178</v>
      </c>
      <c r="G286" s="127">
        <v>0</v>
      </c>
      <c r="H286" s="127">
        <v>0</v>
      </c>
      <c r="I286" s="127">
        <v>-68387</v>
      </c>
      <c r="J286" s="127">
        <v>-117260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0</v>
      </c>
      <c r="T286" s="127">
        <v>0</v>
      </c>
      <c r="U286" s="127">
        <v>0</v>
      </c>
      <c r="V286" s="127">
        <v>0</v>
      </c>
      <c r="W286" s="127">
        <v>805845</v>
      </c>
      <c r="X286" s="127">
        <v>1361834</v>
      </c>
      <c r="Y286" s="127">
        <v>-737458</v>
      </c>
      <c r="Z286" s="127">
        <v>-1244574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>
        <v>0</v>
      </c>
      <c r="AJ286" s="127">
        <v>0</v>
      </c>
      <c r="AK286" s="127">
        <v>0</v>
      </c>
      <c r="AL286" s="127">
        <v>0</v>
      </c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5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>
        <v>0</v>
      </c>
      <c r="AJ287" s="127">
        <v>0</v>
      </c>
      <c r="AK287" s="127">
        <v>0</v>
      </c>
      <c r="AL287" s="127">
        <v>0</v>
      </c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5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>
        <v>0</v>
      </c>
      <c r="AJ288" s="127">
        <v>0</v>
      </c>
      <c r="AK288" s="127">
        <v>0</v>
      </c>
      <c r="AL288" s="127">
        <v>0</v>
      </c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5">
      <c r="A289" t="s">
        <v>149</v>
      </c>
      <c r="B289" t="s">
        <v>153</v>
      </c>
      <c r="C289">
        <v>6</v>
      </c>
      <c r="D289" t="s">
        <v>29</v>
      </c>
      <c r="E289" s="14">
        <v>-27908771</v>
      </c>
      <c r="F289" s="14">
        <v>-47096707.980000004</v>
      </c>
      <c r="G289" s="127">
        <v>3042</v>
      </c>
      <c r="H289" s="127">
        <v>522936.8</v>
      </c>
      <c r="I289" s="127">
        <v>280000</v>
      </c>
      <c r="J289" s="127">
        <v>302250.75</v>
      </c>
      <c r="K289" s="127">
        <v>4550</v>
      </c>
      <c r="L289" s="127">
        <v>6742.17</v>
      </c>
      <c r="M289" s="127">
        <v>0</v>
      </c>
      <c r="N289" s="127">
        <v>-224.58</v>
      </c>
      <c r="O289" s="127">
        <v>0</v>
      </c>
      <c r="P289" s="127">
        <v>0</v>
      </c>
      <c r="Q289" s="127">
        <v>0</v>
      </c>
      <c r="R289" s="127">
        <v>-1800</v>
      </c>
      <c r="S289" s="127">
        <v>1383</v>
      </c>
      <c r="T289" s="127">
        <v>1977.69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>
        <v>0</v>
      </c>
      <c r="AJ289" s="127">
        <v>0</v>
      </c>
      <c r="AK289" s="127">
        <v>0</v>
      </c>
      <c r="AL289" s="127">
        <v>0</v>
      </c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5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>
        <v>0</v>
      </c>
      <c r="AJ290" s="127">
        <v>0</v>
      </c>
      <c r="AK290" s="127">
        <v>0</v>
      </c>
      <c r="AL290" s="127">
        <v>0</v>
      </c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5">
      <c r="A291" t="s">
        <v>149</v>
      </c>
      <c r="B291" t="s">
        <v>153</v>
      </c>
      <c r="C291">
        <v>8</v>
      </c>
      <c r="D291" t="s">
        <v>31</v>
      </c>
      <c r="E291" s="14">
        <v>-14522114</v>
      </c>
      <c r="F291" s="14">
        <v>-25005851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0</v>
      </c>
      <c r="T291" s="127">
        <v>0</v>
      </c>
      <c r="U291" s="127">
        <v>0</v>
      </c>
      <c r="V291" s="127">
        <v>0</v>
      </c>
      <c r="W291" s="127">
        <v>-805845</v>
      </c>
      <c r="X291" s="127">
        <v>-1361834</v>
      </c>
      <c r="Y291" s="127">
        <v>805845</v>
      </c>
      <c r="Z291" s="127">
        <v>1361834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>
        <v>0</v>
      </c>
      <c r="AJ291" s="127">
        <v>0</v>
      </c>
      <c r="AK291" s="127">
        <v>0</v>
      </c>
      <c r="AL291" s="127">
        <v>0</v>
      </c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5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>
        <v>0</v>
      </c>
      <c r="AJ292" s="127">
        <v>0</v>
      </c>
      <c r="AK292" s="127">
        <v>0</v>
      </c>
      <c r="AL292" s="127">
        <v>0</v>
      </c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5">
      <c r="A293" t="s">
        <v>149</v>
      </c>
      <c r="B293" t="s">
        <v>153</v>
      </c>
      <c r="C293">
        <v>10</v>
      </c>
      <c r="D293" t="s">
        <v>36</v>
      </c>
      <c r="E293" s="14">
        <v>274328</v>
      </c>
      <c r="F293" s="14">
        <v>457853.43</v>
      </c>
      <c r="G293" s="127">
        <v>4936</v>
      </c>
      <c r="H293" s="127">
        <v>8238.1839999999993</v>
      </c>
      <c r="I293" s="127">
        <v>-97</v>
      </c>
      <c r="J293" s="127">
        <v>-161.893</v>
      </c>
      <c r="K293" s="127">
        <v>0</v>
      </c>
      <c r="L293" s="127">
        <v>0</v>
      </c>
      <c r="M293" s="127">
        <v>63</v>
      </c>
      <c r="N293" s="127">
        <v>105.14700000000001</v>
      </c>
      <c r="O293" s="127">
        <v>0</v>
      </c>
      <c r="P293" s="127">
        <v>0</v>
      </c>
      <c r="Q293" s="127">
        <v>0</v>
      </c>
      <c r="R293" s="127">
        <v>0</v>
      </c>
      <c r="S293" s="127">
        <v>-3</v>
      </c>
      <c r="T293" s="127">
        <v>-5.0069999999999997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>
        <v>0</v>
      </c>
      <c r="AJ293" s="127">
        <v>0</v>
      </c>
      <c r="AK293" s="127">
        <v>0</v>
      </c>
      <c r="AL293" s="127">
        <v>0</v>
      </c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5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>
        <v>0</v>
      </c>
      <c r="AJ294" s="127">
        <v>0</v>
      </c>
      <c r="AK294" s="127">
        <v>0</v>
      </c>
      <c r="AL294" s="127">
        <v>0</v>
      </c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5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>
        <v>0</v>
      </c>
      <c r="AJ295" s="127">
        <v>0</v>
      </c>
      <c r="AK295" s="127">
        <v>0</v>
      </c>
      <c r="AL295" s="127">
        <v>0</v>
      </c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5">
      <c r="A296" t="s">
        <v>149</v>
      </c>
      <c r="B296" t="s">
        <v>153</v>
      </c>
      <c r="C296">
        <v>13</v>
      </c>
      <c r="D296" t="s">
        <v>43</v>
      </c>
      <c r="E296" s="14">
        <v>-123809</v>
      </c>
      <c r="F296" s="14">
        <v>-206637.22</v>
      </c>
      <c r="G296" s="127">
        <v>93189</v>
      </c>
      <c r="H296" s="127">
        <v>160370.4</v>
      </c>
      <c r="I296" s="127">
        <v>-53204</v>
      </c>
      <c r="J296" s="127">
        <v>-87600.107999999993</v>
      </c>
      <c r="K296" s="127">
        <v>0</v>
      </c>
      <c r="L296" s="127">
        <v>-40486.991999999998</v>
      </c>
      <c r="M296" s="127">
        <v>-1</v>
      </c>
      <c r="N296" s="127">
        <v>-2.08</v>
      </c>
      <c r="O296" s="127">
        <v>1</v>
      </c>
      <c r="P296" s="127">
        <v>-584.68799999999999</v>
      </c>
      <c r="Q296" s="127">
        <v>0</v>
      </c>
      <c r="R296" s="127">
        <v>-72926.880000000005</v>
      </c>
      <c r="S296" s="127">
        <v>-43298</v>
      </c>
      <c r="T296" s="127">
        <v>-87225.68</v>
      </c>
      <c r="U296" s="127">
        <v>0</v>
      </c>
      <c r="V296" s="127">
        <v>770566.01199999999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>
        <v>0</v>
      </c>
      <c r="AJ296" s="127">
        <v>0</v>
      </c>
      <c r="AK296" s="127">
        <v>0</v>
      </c>
      <c r="AL296" s="127">
        <v>0</v>
      </c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5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-31496</v>
      </c>
      <c r="H297" s="127">
        <v>-63063.040000000001</v>
      </c>
      <c r="I297" s="127">
        <v>-26269</v>
      </c>
      <c r="J297" s="127">
        <v>-52643.08</v>
      </c>
      <c r="K297" s="127">
        <v>-1</v>
      </c>
      <c r="L297" s="127">
        <v>-1.63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>
        <v>0</v>
      </c>
      <c r="AJ297" s="127">
        <v>0</v>
      </c>
      <c r="AK297" s="127">
        <v>0</v>
      </c>
      <c r="AL297" s="127">
        <v>0</v>
      </c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5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157517</v>
      </c>
      <c r="H298" s="127">
        <v>52644.45</v>
      </c>
      <c r="I298" s="127">
        <v>31331</v>
      </c>
      <c r="J298" s="127">
        <v>62786.99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219051.24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>
        <v>0</v>
      </c>
      <c r="AJ298" s="127">
        <v>0</v>
      </c>
      <c r="AK298" s="127">
        <v>0</v>
      </c>
      <c r="AL298" s="127">
        <v>0</v>
      </c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5">
      <c r="A299" t="s">
        <v>149</v>
      </c>
      <c r="B299" t="s">
        <v>153</v>
      </c>
      <c r="C299">
        <v>16</v>
      </c>
      <c r="D299" t="s">
        <v>46</v>
      </c>
      <c r="E299" s="14">
        <v>-412644</v>
      </c>
      <c r="F299" s="14">
        <v>0.01</v>
      </c>
      <c r="G299" s="127">
        <v>-139005</v>
      </c>
      <c r="H299" s="127">
        <v>0</v>
      </c>
      <c r="I299" s="127">
        <v>0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-3</v>
      </c>
      <c r="P299" s="127">
        <v>0</v>
      </c>
      <c r="Q299" s="127">
        <v>0</v>
      </c>
      <c r="R299" s="127">
        <v>-920707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>
        <v>0</v>
      </c>
      <c r="AJ299" s="127">
        <v>0</v>
      </c>
      <c r="AK299" s="127">
        <v>0</v>
      </c>
      <c r="AL299" s="127">
        <v>0</v>
      </c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5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>
        <v>0</v>
      </c>
      <c r="AJ300" s="127">
        <v>0</v>
      </c>
      <c r="AK300" s="127">
        <v>0</v>
      </c>
      <c r="AL300" s="127">
        <v>0</v>
      </c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5">
      <c r="A301" t="s">
        <v>149</v>
      </c>
      <c r="B301" t="s">
        <v>153</v>
      </c>
      <c r="C301">
        <v>18</v>
      </c>
      <c r="D301" t="s">
        <v>136</v>
      </c>
      <c r="E301" s="14">
        <v>0</v>
      </c>
      <c r="F301" s="14">
        <v>0</v>
      </c>
      <c r="G301" s="127">
        <v>-70654</v>
      </c>
      <c r="H301" s="127">
        <v>-137089.09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>
        <v>0</v>
      </c>
      <c r="AJ301" s="127">
        <v>0</v>
      </c>
      <c r="AK301" s="127">
        <v>0</v>
      </c>
      <c r="AL301" s="127">
        <v>0</v>
      </c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5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>
        <v>0</v>
      </c>
      <c r="AJ302" s="127">
        <v>0</v>
      </c>
      <c r="AK302" s="127">
        <v>0</v>
      </c>
      <c r="AL302" s="127">
        <v>0</v>
      </c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5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>
        <v>0</v>
      </c>
      <c r="AJ303" s="127">
        <v>0</v>
      </c>
      <c r="AK303" s="127">
        <v>0</v>
      </c>
      <c r="AL303" s="127">
        <v>0</v>
      </c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5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>
        <v>0</v>
      </c>
      <c r="AJ304" s="127">
        <v>0</v>
      </c>
      <c r="AK304" s="127">
        <v>0</v>
      </c>
      <c r="AL304" s="127">
        <v>0</v>
      </c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5">
      <c r="A305" t="s">
        <v>149</v>
      </c>
      <c r="B305" t="s">
        <v>153</v>
      </c>
      <c r="C305">
        <v>22</v>
      </c>
      <c r="D305" t="s">
        <v>139</v>
      </c>
      <c r="E305" s="14">
        <v>-2</v>
      </c>
      <c r="F305" s="14">
        <v>-3.3380000000000001</v>
      </c>
      <c r="G305" s="127">
        <v>-21397</v>
      </c>
      <c r="H305" s="127">
        <v>-35711.593000000343</v>
      </c>
      <c r="I305" s="127">
        <v>128125</v>
      </c>
      <c r="J305" s="127">
        <v>2777586.5249999999</v>
      </c>
      <c r="K305" s="127">
        <v>-39589</v>
      </c>
      <c r="L305" s="127">
        <v>-2630217.0410000002</v>
      </c>
      <c r="M305" s="127">
        <v>-5062</v>
      </c>
      <c r="N305" s="127">
        <v>-8448.4779999999992</v>
      </c>
      <c r="O305" s="127">
        <v>2</v>
      </c>
      <c r="P305" s="127">
        <v>3.3380000000000001</v>
      </c>
      <c r="Q305" s="127">
        <v>-131247</v>
      </c>
      <c r="R305" s="127">
        <v>-219051.24299999999</v>
      </c>
      <c r="S305" s="127">
        <v>131247</v>
      </c>
      <c r="T305" s="127">
        <v>219051.24299999999</v>
      </c>
      <c r="U305" s="127">
        <v>0</v>
      </c>
      <c r="V305" s="127">
        <v>0</v>
      </c>
      <c r="W305" s="127">
        <v>0</v>
      </c>
      <c r="X305" s="127">
        <v>0</v>
      </c>
      <c r="Y305" s="127">
        <v>-68387</v>
      </c>
      <c r="Z305" s="127">
        <v>-114137.90300000001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>
        <v>0</v>
      </c>
      <c r="AJ305" s="127">
        <v>0</v>
      </c>
      <c r="AK305" s="127">
        <v>0</v>
      </c>
      <c r="AL305" s="127">
        <v>0</v>
      </c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5">
      <c r="A306" t="s">
        <v>149</v>
      </c>
      <c r="B306" t="s">
        <v>153</v>
      </c>
      <c r="C306">
        <v>23</v>
      </c>
      <c r="D306" t="s">
        <v>140</v>
      </c>
      <c r="E306" s="14">
        <v>-274328</v>
      </c>
      <c r="F306" s="14">
        <v>-457853.43</v>
      </c>
      <c r="G306" s="127">
        <v>-4936</v>
      </c>
      <c r="H306" s="127">
        <v>-8238.1839999999993</v>
      </c>
      <c r="I306" s="127">
        <v>97</v>
      </c>
      <c r="J306" s="127">
        <v>161.893</v>
      </c>
      <c r="K306" s="127">
        <v>0</v>
      </c>
      <c r="L306" s="127">
        <v>0</v>
      </c>
      <c r="M306" s="127">
        <v>-63</v>
      </c>
      <c r="N306" s="127">
        <v>-105.14700000000001</v>
      </c>
      <c r="O306" s="127">
        <v>0</v>
      </c>
      <c r="P306" s="127">
        <v>0</v>
      </c>
      <c r="Q306" s="127">
        <v>0</v>
      </c>
      <c r="R306" s="127">
        <v>0</v>
      </c>
      <c r="S306" s="127">
        <v>3</v>
      </c>
      <c r="T306" s="127">
        <v>5.0069999999999997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>
        <v>0</v>
      </c>
      <c r="AJ306" s="127">
        <v>0</v>
      </c>
      <c r="AK306" s="127">
        <v>0</v>
      </c>
      <c r="AL306" s="127">
        <v>0</v>
      </c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5">
      <c r="A307" t="s">
        <v>149</v>
      </c>
      <c r="B307" t="s">
        <v>153</v>
      </c>
      <c r="C307">
        <v>24</v>
      </c>
      <c r="D307" t="s">
        <v>59</v>
      </c>
      <c r="E307" s="14">
        <v>-9921222</v>
      </c>
      <c r="F307" s="14">
        <v>-48881.85</v>
      </c>
      <c r="G307" s="127">
        <v>-1387349</v>
      </c>
      <c r="H307" s="127">
        <v>-61367.18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219051</v>
      </c>
      <c r="U307" s="127">
        <v>0</v>
      </c>
      <c r="V307" s="127">
        <v>-219051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>
        <v>0</v>
      </c>
      <c r="AJ307" s="127">
        <v>0</v>
      </c>
      <c r="AK307" s="127">
        <v>0</v>
      </c>
      <c r="AL307" s="127">
        <v>0</v>
      </c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5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-2761022.01</v>
      </c>
      <c r="G308" s="127">
        <v>0</v>
      </c>
      <c r="H308" s="127">
        <v>61977.87</v>
      </c>
      <c r="I308" s="127">
        <v>0</v>
      </c>
      <c r="J308" s="127">
        <v>-350.63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>
        <v>0</v>
      </c>
      <c r="AJ308" s="127">
        <v>0</v>
      </c>
      <c r="AK308" s="127">
        <v>0</v>
      </c>
      <c r="AL308" s="127">
        <v>0</v>
      </c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5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>
        <v>0</v>
      </c>
      <c r="AJ309" s="127">
        <v>0</v>
      </c>
      <c r="AK309" s="127">
        <v>0</v>
      </c>
      <c r="AL309" s="127">
        <v>0</v>
      </c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5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>
        <v>0</v>
      </c>
      <c r="AJ310" s="127">
        <v>0</v>
      </c>
      <c r="AK310" s="127">
        <v>0</v>
      </c>
      <c r="AL310" s="127">
        <v>0</v>
      </c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5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>
        <v>0</v>
      </c>
      <c r="AJ311" s="127">
        <v>0</v>
      </c>
      <c r="AK311" s="127">
        <v>0</v>
      </c>
      <c r="AL311" s="127">
        <v>0</v>
      </c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5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>
        <v>0</v>
      </c>
      <c r="AJ312" s="127">
        <v>0</v>
      </c>
      <c r="AK312" s="127">
        <v>0</v>
      </c>
      <c r="AL312" s="127">
        <v>0</v>
      </c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5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>
        <v>0</v>
      </c>
      <c r="AJ313" s="127">
        <v>0</v>
      </c>
      <c r="AK313" s="127">
        <v>0</v>
      </c>
      <c r="AL313" s="127">
        <v>0</v>
      </c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5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>
        <v>0</v>
      </c>
      <c r="AJ314" s="127">
        <v>0</v>
      </c>
      <c r="AK314" s="127">
        <v>0</v>
      </c>
      <c r="AL314" s="127">
        <v>0</v>
      </c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5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>
        <v>0</v>
      </c>
      <c r="AJ315" s="127">
        <v>0</v>
      </c>
      <c r="AK315" s="127">
        <v>0</v>
      </c>
      <c r="AL315" s="127">
        <v>0</v>
      </c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5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>
        <v>0</v>
      </c>
      <c r="AJ316" s="127">
        <v>0</v>
      </c>
      <c r="AK316" s="127">
        <v>0</v>
      </c>
      <c r="AL316" s="127">
        <v>0</v>
      </c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5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>
        <v>0</v>
      </c>
      <c r="AJ317" s="127">
        <v>0</v>
      </c>
      <c r="AK317" s="127">
        <v>0</v>
      </c>
      <c r="AL317" s="127">
        <v>0</v>
      </c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5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0</v>
      </c>
      <c r="G318" s="127">
        <v>0</v>
      </c>
      <c r="H318" s="127">
        <v>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>
        <v>0</v>
      </c>
      <c r="AJ318" s="127">
        <v>0</v>
      </c>
      <c r="AK318" s="127">
        <v>0</v>
      </c>
      <c r="AL318" s="127">
        <v>0</v>
      </c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5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>
        <v>0</v>
      </c>
      <c r="AJ319" s="127">
        <v>0</v>
      </c>
      <c r="AK319" s="127">
        <v>0</v>
      </c>
      <c r="AL319" s="127">
        <v>0</v>
      </c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5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>
        <v>0</v>
      </c>
      <c r="AJ320" s="127">
        <v>0</v>
      </c>
      <c r="AK320" s="127">
        <v>0</v>
      </c>
      <c r="AL320" s="127">
        <v>0</v>
      </c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5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>
        <v>0</v>
      </c>
      <c r="AJ321" s="127">
        <v>0</v>
      </c>
      <c r="AK321" s="127">
        <v>0</v>
      </c>
      <c r="AL321" s="127">
        <v>0</v>
      </c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5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>
        <v>0</v>
      </c>
      <c r="AJ322" s="127">
        <v>0</v>
      </c>
      <c r="AK322" s="127">
        <v>0</v>
      </c>
      <c r="AL322" s="127">
        <v>0</v>
      </c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5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56149.86</v>
      </c>
      <c r="G323" s="127">
        <v>0</v>
      </c>
      <c r="H323" s="127">
        <v>-4010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>
        <v>0</v>
      </c>
      <c r="AJ323" s="127">
        <v>0</v>
      </c>
      <c r="AK323" s="127">
        <v>0</v>
      </c>
      <c r="AL323" s="127">
        <v>0</v>
      </c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5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>
        <v>0</v>
      </c>
      <c r="AJ324" s="127">
        <v>0</v>
      </c>
      <c r="AK324" s="127">
        <v>0</v>
      </c>
      <c r="AL324" s="127">
        <v>0</v>
      </c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5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>
        <v>0</v>
      </c>
      <c r="AJ325" s="127">
        <v>0</v>
      </c>
      <c r="AK325" s="127">
        <v>0</v>
      </c>
      <c r="AL325" s="127">
        <v>0</v>
      </c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5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>
        <v>0</v>
      </c>
      <c r="AJ326" s="127">
        <v>0</v>
      </c>
      <c r="AK326" s="127">
        <v>0</v>
      </c>
      <c r="AL326" s="127">
        <v>0</v>
      </c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5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>
        <v>0</v>
      </c>
      <c r="AJ327" s="127">
        <v>0</v>
      </c>
      <c r="AK327" s="127">
        <v>0</v>
      </c>
      <c r="AL327" s="127">
        <v>0</v>
      </c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5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>
        <v>0</v>
      </c>
      <c r="AJ328" s="127">
        <v>0</v>
      </c>
      <c r="AK328" s="127">
        <v>0</v>
      </c>
      <c r="AL328" s="127">
        <v>0</v>
      </c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5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>
        <v>0</v>
      </c>
      <c r="AJ329" s="127">
        <v>0</v>
      </c>
      <c r="AK329" s="127">
        <v>0</v>
      </c>
      <c r="AL329" s="127">
        <v>0</v>
      </c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5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>
        <v>0</v>
      </c>
      <c r="AJ330" s="127">
        <v>0</v>
      </c>
      <c r="AK330" s="127">
        <v>0</v>
      </c>
      <c r="AL330" s="127">
        <v>0</v>
      </c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5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>
        <v>0</v>
      </c>
      <c r="AJ331" s="127">
        <v>0</v>
      </c>
      <c r="AK331" s="127">
        <v>0</v>
      </c>
      <c r="AL331" s="127">
        <v>0</v>
      </c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5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>
        <v>0</v>
      </c>
      <c r="AJ332" s="127">
        <v>0</v>
      </c>
      <c r="AK332" s="127">
        <v>0</v>
      </c>
      <c r="AL332" s="127">
        <v>0</v>
      </c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5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>
        <v>0</v>
      </c>
      <c r="AJ333" s="127">
        <v>0</v>
      </c>
      <c r="AK333" s="127">
        <v>0</v>
      </c>
      <c r="AL333" s="127">
        <v>0</v>
      </c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5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>
        <v>0</v>
      </c>
      <c r="AJ334" s="127">
        <v>0</v>
      </c>
      <c r="AK334" s="127">
        <v>0</v>
      </c>
      <c r="AL334" s="127">
        <v>0</v>
      </c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5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>
        <v>0</v>
      </c>
      <c r="AJ335" s="127">
        <v>0</v>
      </c>
      <c r="AK335" s="127">
        <v>0</v>
      </c>
      <c r="AL335" s="127">
        <v>0</v>
      </c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5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>
        <v>0</v>
      </c>
      <c r="AJ336" s="127">
        <v>0</v>
      </c>
      <c r="AK336" s="127">
        <v>0</v>
      </c>
      <c r="AL336" s="127">
        <v>0</v>
      </c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5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>
        <v>0</v>
      </c>
      <c r="AJ337" s="127">
        <v>0</v>
      </c>
      <c r="AK337" s="127">
        <v>0</v>
      </c>
      <c r="AL337" s="127">
        <v>0</v>
      </c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5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>
        <v>0</v>
      </c>
      <c r="AJ338" s="127">
        <v>0</v>
      </c>
      <c r="AK338" s="127">
        <v>0</v>
      </c>
      <c r="AL338" s="127">
        <v>0</v>
      </c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5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>
        <v>0</v>
      </c>
      <c r="AJ339" s="127">
        <v>0</v>
      </c>
      <c r="AK339" s="127">
        <v>0</v>
      </c>
      <c r="AL339" s="127">
        <v>0</v>
      </c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5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>
        <v>0</v>
      </c>
      <c r="AJ340" s="127">
        <v>0</v>
      </c>
      <c r="AK340" s="127">
        <v>0</v>
      </c>
      <c r="AL340" s="127">
        <v>0</v>
      </c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5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>
        <v>0</v>
      </c>
      <c r="AJ341" s="130">
        <v>0</v>
      </c>
      <c r="AK341" s="130">
        <v>0</v>
      </c>
      <c r="AL341" s="130">
        <v>0</v>
      </c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5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>
        <v>0</v>
      </c>
      <c r="AJ342" s="127">
        <v>0</v>
      </c>
      <c r="AK342" s="127">
        <v>0</v>
      </c>
      <c r="AL342" s="127">
        <v>0</v>
      </c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5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>
        <v>0</v>
      </c>
      <c r="AJ343" s="127">
        <v>0</v>
      </c>
      <c r="AK343" s="127">
        <v>0</v>
      </c>
      <c r="AL343" s="127">
        <v>0</v>
      </c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5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>
        <v>0</v>
      </c>
      <c r="AJ344" s="127">
        <v>0</v>
      </c>
      <c r="AK344" s="127">
        <v>0</v>
      </c>
      <c r="AL344" s="127">
        <v>0</v>
      </c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5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>
        <v>0</v>
      </c>
      <c r="AJ345" s="127">
        <v>0</v>
      </c>
      <c r="AK345" s="127">
        <v>0</v>
      </c>
      <c r="AL345" s="127">
        <v>0</v>
      </c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5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>
        <v>0</v>
      </c>
      <c r="AJ346" s="127">
        <v>0</v>
      </c>
      <c r="AK346" s="127">
        <v>0</v>
      </c>
      <c r="AL346" s="127">
        <v>0</v>
      </c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5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>
        <v>0</v>
      </c>
      <c r="AJ347" s="127">
        <v>0</v>
      </c>
      <c r="AK347" s="127">
        <v>0</v>
      </c>
      <c r="AL347" s="127">
        <v>0</v>
      </c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5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>
        <v>0</v>
      </c>
      <c r="AJ348" s="127">
        <v>0</v>
      </c>
      <c r="AK348" s="127">
        <v>0</v>
      </c>
      <c r="AL348" s="127">
        <v>0</v>
      </c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5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>
        <v>0</v>
      </c>
      <c r="AJ349" s="127">
        <v>0</v>
      </c>
      <c r="AK349" s="127">
        <v>0</v>
      </c>
      <c r="AL349" s="127">
        <v>0</v>
      </c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5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>
        <v>0</v>
      </c>
      <c r="AJ350" s="127">
        <v>0</v>
      </c>
      <c r="AK350" s="127">
        <v>0</v>
      </c>
      <c r="AL350" s="127">
        <v>0</v>
      </c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5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>
        <v>0</v>
      </c>
      <c r="AJ351" s="127">
        <v>0</v>
      </c>
      <c r="AK351" s="127">
        <v>0</v>
      </c>
      <c r="AL351" s="127">
        <v>0</v>
      </c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5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>
        <v>0</v>
      </c>
      <c r="AJ352" s="127">
        <v>0</v>
      </c>
      <c r="AK352" s="127">
        <v>0</v>
      </c>
      <c r="AL352" s="127">
        <v>0</v>
      </c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5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>
        <v>0</v>
      </c>
      <c r="AJ353" s="127">
        <v>0</v>
      </c>
      <c r="AK353" s="127">
        <v>0</v>
      </c>
      <c r="AL353" s="127">
        <v>0</v>
      </c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5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>
        <v>0</v>
      </c>
      <c r="AJ354" s="127">
        <v>0</v>
      </c>
      <c r="AK354" s="127">
        <v>0</v>
      </c>
      <c r="AL354" s="127">
        <v>0</v>
      </c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5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>
        <v>0</v>
      </c>
      <c r="AJ355" s="127">
        <v>0</v>
      </c>
      <c r="AK355" s="127">
        <v>0</v>
      </c>
      <c r="AL355" s="127">
        <v>0</v>
      </c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5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>
        <v>0</v>
      </c>
      <c r="AJ356" s="127">
        <v>0</v>
      </c>
      <c r="AK356" s="127">
        <v>0</v>
      </c>
      <c r="AL356" s="127">
        <v>0</v>
      </c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5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>
        <v>0</v>
      </c>
      <c r="AJ357" s="127">
        <v>0</v>
      </c>
      <c r="AK357" s="127">
        <v>0</v>
      </c>
      <c r="AL357" s="127">
        <v>0</v>
      </c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5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>
        <v>0</v>
      </c>
      <c r="AJ358" s="127">
        <v>0</v>
      </c>
      <c r="AK358" s="127">
        <v>0</v>
      </c>
      <c r="AL358" s="127">
        <v>0</v>
      </c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5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>
        <v>0</v>
      </c>
      <c r="AJ359" s="127">
        <v>0</v>
      </c>
      <c r="AK359" s="127">
        <v>0</v>
      </c>
      <c r="AL359" s="127">
        <v>0</v>
      </c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5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>
        <v>0</v>
      </c>
      <c r="AJ360" s="127">
        <v>0</v>
      </c>
      <c r="AK360" s="127">
        <v>0</v>
      </c>
      <c r="AL360" s="127">
        <v>0</v>
      </c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5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>
        <v>0</v>
      </c>
      <c r="AJ361" s="127">
        <v>0</v>
      </c>
      <c r="AK361" s="127">
        <v>0</v>
      </c>
      <c r="AL361" s="127">
        <v>0</v>
      </c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5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>
        <v>0</v>
      </c>
      <c r="AJ362" s="127">
        <v>0</v>
      </c>
      <c r="AK362" s="127">
        <v>0</v>
      </c>
      <c r="AL362" s="127">
        <v>0</v>
      </c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5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>
        <v>0</v>
      </c>
      <c r="AJ363" s="127">
        <v>0</v>
      </c>
      <c r="AK363" s="127">
        <v>0</v>
      </c>
      <c r="AL363" s="127">
        <v>0</v>
      </c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5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>
        <v>0</v>
      </c>
      <c r="AJ364" s="127">
        <v>0</v>
      </c>
      <c r="AK364" s="127">
        <v>0</v>
      </c>
      <c r="AL364" s="127">
        <v>0</v>
      </c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5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>
        <v>0</v>
      </c>
      <c r="AJ365" s="127">
        <v>0</v>
      </c>
      <c r="AK365" s="127">
        <v>0</v>
      </c>
      <c r="AL365" s="127">
        <v>0</v>
      </c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5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>
        <v>0</v>
      </c>
      <c r="AJ366" s="127">
        <v>0</v>
      </c>
      <c r="AK366" s="127">
        <v>0</v>
      </c>
      <c r="AL366" s="127">
        <v>0</v>
      </c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5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>
        <v>0</v>
      </c>
      <c r="AJ367" s="127">
        <v>0</v>
      </c>
      <c r="AK367" s="127">
        <v>0</v>
      </c>
      <c r="AL367" s="127">
        <v>0</v>
      </c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5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>
        <v>0</v>
      </c>
      <c r="AJ368" s="127">
        <v>0</v>
      </c>
      <c r="AK368" s="127">
        <v>0</v>
      </c>
      <c r="AL368" s="127">
        <v>0</v>
      </c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5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>
        <v>0</v>
      </c>
      <c r="AJ369" s="127">
        <v>0</v>
      </c>
      <c r="AK369" s="127">
        <v>0</v>
      </c>
      <c r="AL369" s="127">
        <v>0</v>
      </c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5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>
        <v>0</v>
      </c>
      <c r="AJ370" s="127">
        <v>0</v>
      </c>
      <c r="AK370" s="127">
        <v>0</v>
      </c>
      <c r="AL370" s="127">
        <v>0</v>
      </c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5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>
        <v>0</v>
      </c>
      <c r="AJ371" s="127">
        <v>0</v>
      </c>
      <c r="AK371" s="127">
        <v>0</v>
      </c>
      <c r="AL371" s="127">
        <v>0</v>
      </c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5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>
        <v>0</v>
      </c>
      <c r="AJ372" s="127">
        <v>0</v>
      </c>
      <c r="AK372" s="127">
        <v>0</v>
      </c>
      <c r="AL372" s="127">
        <v>0</v>
      </c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5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>
        <v>0</v>
      </c>
      <c r="AJ373" s="127">
        <v>0</v>
      </c>
      <c r="AK373" s="127">
        <v>0</v>
      </c>
      <c r="AL373" s="127">
        <v>0</v>
      </c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5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>
        <v>0</v>
      </c>
      <c r="AJ374" s="127">
        <v>0</v>
      </c>
      <c r="AK374" s="127">
        <v>0</v>
      </c>
      <c r="AL374" s="127">
        <v>0</v>
      </c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5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>
        <v>0</v>
      </c>
      <c r="AJ375" s="127">
        <v>0</v>
      </c>
      <c r="AK375" s="127">
        <v>0</v>
      </c>
      <c r="AL375" s="127">
        <v>0</v>
      </c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5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>
        <v>0</v>
      </c>
      <c r="AJ376" s="127">
        <v>0</v>
      </c>
      <c r="AK376" s="127">
        <v>0</v>
      </c>
      <c r="AL376" s="127">
        <v>0</v>
      </c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5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>
        <v>0</v>
      </c>
      <c r="AJ377" s="127">
        <v>0</v>
      </c>
      <c r="AK377" s="127">
        <v>0</v>
      </c>
      <c r="AL377" s="127">
        <v>0</v>
      </c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5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>
        <v>0</v>
      </c>
      <c r="AJ378" s="127">
        <v>0</v>
      </c>
      <c r="AK378" s="127">
        <v>0</v>
      </c>
      <c r="AL378" s="127">
        <v>0</v>
      </c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5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>
        <v>0</v>
      </c>
      <c r="AJ379" s="127">
        <v>0</v>
      </c>
      <c r="AK379" s="127">
        <v>0</v>
      </c>
      <c r="AL379" s="127">
        <v>0</v>
      </c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5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>
        <v>0</v>
      </c>
      <c r="AJ380" s="127">
        <v>0</v>
      </c>
      <c r="AK380" s="127">
        <v>0</v>
      </c>
      <c r="AL380" s="127">
        <v>0</v>
      </c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5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>
        <v>0</v>
      </c>
      <c r="AJ381" s="127">
        <v>0</v>
      </c>
      <c r="AK381" s="127">
        <v>0</v>
      </c>
      <c r="AL381" s="127">
        <v>0</v>
      </c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5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>
        <v>0</v>
      </c>
      <c r="AJ382" s="127">
        <v>0</v>
      </c>
      <c r="AK382" s="127">
        <v>0</v>
      </c>
      <c r="AL382" s="127">
        <v>0</v>
      </c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5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>
        <v>0</v>
      </c>
      <c r="AJ383" s="127">
        <v>0</v>
      </c>
      <c r="AK383" s="127">
        <v>0</v>
      </c>
      <c r="AL383" s="127">
        <v>0</v>
      </c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5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>
        <v>0</v>
      </c>
      <c r="AJ384" s="127">
        <v>0</v>
      </c>
      <c r="AK384" s="127">
        <v>0</v>
      </c>
      <c r="AL384" s="127">
        <v>0</v>
      </c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5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>
        <v>0</v>
      </c>
      <c r="AJ385" s="127">
        <v>0</v>
      </c>
      <c r="AK385" s="127">
        <v>0</v>
      </c>
      <c r="AL385" s="127">
        <v>0</v>
      </c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5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>
        <v>0</v>
      </c>
      <c r="AJ386" s="127">
        <v>0</v>
      </c>
      <c r="AK386" s="127">
        <v>0</v>
      </c>
      <c r="AL386" s="127">
        <v>0</v>
      </c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5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>
        <v>0</v>
      </c>
      <c r="AJ387" s="127">
        <v>0</v>
      </c>
      <c r="AK387" s="127">
        <v>0</v>
      </c>
      <c r="AL387" s="127">
        <v>0</v>
      </c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5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>
        <v>0</v>
      </c>
      <c r="AJ388" s="127">
        <v>0</v>
      </c>
      <c r="AK388" s="127">
        <v>0</v>
      </c>
      <c r="AL388" s="127">
        <v>0</v>
      </c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5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>
        <v>0</v>
      </c>
      <c r="AJ389" s="127">
        <v>0</v>
      </c>
      <c r="AK389" s="127">
        <v>0</v>
      </c>
      <c r="AL389" s="127">
        <v>0</v>
      </c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5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>
        <v>0</v>
      </c>
      <c r="AJ390" s="127">
        <v>0</v>
      </c>
      <c r="AK390" s="127">
        <v>0</v>
      </c>
      <c r="AL390" s="127">
        <v>0</v>
      </c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5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>
        <v>0</v>
      </c>
      <c r="AJ391" s="127">
        <v>0</v>
      </c>
      <c r="AK391" s="127">
        <v>0</v>
      </c>
      <c r="AL391" s="127">
        <v>0</v>
      </c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5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>
        <v>0</v>
      </c>
      <c r="AJ392" s="127">
        <v>0</v>
      </c>
      <c r="AK392" s="127">
        <v>0</v>
      </c>
      <c r="AL392" s="127">
        <v>0</v>
      </c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5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>
        <v>0</v>
      </c>
      <c r="AJ393" s="127">
        <v>0</v>
      </c>
      <c r="AK393" s="127">
        <v>0</v>
      </c>
      <c r="AL393" s="127">
        <v>0</v>
      </c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5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>
        <v>0</v>
      </c>
      <c r="AJ394" s="127">
        <v>0</v>
      </c>
      <c r="AK394" s="127">
        <v>0</v>
      </c>
      <c r="AL394" s="127">
        <v>0</v>
      </c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5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>
        <v>0</v>
      </c>
      <c r="AJ395" s="127">
        <v>0</v>
      </c>
      <c r="AK395" s="127">
        <v>0</v>
      </c>
      <c r="AL395" s="127">
        <v>0</v>
      </c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5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>
        <v>0</v>
      </c>
      <c r="AJ396" s="127">
        <v>0</v>
      </c>
      <c r="AK396" s="127">
        <v>0</v>
      </c>
      <c r="AL396" s="127">
        <v>0</v>
      </c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5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>
        <v>0</v>
      </c>
      <c r="AJ397" s="127">
        <v>0</v>
      </c>
      <c r="AK397" s="127">
        <v>0</v>
      </c>
      <c r="AL397" s="127">
        <v>0</v>
      </c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5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>
        <v>0</v>
      </c>
      <c r="AJ398" s="127">
        <v>0</v>
      </c>
      <c r="AK398" s="127">
        <v>0</v>
      </c>
      <c r="AL398" s="127">
        <v>0</v>
      </c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5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>
        <v>0</v>
      </c>
      <c r="AJ399" s="127">
        <v>0</v>
      </c>
      <c r="AK399" s="127">
        <v>0</v>
      </c>
      <c r="AL399" s="127">
        <v>0</v>
      </c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5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>
        <v>0</v>
      </c>
      <c r="AJ400" s="127">
        <v>0</v>
      </c>
      <c r="AK400" s="127">
        <v>0</v>
      </c>
      <c r="AL400" s="127">
        <v>0</v>
      </c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5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>
        <v>0</v>
      </c>
      <c r="AJ401" s="127">
        <v>0</v>
      </c>
      <c r="AK401" s="127">
        <v>0</v>
      </c>
      <c r="AL401" s="127">
        <v>0</v>
      </c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5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>
        <v>0</v>
      </c>
      <c r="AJ402" s="127">
        <v>0</v>
      </c>
      <c r="AK402" s="127">
        <v>0</v>
      </c>
      <c r="AL402" s="127">
        <v>0</v>
      </c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5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>
        <v>0</v>
      </c>
      <c r="AJ403" s="127">
        <v>0</v>
      </c>
      <c r="AK403" s="127">
        <v>0</v>
      </c>
      <c r="AL403" s="127">
        <v>0</v>
      </c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5"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118" x14ac:dyDescent="0.25"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118" x14ac:dyDescent="0.25"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118" x14ac:dyDescent="0.25"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118" x14ac:dyDescent="0.25"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118" x14ac:dyDescent="0.25"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118" x14ac:dyDescent="0.25"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118" x14ac:dyDescent="0.25"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118" x14ac:dyDescent="0.25"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118" x14ac:dyDescent="0.25"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118" x14ac:dyDescent="0.25"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118" x14ac:dyDescent="0.25">
      <c r="I415" s="45"/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118" x14ac:dyDescent="0.25"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27:38" x14ac:dyDescent="0.25"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27:38" x14ac:dyDescent="0.25"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27:38" x14ac:dyDescent="0.25"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27:38" x14ac:dyDescent="0.25"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27:38" x14ac:dyDescent="0.25"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27:38" x14ac:dyDescent="0.25"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27:38" x14ac:dyDescent="0.25"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27:38" x14ac:dyDescent="0.25"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27:38" x14ac:dyDescent="0.25"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27:38" x14ac:dyDescent="0.25"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27:38" x14ac:dyDescent="0.25"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27:38" x14ac:dyDescent="0.25"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27:38" x14ac:dyDescent="0.25"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27:38" x14ac:dyDescent="0.25"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27:38" x14ac:dyDescent="0.25"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27:38" x14ac:dyDescent="0.25"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27:38" x14ac:dyDescent="0.25"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27:38" x14ac:dyDescent="0.25"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27:38" x14ac:dyDescent="0.25"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27:38" x14ac:dyDescent="0.25"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27:38" x14ac:dyDescent="0.25"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27:38" x14ac:dyDescent="0.25"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27:38" x14ac:dyDescent="0.25"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27:38" x14ac:dyDescent="0.25"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27:38" x14ac:dyDescent="0.25"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27:38" x14ac:dyDescent="0.25"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27:38" x14ac:dyDescent="0.25"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27:38" x14ac:dyDescent="0.25">
      <c r="AA444">
        <v>0</v>
      </c>
      <c r="AB444">
        <v>0</v>
      </c>
      <c r="AC444">
        <v>304</v>
      </c>
      <c r="AD444">
        <v>528.96</v>
      </c>
      <c r="AE444">
        <v>0</v>
      </c>
      <c r="AF444">
        <v>0</v>
      </c>
      <c r="AG444">
        <v>0</v>
      </c>
      <c r="AH444">
        <v>0</v>
      </c>
      <c r="AI444">
        <v>438916</v>
      </c>
      <c r="AJ444">
        <v>752831.68</v>
      </c>
      <c r="AK444">
        <v>0</v>
      </c>
      <c r="AL444">
        <v>0</v>
      </c>
    </row>
    <row r="445" spans="27:38" x14ac:dyDescent="0.25"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27:38" x14ac:dyDescent="0.25">
      <c r="AA446">
        <v>1690106</v>
      </c>
      <c r="AB446">
        <v>2874824</v>
      </c>
      <c r="AC446">
        <v>0</v>
      </c>
      <c r="AD446">
        <v>0</v>
      </c>
      <c r="AE446">
        <v>-1690106</v>
      </c>
      <c r="AF446">
        <v>-2874824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27:38" x14ac:dyDescent="0.25"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27:38" x14ac:dyDescent="0.25"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27:38" x14ac:dyDescent="0.25">
      <c r="AA449">
        <v>0</v>
      </c>
      <c r="AB449">
        <v>0</v>
      </c>
      <c r="AC449">
        <v>-1140</v>
      </c>
      <c r="AD449">
        <v>-1873.06</v>
      </c>
      <c r="AE449">
        <v>6942</v>
      </c>
      <c r="AF449">
        <v>12539.9</v>
      </c>
      <c r="AG449">
        <v>0</v>
      </c>
      <c r="AH449">
        <v>0</v>
      </c>
      <c r="AI449">
        <v>0</v>
      </c>
      <c r="AJ449">
        <v>0</v>
      </c>
      <c r="AK449">
        <v>-6159</v>
      </c>
      <c r="AL449">
        <v>-10539.17</v>
      </c>
    </row>
    <row r="450" spans="27:38" x14ac:dyDescent="0.25"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27:38" x14ac:dyDescent="0.25">
      <c r="AA451">
        <v>-1627666</v>
      </c>
      <c r="AB451">
        <v>-2751959</v>
      </c>
      <c r="AC451">
        <v>0</v>
      </c>
      <c r="AD451">
        <v>0</v>
      </c>
      <c r="AE451">
        <v>1627666</v>
      </c>
      <c r="AF451">
        <v>2751959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27:38" x14ac:dyDescent="0.25"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27:38" x14ac:dyDescent="0.25"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27:38" x14ac:dyDescent="0.25"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27</v>
      </c>
      <c r="AJ454">
        <v>48.06</v>
      </c>
      <c r="AK454">
        <v>-142925</v>
      </c>
      <c r="AL454">
        <v>-252977</v>
      </c>
    </row>
    <row r="455" spans="27:38" x14ac:dyDescent="0.25">
      <c r="AA455">
        <v>0</v>
      </c>
      <c r="AB455">
        <v>0</v>
      </c>
      <c r="AC455">
        <v>0</v>
      </c>
      <c r="AD455">
        <v>0</v>
      </c>
      <c r="AE455">
        <v>-421739</v>
      </c>
      <c r="AF455">
        <v>-750695.42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27:38" x14ac:dyDescent="0.25">
      <c r="AA456">
        <v>-580559</v>
      </c>
      <c r="AB456">
        <v>-995658.68500000006</v>
      </c>
      <c r="AC456">
        <v>-262518</v>
      </c>
      <c r="AD456">
        <v>-498038.82500000001</v>
      </c>
      <c r="AE456">
        <v>765577</v>
      </c>
      <c r="AF456">
        <v>1312964.5549999999</v>
      </c>
      <c r="AG456">
        <v>-45019</v>
      </c>
      <c r="AH456">
        <v>-77207.585000000006</v>
      </c>
      <c r="AI456">
        <v>0</v>
      </c>
      <c r="AJ456">
        <v>0</v>
      </c>
      <c r="AK456">
        <v>0</v>
      </c>
      <c r="AL456">
        <v>0</v>
      </c>
    </row>
    <row r="457" spans="27:38" x14ac:dyDescent="0.25"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27:38" x14ac:dyDescent="0.25"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27:38" x14ac:dyDescent="0.25"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27:38" x14ac:dyDescent="0.25">
      <c r="AA460">
        <v>580559</v>
      </c>
      <c r="AB460">
        <v>919721.57</v>
      </c>
      <c r="AC460">
        <v>159899</v>
      </c>
      <c r="AD460">
        <v>253312.85</v>
      </c>
      <c r="AE460">
        <v>-383789</v>
      </c>
      <c r="AF460">
        <v>-603667.53</v>
      </c>
      <c r="AG460">
        <v>-393897</v>
      </c>
      <c r="AH460">
        <v>-619180.25</v>
      </c>
      <c r="AI460">
        <v>0</v>
      </c>
      <c r="AJ460">
        <v>0</v>
      </c>
      <c r="AK460">
        <v>0</v>
      </c>
      <c r="AL460">
        <v>0</v>
      </c>
    </row>
    <row r="461" spans="27:38" x14ac:dyDescent="0.25">
      <c r="AA461">
        <v>0</v>
      </c>
      <c r="AB461">
        <v>0</v>
      </c>
      <c r="AC461">
        <v>0</v>
      </c>
      <c r="AD461">
        <v>0</v>
      </c>
      <c r="AE461">
        <v>21222</v>
      </c>
      <c r="AF461">
        <v>37775.160000000003</v>
      </c>
      <c r="AG461">
        <v>438916</v>
      </c>
      <c r="AH461">
        <v>781270.48</v>
      </c>
      <c r="AI461">
        <v>-428268</v>
      </c>
      <c r="AJ461">
        <v>-909199.23</v>
      </c>
      <c r="AK461">
        <v>0</v>
      </c>
      <c r="AL461">
        <v>0</v>
      </c>
    </row>
    <row r="462" spans="27:38" x14ac:dyDescent="0.25"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27:38" x14ac:dyDescent="0.25"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27:38" x14ac:dyDescent="0.25"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27:38" x14ac:dyDescent="0.25">
      <c r="AA465">
        <v>-62440</v>
      </c>
      <c r="AB465">
        <v>-107084.6</v>
      </c>
      <c r="AC465">
        <v>103455</v>
      </c>
      <c r="AD465">
        <v>177425.32500000001</v>
      </c>
      <c r="AE465">
        <v>74227</v>
      </c>
      <c r="AF465">
        <v>127299.30499999999</v>
      </c>
      <c r="AG465">
        <v>0</v>
      </c>
      <c r="AH465">
        <v>0</v>
      </c>
      <c r="AI465">
        <v>-10675</v>
      </c>
      <c r="AJ465">
        <v>-18307.625</v>
      </c>
      <c r="AK465">
        <v>149084</v>
      </c>
      <c r="AL465">
        <v>255679.06</v>
      </c>
    </row>
    <row r="466" spans="27:38" x14ac:dyDescent="0.25"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27:38" x14ac:dyDescent="0.25">
      <c r="AA467">
        <v>-617641</v>
      </c>
      <c r="AB467">
        <v>-2113.83</v>
      </c>
      <c r="AC467">
        <v>-195778</v>
      </c>
      <c r="AD467">
        <v>-348.36</v>
      </c>
      <c r="AE467">
        <v>289292</v>
      </c>
      <c r="AF467">
        <v>2260.12</v>
      </c>
      <c r="AG467">
        <v>-45019</v>
      </c>
      <c r="AH467">
        <v>-750.57</v>
      </c>
      <c r="AI467">
        <v>4017</v>
      </c>
      <c r="AJ467">
        <v>346.54</v>
      </c>
      <c r="AK467">
        <v>0</v>
      </c>
      <c r="AL467">
        <v>0</v>
      </c>
    </row>
    <row r="468" spans="27:38" x14ac:dyDescent="0.25"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27:38" x14ac:dyDescent="0.25">
      <c r="AA469">
        <v>0</v>
      </c>
      <c r="AB469">
        <v>-200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27:38" x14ac:dyDescent="0.25"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27:38" x14ac:dyDescent="0.25"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1.73</v>
      </c>
      <c r="AK471">
        <v>0</v>
      </c>
      <c r="AL471">
        <v>0</v>
      </c>
    </row>
    <row r="472" spans="27:38" x14ac:dyDescent="0.25"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27:38" x14ac:dyDescent="0.25"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27:38" x14ac:dyDescent="0.25"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27:38" x14ac:dyDescent="0.25"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27:38" x14ac:dyDescent="0.25"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27:38" x14ac:dyDescent="0.25"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27:38" x14ac:dyDescent="0.25"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27:38" x14ac:dyDescent="0.25"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27:38" x14ac:dyDescent="0.25"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27:38" x14ac:dyDescent="0.25"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27:38" x14ac:dyDescent="0.25"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27:38" x14ac:dyDescent="0.25"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27:38" x14ac:dyDescent="0.25"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27:38" x14ac:dyDescent="0.25"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27:38" x14ac:dyDescent="0.25">
      <c r="AA486">
        <v>737458</v>
      </c>
      <c r="AB486">
        <v>1244574</v>
      </c>
      <c r="AC486">
        <v>0</v>
      </c>
      <c r="AD486">
        <v>0</v>
      </c>
      <c r="AE486">
        <v>-737458</v>
      </c>
      <c r="AF486">
        <v>-1244574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27:38" x14ac:dyDescent="0.25"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27:38" x14ac:dyDescent="0.25"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27:38" x14ac:dyDescent="0.25"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27:38" x14ac:dyDescent="0.25"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27:38" x14ac:dyDescent="0.25">
      <c r="AA491">
        <v>-805845</v>
      </c>
      <c r="AB491">
        <v>-1361834</v>
      </c>
      <c r="AC491">
        <v>0</v>
      </c>
      <c r="AD491">
        <v>0</v>
      </c>
      <c r="AE491">
        <v>805845</v>
      </c>
      <c r="AF491">
        <v>1361834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27:38" x14ac:dyDescent="0.25"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27:38" x14ac:dyDescent="0.25"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27:38" x14ac:dyDescent="0.25"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27:38" x14ac:dyDescent="0.25"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27:38" x14ac:dyDescent="0.25"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27:38" x14ac:dyDescent="0.25"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27:38" x14ac:dyDescent="0.25"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27:38" x14ac:dyDescent="0.25"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27:38" x14ac:dyDescent="0.25"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27:38" x14ac:dyDescent="0.25"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27:38" x14ac:dyDescent="0.25"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27:38" x14ac:dyDescent="0.25"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27:38" x14ac:dyDescent="0.25"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27:38" x14ac:dyDescent="0.25">
      <c r="AA505">
        <v>68387</v>
      </c>
      <c r="AB505">
        <v>114137.90300000001</v>
      </c>
      <c r="AC505">
        <v>0</v>
      </c>
      <c r="AD505">
        <v>0</v>
      </c>
      <c r="AE505">
        <v>-68387</v>
      </c>
      <c r="AF505">
        <v>-114137.90300000001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27:38" x14ac:dyDescent="0.25"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27:38" x14ac:dyDescent="0.25"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1453.9</v>
      </c>
      <c r="AK507">
        <v>0</v>
      </c>
      <c r="AL507">
        <v>0</v>
      </c>
    </row>
    <row r="508" spans="27:38" x14ac:dyDescent="0.25">
      <c r="AA508">
        <v>0</v>
      </c>
      <c r="AB508">
        <v>0</v>
      </c>
      <c r="AC508">
        <v>-1124</v>
      </c>
      <c r="AD508">
        <v>-5868.45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-1453.9</v>
      </c>
      <c r="AK508">
        <v>0</v>
      </c>
      <c r="AL508">
        <v>0</v>
      </c>
    </row>
    <row r="509" spans="27:38" x14ac:dyDescent="0.25"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27:38" x14ac:dyDescent="0.25"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27:38" x14ac:dyDescent="0.25"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27:38" x14ac:dyDescent="0.25"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27:38" x14ac:dyDescent="0.25"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27:38" x14ac:dyDescent="0.25"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27:38" x14ac:dyDescent="0.25"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27:38" x14ac:dyDescent="0.25"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27:38" x14ac:dyDescent="0.25"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27:38" x14ac:dyDescent="0.25"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27:38" x14ac:dyDescent="0.25"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27:38" x14ac:dyDescent="0.25"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27:38" x14ac:dyDescent="0.25"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27:38" x14ac:dyDescent="0.25"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27:38" x14ac:dyDescent="0.25"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27:38" x14ac:dyDescent="0.25"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27:38" x14ac:dyDescent="0.25"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27:38" x14ac:dyDescent="0.25"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27:38" x14ac:dyDescent="0.25"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27:38" x14ac:dyDescent="0.25"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27:38" x14ac:dyDescent="0.25"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27:38" x14ac:dyDescent="0.25"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27:38" x14ac:dyDescent="0.25"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27:38" x14ac:dyDescent="0.25"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27:38" x14ac:dyDescent="0.25"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27:38" x14ac:dyDescent="0.25"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27:38" x14ac:dyDescent="0.25"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27:38" x14ac:dyDescent="0.25"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27:38" x14ac:dyDescent="0.25"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27:38" x14ac:dyDescent="0.25"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27:38" x14ac:dyDescent="0.25"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27:38" x14ac:dyDescent="0.25"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27:38" x14ac:dyDescent="0.25"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27:38" x14ac:dyDescent="0.25"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27:38" x14ac:dyDescent="0.25"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27:38" x14ac:dyDescent="0.25"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27:38" x14ac:dyDescent="0.25"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27:38" x14ac:dyDescent="0.25"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27:38" x14ac:dyDescent="0.25"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27:38" x14ac:dyDescent="0.25"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27:38" x14ac:dyDescent="0.25"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27:38" x14ac:dyDescent="0.25"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27:38" x14ac:dyDescent="0.25"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27:38" x14ac:dyDescent="0.25"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27:38" x14ac:dyDescent="0.25"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27:38" x14ac:dyDescent="0.25"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27:38" x14ac:dyDescent="0.25"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27:38" x14ac:dyDescent="0.25"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27:38" x14ac:dyDescent="0.25"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27:38" x14ac:dyDescent="0.25"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27:38" x14ac:dyDescent="0.25"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27:38" x14ac:dyDescent="0.25"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27:38" x14ac:dyDescent="0.25"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27:38" x14ac:dyDescent="0.25"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27:38" x14ac:dyDescent="0.25"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27:38" x14ac:dyDescent="0.25"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27:38" x14ac:dyDescent="0.25"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27:38" x14ac:dyDescent="0.25"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27:38" x14ac:dyDescent="0.25"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27:38" x14ac:dyDescent="0.25"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27:38" x14ac:dyDescent="0.25"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27:38" x14ac:dyDescent="0.25"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27:38" x14ac:dyDescent="0.25"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27:38" x14ac:dyDescent="0.25"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27:38" x14ac:dyDescent="0.25"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27:38" x14ac:dyDescent="0.25"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27:38" x14ac:dyDescent="0.25"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27:38" x14ac:dyDescent="0.25"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27:38" x14ac:dyDescent="0.25"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27:38" x14ac:dyDescent="0.25"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27:38" x14ac:dyDescent="0.25"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27:38" x14ac:dyDescent="0.25"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27:38" x14ac:dyDescent="0.25"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27:38" x14ac:dyDescent="0.25"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27:38" x14ac:dyDescent="0.25"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27:38" x14ac:dyDescent="0.25"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27:38" x14ac:dyDescent="0.25"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27:38" x14ac:dyDescent="0.25"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27:38" x14ac:dyDescent="0.25"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27:38" x14ac:dyDescent="0.25"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27:38" x14ac:dyDescent="0.25"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27:38" x14ac:dyDescent="0.25"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27:38" x14ac:dyDescent="0.25"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27:38" x14ac:dyDescent="0.25"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27:38" x14ac:dyDescent="0.25"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27:38" x14ac:dyDescent="0.25"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27:38" x14ac:dyDescent="0.25"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27:38" x14ac:dyDescent="0.25"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27:38" x14ac:dyDescent="0.25"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27:38" x14ac:dyDescent="0.25"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27:38" x14ac:dyDescent="0.25"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27:38" x14ac:dyDescent="0.25"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27:38" x14ac:dyDescent="0.25"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27:38" x14ac:dyDescent="0.25"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27:38" x14ac:dyDescent="0.25"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40" spans="6:45" x14ac:dyDescent="0.25">
      <c r="F640" s="209">
        <v>36192</v>
      </c>
      <c r="G640" s="210"/>
      <c r="H640" s="211">
        <f>+F640+31</f>
        <v>36223</v>
      </c>
      <c r="I640" s="212"/>
      <c r="J640" s="211">
        <f>+H640+31</f>
        <v>36254</v>
      </c>
      <c r="K640" s="212"/>
      <c r="L640" s="211">
        <f>+J640+31</f>
        <v>36285</v>
      </c>
      <c r="M640" s="212"/>
      <c r="N640" s="211">
        <f>+L640+31</f>
        <v>36316</v>
      </c>
      <c r="O640" s="212"/>
      <c r="P640" s="211">
        <f>+N640+31</f>
        <v>36347</v>
      </c>
      <c r="Q640" s="212"/>
      <c r="R640" s="211">
        <f>+P640+31</f>
        <v>36378</v>
      </c>
      <c r="S640" s="212"/>
      <c r="T640" s="211">
        <f>+R640+31</f>
        <v>36409</v>
      </c>
      <c r="U640" s="212"/>
      <c r="V640" s="211">
        <f>+T640+31</f>
        <v>36440</v>
      </c>
      <c r="W640" s="212"/>
      <c r="X640" s="211">
        <f>+V640+31</f>
        <v>36471</v>
      </c>
      <c r="Y640" s="212"/>
      <c r="Z640" s="211">
        <f>+X640+31</f>
        <v>36502</v>
      </c>
      <c r="AA640" s="212"/>
      <c r="AB640" s="211">
        <f>+Z640+31</f>
        <v>36533</v>
      </c>
      <c r="AC640" s="212"/>
      <c r="AD640" s="211">
        <f>+AB640+31</f>
        <v>36564</v>
      </c>
      <c r="AE640" s="212"/>
      <c r="AF640" s="211">
        <f>+AD640+31</f>
        <v>36595</v>
      </c>
      <c r="AG640" s="212"/>
      <c r="AH640" s="211">
        <f>+AF640+31</f>
        <v>36626</v>
      </c>
      <c r="AI640" s="212"/>
      <c r="AJ640" s="211">
        <f>+AH640+31</f>
        <v>36657</v>
      </c>
      <c r="AK640" s="212"/>
      <c r="AL640" s="211">
        <f>+AJ640+31</f>
        <v>36688</v>
      </c>
      <c r="AM640" s="212"/>
      <c r="AN640" s="211">
        <f>+AL640+31</f>
        <v>36719</v>
      </c>
      <c r="AO640" s="212"/>
      <c r="AP640" s="211">
        <f>+AN640+31</f>
        <v>36750</v>
      </c>
      <c r="AQ640" s="212"/>
      <c r="AR640" s="211">
        <f>+AP640+31</f>
        <v>36781</v>
      </c>
      <c r="AS640" s="212"/>
    </row>
    <row r="641" spans="4:45" x14ac:dyDescent="0.25">
      <c r="F641" s="138" t="s">
        <v>26</v>
      </c>
      <c r="G641" s="138" t="s">
        <v>158</v>
      </c>
      <c r="H641" s="138" t="s">
        <v>26</v>
      </c>
      <c r="I641" s="138" t="s">
        <v>158</v>
      </c>
      <c r="J641" s="138" t="s">
        <v>26</v>
      </c>
      <c r="K641" s="138" t="s">
        <v>158</v>
      </c>
      <c r="L641" s="138" t="s">
        <v>26</v>
      </c>
      <c r="M641" s="138" t="s">
        <v>158</v>
      </c>
      <c r="N641" s="138" t="s">
        <v>26</v>
      </c>
      <c r="O641" s="138" t="s">
        <v>158</v>
      </c>
      <c r="P641" s="138" t="s">
        <v>26</v>
      </c>
      <c r="Q641" s="138" t="s">
        <v>158</v>
      </c>
      <c r="R641" s="138" t="s">
        <v>26</v>
      </c>
      <c r="S641" s="138" t="s">
        <v>158</v>
      </c>
      <c r="T641" s="138" t="s">
        <v>26</v>
      </c>
      <c r="U641" s="138" t="s">
        <v>158</v>
      </c>
      <c r="V641" s="138" t="s">
        <v>26</v>
      </c>
      <c r="W641" s="138" t="s">
        <v>158</v>
      </c>
      <c r="X641" s="138" t="s">
        <v>26</v>
      </c>
      <c r="Y641" s="138" t="s">
        <v>158</v>
      </c>
      <c r="Z641" s="138" t="s">
        <v>26</v>
      </c>
      <c r="AA641" s="138" t="s">
        <v>158</v>
      </c>
      <c r="AB641" s="138" t="s">
        <v>26</v>
      </c>
      <c r="AC641" s="138" t="s">
        <v>158</v>
      </c>
      <c r="AD641" s="138" t="s">
        <v>26</v>
      </c>
      <c r="AE641" s="138" t="s">
        <v>158</v>
      </c>
      <c r="AF641" s="138" t="s">
        <v>26</v>
      </c>
      <c r="AG641" s="138" t="s">
        <v>158</v>
      </c>
      <c r="AH641" s="138" t="s">
        <v>26</v>
      </c>
      <c r="AI641" s="138" t="s">
        <v>158</v>
      </c>
      <c r="AJ641" s="138" t="s">
        <v>26</v>
      </c>
      <c r="AK641" s="138" t="s">
        <v>158</v>
      </c>
      <c r="AL641" s="138" t="s">
        <v>26</v>
      </c>
      <c r="AM641" s="138" t="s">
        <v>158</v>
      </c>
      <c r="AN641" s="138" t="s">
        <v>26</v>
      </c>
      <c r="AO641" s="138" t="s">
        <v>158</v>
      </c>
      <c r="AP641" s="138" t="s">
        <v>26</v>
      </c>
      <c r="AQ641" s="138" t="s">
        <v>158</v>
      </c>
      <c r="AR641" s="138" t="s">
        <v>26</v>
      </c>
      <c r="AS641" s="138" t="s">
        <v>158</v>
      </c>
    </row>
    <row r="642" spans="4:45" x14ac:dyDescent="0.25">
      <c r="D642" s="139" t="s">
        <v>175</v>
      </c>
      <c r="E642" s="140"/>
      <c r="F642" s="141">
        <f>BGC_GL!H82</f>
        <v>0</v>
      </c>
      <c r="G642" s="142">
        <f>BGC_GL!I82</f>
        <v>-685696.14999999874</v>
      </c>
      <c r="H642" s="141">
        <f>BGC_GL!J82</f>
        <v>0</v>
      </c>
      <c r="I642" s="142">
        <f>BGC_GL!K82</f>
        <v>3660377.88</v>
      </c>
      <c r="J642" s="141">
        <f>BGC_GL!L82</f>
        <v>0</v>
      </c>
      <c r="K642" s="141">
        <f>BGC_GL!M82</f>
        <v>-3571070.7080000006</v>
      </c>
      <c r="L642" s="141">
        <f>BGC_GL!N82</f>
        <v>0</v>
      </c>
      <c r="M642" s="142">
        <f>BGC_GL!O82</f>
        <v>3622052</v>
      </c>
      <c r="N642" s="141">
        <f>BGC_GL!P82</f>
        <v>0</v>
      </c>
      <c r="O642" s="141">
        <f>BGC_GL!Q82</f>
        <v>0</v>
      </c>
      <c r="P642" s="141">
        <f>BGC_GL!R82</f>
        <v>0</v>
      </c>
      <c r="Q642" s="141">
        <f>BGC_GL!S82</f>
        <v>0</v>
      </c>
      <c r="R642" s="141">
        <f>BGC_GL!T82</f>
        <v>0</v>
      </c>
      <c r="S642" s="141">
        <f>BGC_GL!U82</f>
        <v>0</v>
      </c>
      <c r="T642" s="141">
        <f>BGC_GL!V82</f>
        <v>0</v>
      </c>
      <c r="U642" s="141">
        <f>BGC_GL!W82</f>
        <v>0</v>
      </c>
      <c r="V642" s="141">
        <f>BGC_GL!X82</f>
        <v>0</v>
      </c>
      <c r="W642" s="142">
        <f>BGC_GL!Y82</f>
        <v>-2242673.5120000001</v>
      </c>
      <c r="X642" s="141">
        <f>BGC_GL!Z82</f>
        <v>0</v>
      </c>
      <c r="Y642" s="141">
        <f>BGC_GL!AA82</f>
        <v>0</v>
      </c>
      <c r="Z642" s="141">
        <f>BGC_GL!AB82</f>
        <v>0</v>
      </c>
      <c r="AA642" s="141">
        <f>BGC_GL!AC82</f>
        <v>0</v>
      </c>
      <c r="AB642" s="141">
        <f>BGC_GL!AD82</f>
        <v>0</v>
      </c>
      <c r="AC642" s="143">
        <f>BGC_GL!AE82</f>
        <v>0</v>
      </c>
      <c r="AD642" s="141">
        <f>BGC_GL!AF82</f>
        <v>0</v>
      </c>
      <c r="AE642" s="143">
        <f>BGC_GL!AG82</f>
        <v>0</v>
      </c>
      <c r="AF642" s="141">
        <f>BGC_GL!AH82</f>
        <v>0</v>
      </c>
      <c r="AG642" s="143">
        <f>BGC_GL!AI82</f>
        <v>0</v>
      </c>
      <c r="AH642" s="141">
        <f>BGC_GL!AJ82</f>
        <v>0</v>
      </c>
      <c r="AI642" s="143">
        <f>BGC_GL!AK82</f>
        <v>0</v>
      </c>
      <c r="AJ642" s="141">
        <f>BGC_GL!AL82</f>
        <v>0</v>
      </c>
      <c r="AK642" s="143">
        <f>BGC_GL!AM82</f>
        <v>0</v>
      </c>
      <c r="AL642" s="141">
        <f>BGC_GL!AN82</f>
        <v>0</v>
      </c>
      <c r="AM642" s="143">
        <f>BGC_GL!AO82</f>
        <v>0</v>
      </c>
      <c r="AN642" s="141">
        <f>BGC_GL!AP82</f>
        <v>0</v>
      </c>
      <c r="AO642" s="143">
        <f>BGC_GL!AQ82</f>
        <v>0</v>
      </c>
      <c r="AP642" s="141">
        <f>BGC_GL!AR82</f>
        <v>0</v>
      </c>
      <c r="AQ642" s="143">
        <f>BGC_GL!AS82</f>
        <v>0</v>
      </c>
      <c r="AR642" s="141">
        <f>BGC_GL!AT82</f>
        <v>0</v>
      </c>
      <c r="AS642" s="143">
        <f>BGC_GL!AU82</f>
        <v>0</v>
      </c>
    </row>
    <row r="643" spans="4:45" x14ac:dyDescent="0.25">
      <c r="D643" s="139" t="s">
        <v>150</v>
      </c>
      <c r="E643" s="140"/>
      <c r="F643" s="141">
        <f>CE_GL!H82</f>
        <v>0</v>
      </c>
      <c r="G643" s="179">
        <f>CE_GL!I82</f>
        <v>13305771.670000007</v>
      </c>
      <c r="H643" s="141">
        <f>CE_GL!J82</f>
        <v>0</v>
      </c>
      <c r="I643" s="142">
        <f>CE_GL!K82</f>
        <v>-3526779.7800000003</v>
      </c>
      <c r="J643" s="141">
        <f>CE_GL!L82</f>
        <v>0</v>
      </c>
      <c r="K643" s="142">
        <f>CE_GL!M82</f>
        <v>-1816819.895</v>
      </c>
      <c r="L643" s="141">
        <f>CE_GL!N82</f>
        <v>0</v>
      </c>
      <c r="M643" s="142">
        <f>CE_GL!O82</f>
        <v>1406688.0829999999</v>
      </c>
      <c r="N643" s="141">
        <f>CE_GL!P82</f>
        <v>0</v>
      </c>
      <c r="O643" s="141">
        <f>CE_GL!Q82</f>
        <v>-5594.5286000000006</v>
      </c>
      <c r="P643" s="141">
        <f>CE_GL!R82</f>
        <v>0</v>
      </c>
      <c r="Q643" s="141">
        <f>CE_GL!S82</f>
        <v>727475.73159999982</v>
      </c>
      <c r="R643" s="141">
        <f>CE_GL!T82</f>
        <v>0</v>
      </c>
      <c r="S643" s="142">
        <f>CE_GL!U82</f>
        <v>595637.73699999996</v>
      </c>
      <c r="T643" s="141">
        <f>CE_GL!V82</f>
        <v>0</v>
      </c>
      <c r="U643" s="141">
        <f>CE_GL!W82</f>
        <v>3873.2410000000232</v>
      </c>
      <c r="V643" s="141">
        <f>CE_GL!X82</f>
        <v>0</v>
      </c>
      <c r="W643" s="141">
        <f>CE_GL!Y82</f>
        <v>-9883.4989999999998</v>
      </c>
      <c r="X643" s="141">
        <f>CE_GL!Z82</f>
        <v>0</v>
      </c>
      <c r="Y643" s="141">
        <f>CE_GL!AA82</f>
        <v>-4219.01</v>
      </c>
      <c r="Z643" s="141">
        <f>CE_GL!AB82</f>
        <v>0</v>
      </c>
      <c r="AA643" s="141">
        <f>CE_GL!AC82</f>
        <v>1393</v>
      </c>
      <c r="AB643" s="141">
        <f>CE_GL!AD82</f>
        <v>0</v>
      </c>
      <c r="AC643" s="143">
        <f>CE_GL!AE82</f>
        <v>132549.76000000001</v>
      </c>
      <c r="AD643" s="141">
        <f>CE_GL!AF82</f>
        <v>0</v>
      </c>
      <c r="AE643" s="143">
        <f>CE_GL!AG82</f>
        <v>0</v>
      </c>
      <c r="AF643" s="141">
        <f>CE_GL!AH82</f>
        <v>0</v>
      </c>
      <c r="AG643" s="206">
        <f>CE_GL!AI82</f>
        <v>1393</v>
      </c>
      <c r="AH643" s="141">
        <f>CE_GL!AJ82</f>
        <v>0</v>
      </c>
      <c r="AI643" s="206">
        <f>CE_GL!AK82</f>
        <v>0</v>
      </c>
      <c r="AJ643" s="141">
        <f>CE_GL!AL82</f>
        <v>0</v>
      </c>
      <c r="AK643" s="206">
        <f>CE_GL!AM82</f>
        <v>156178.29999999999</v>
      </c>
      <c r="AL643" s="141">
        <f>CE_GL!AN82</f>
        <v>0</v>
      </c>
      <c r="AM643" s="206">
        <f>CE_GL!AO82</f>
        <v>0</v>
      </c>
      <c r="AN643" s="141">
        <f>CE_GL!AP82</f>
        <v>0</v>
      </c>
      <c r="AO643" s="206">
        <f>CE_GL!AQ82</f>
        <v>0</v>
      </c>
      <c r="AP643" s="141">
        <f>CE_GL!AR82</f>
        <v>0</v>
      </c>
      <c r="AQ643" s="206">
        <f>CE_GL!AS82</f>
        <v>0</v>
      </c>
      <c r="AR643" s="141">
        <f>CE_GL!AT82</f>
        <v>0</v>
      </c>
      <c r="AS643" s="206">
        <f>CE_GL!AU82</f>
        <v>0</v>
      </c>
    </row>
    <row r="644" spans="4:45" x14ac:dyDescent="0.25">
      <c r="D644" s="139" t="s">
        <v>151</v>
      </c>
      <c r="E644" s="140"/>
      <c r="F644" s="141">
        <f>+NE_GL!H82</f>
        <v>0</v>
      </c>
      <c r="G644" s="142">
        <f>+NE_GL!I82</f>
        <v>17725351.36799999</v>
      </c>
      <c r="H644" s="141">
        <f>+NE_GL!J82</f>
        <v>0</v>
      </c>
      <c r="I644" s="142">
        <f>+NE_GL!K82</f>
        <v>13230546.186000001</v>
      </c>
      <c r="J644" s="141">
        <f>+NE_GL!L82</f>
        <v>0</v>
      </c>
      <c r="K644" s="141">
        <f>+NE_GL!M82</f>
        <v>-17981618.908</v>
      </c>
      <c r="L644" s="141">
        <f>+NE_GL!N82</f>
        <v>0</v>
      </c>
      <c r="M644" s="142">
        <f>+NE_GL!O82</f>
        <v>-6745980.5870000003</v>
      </c>
      <c r="N644" s="141">
        <f>+NE_GL!P82</f>
        <v>0</v>
      </c>
      <c r="O644" s="141">
        <f>+NE_GL!Q82</f>
        <v>115586.53199999998</v>
      </c>
      <c r="P644" s="141">
        <f>+NE_GL!R82</f>
        <v>0</v>
      </c>
      <c r="Q644" s="141">
        <f>+NE_GL!S82</f>
        <v>55730.313999999998</v>
      </c>
      <c r="R644" s="141">
        <f>+NE_GL!T82</f>
        <v>0</v>
      </c>
      <c r="S644" s="142">
        <f>+NE_GL!U82</f>
        <v>2445679.8150000004</v>
      </c>
      <c r="T644" s="141">
        <f>+NE_GL!V82</f>
        <v>0</v>
      </c>
      <c r="U644" s="141">
        <f>+NE_GL!W82</f>
        <v>27356.392000000003</v>
      </c>
      <c r="V644" s="141">
        <f>+NE_GL!X82</f>
        <v>0</v>
      </c>
      <c r="W644" s="142">
        <f>+NE_GL!Y82</f>
        <v>2368057.0609999998</v>
      </c>
      <c r="X644" s="141">
        <f>+NE_GL!Z82</f>
        <v>0</v>
      </c>
      <c r="Y644" s="141">
        <f>+NE_GL!AA82</f>
        <v>0</v>
      </c>
      <c r="Z644" s="141">
        <f>+NE_GL!AB82</f>
        <v>0</v>
      </c>
      <c r="AA644" s="141">
        <f>+NE_GL!AC82</f>
        <v>15020.235999999997</v>
      </c>
      <c r="AB644" s="141">
        <f>+NE_GL!AD82</f>
        <v>0</v>
      </c>
      <c r="AC644" s="143">
        <f>+NE_GL!AE82</f>
        <v>-15020.235999999997</v>
      </c>
      <c r="AD644" s="141">
        <f>+NE_GL!AF82</f>
        <v>0</v>
      </c>
      <c r="AE644" s="143">
        <f>+NE_GL!AG82</f>
        <v>0</v>
      </c>
      <c r="AF644" s="141">
        <f>+NE_GL!AH82</f>
        <v>0</v>
      </c>
      <c r="AG644" s="206">
        <f>+NE_GL!AI82</f>
        <v>15020.235999999997</v>
      </c>
      <c r="AH644" s="141">
        <f>+NE_GL!AJ82</f>
        <v>0</v>
      </c>
      <c r="AI644" s="206">
        <f>+NE_GL!AK82</f>
        <v>0</v>
      </c>
      <c r="AJ644" s="141">
        <f>+NE_GL!AL82</f>
        <v>0</v>
      </c>
      <c r="AK644" s="206">
        <f>+NE_GL!AM82</f>
        <v>-851054.77199999988</v>
      </c>
      <c r="AL644" s="141">
        <f>+NE_GL!AN82</f>
        <v>0</v>
      </c>
      <c r="AM644" s="206">
        <f>+NE_GL!AO82</f>
        <v>768992.7</v>
      </c>
      <c r="AN644" s="141">
        <f>+NE_GL!AP82</f>
        <v>0</v>
      </c>
      <c r="AO644" s="206">
        <f>+NE_GL!AQ82</f>
        <v>0</v>
      </c>
      <c r="AP644" s="141">
        <f>+NE_GL!AR82</f>
        <v>0</v>
      </c>
      <c r="AQ644" s="206">
        <f>+NE_GL!AS82</f>
        <v>0</v>
      </c>
      <c r="AR644" s="141">
        <f>+NE_GL!AT82</f>
        <v>0</v>
      </c>
      <c r="AS644" s="206">
        <f>+NE_GL!AU82</f>
        <v>230471.02</v>
      </c>
    </row>
    <row r="645" spans="4:45" x14ac:dyDescent="0.25">
      <c r="D645" s="139" t="s">
        <v>159</v>
      </c>
      <c r="E645" s="140"/>
      <c r="F645" s="141">
        <f>+'SE-LRC-GL'!H82</f>
        <v>0</v>
      </c>
      <c r="G645" s="179">
        <f>+'SE-LRC-GL'!I82</f>
        <v>1970343.560000001</v>
      </c>
      <c r="H645" s="141">
        <f>+'SE-LRC-GL'!J82</f>
        <v>0</v>
      </c>
      <c r="I645" s="179">
        <f>+'SE-LRC-GL'!K82</f>
        <v>-1084545.3479999995</v>
      </c>
      <c r="J645" s="141">
        <f>+'SE-LRC-GL'!L82</f>
        <v>0</v>
      </c>
      <c r="K645" s="141">
        <f>+'SE-LRC-GL'!M82</f>
        <v>1257566.1640000001</v>
      </c>
      <c r="L645" s="141">
        <f>+'SE-LRC-GL'!N82</f>
        <v>0</v>
      </c>
      <c r="M645" s="142">
        <f>+'SE-LRC-GL'!O82</f>
        <v>112871.43999999994</v>
      </c>
      <c r="N645" s="141">
        <f>+'SE-LRC-GL'!P82</f>
        <v>0</v>
      </c>
      <c r="O645" s="141">
        <f>+'SE-LRC-GL'!Q82</f>
        <v>-651493.78399999999</v>
      </c>
      <c r="P645" s="141">
        <f>+'SE-LRC-GL'!R82</f>
        <v>0</v>
      </c>
      <c r="Q645" s="141">
        <f>+'SE-LRC-GL'!S82</f>
        <v>-1801.2799999999929</v>
      </c>
      <c r="R645" s="141">
        <f>+'SE-LRC-GL'!T82</f>
        <v>0</v>
      </c>
      <c r="S645" s="142">
        <f>+'SE-LRC-GL'!U82</f>
        <v>139356.34400000001</v>
      </c>
      <c r="T645" s="141">
        <f>+'SE-LRC-GL'!V82</f>
        <v>0</v>
      </c>
      <c r="U645" s="141">
        <f>+'SE-LRC-GL'!W82</f>
        <v>-8969.6439999999984</v>
      </c>
      <c r="V645" s="141">
        <f>+'SE-LRC-GL'!X82</f>
        <v>0</v>
      </c>
      <c r="W645" s="142">
        <f>+'SE-LRC-GL'!Y82</f>
        <v>19435.893999999949</v>
      </c>
      <c r="X645" s="141">
        <f>+'SE-LRC-GL'!Z82</f>
        <v>0</v>
      </c>
      <c r="Y645" s="141">
        <f>+'SE-LRC-GL'!AA82</f>
        <v>-12924.109999999999</v>
      </c>
      <c r="Z645" s="141">
        <f>+'SE-LRC-GL'!AB82</f>
        <v>0</v>
      </c>
      <c r="AA645" s="141">
        <f>+'SE-LRC-GL'!AC82</f>
        <v>17406.088000000036</v>
      </c>
      <c r="AB645" s="141">
        <f>+'SE-LRC-GL'!AD82</f>
        <v>0</v>
      </c>
      <c r="AC645" s="143">
        <f>+'SE-LRC-GL'!AE82</f>
        <v>-18001.968000000012</v>
      </c>
      <c r="AD645" s="141">
        <f>+'SE-LRC-GL'!AF82</f>
        <v>0</v>
      </c>
      <c r="AE645" s="143">
        <f>+'SE-LRC-GL'!AG82</f>
        <v>0.23999999999068677</v>
      </c>
      <c r="AF645" s="141">
        <f>+'SE-LRC-GL'!AH82</f>
        <v>0</v>
      </c>
      <c r="AG645" s="206">
        <f>+'SE-LRC-GL'!AI82</f>
        <v>1.4500000000000028</v>
      </c>
      <c r="AH645" s="141">
        <f>+'SE-LRC-GL'!AJ82</f>
        <v>0</v>
      </c>
      <c r="AI645" s="206">
        <f>+'SE-LRC-GL'!AK82</f>
        <v>-1.4500000000000028</v>
      </c>
      <c r="AJ645" s="141">
        <f>+'SE-LRC-GL'!AL82</f>
        <v>0</v>
      </c>
      <c r="AK645" s="206">
        <f>+'SE-LRC-GL'!AM82</f>
        <v>-12109.688</v>
      </c>
      <c r="AL645" s="141">
        <f>+'SE-LRC-GL'!AN82</f>
        <v>0</v>
      </c>
      <c r="AM645" s="206">
        <f>+'SE-LRC-GL'!AO82</f>
        <v>159.62599999999952</v>
      </c>
      <c r="AN645" s="141">
        <f>+'SE-LRC-GL'!AP82</f>
        <v>-25</v>
      </c>
      <c r="AO645" s="206">
        <f>+'SE-LRC-GL'!AQ82</f>
        <v>-43.25</v>
      </c>
      <c r="AP645" s="141">
        <f>+'SE-LRC-GL'!AR82</f>
        <v>0</v>
      </c>
      <c r="AQ645" s="206">
        <f>+'SE-LRC-GL'!AS82</f>
        <v>0</v>
      </c>
      <c r="AR645" s="141">
        <f>+'SE-LRC-GL'!AT82</f>
        <v>0</v>
      </c>
      <c r="AS645" s="206">
        <f>+'SE-LRC-GL'!AU82</f>
        <v>0</v>
      </c>
    </row>
    <row r="646" spans="4:45" x14ac:dyDescent="0.25">
      <c r="D646" s="139" t="s">
        <v>160</v>
      </c>
      <c r="E646" s="140"/>
      <c r="F646" s="141">
        <f>+'SE-EGM-GL'!H82</f>
        <v>0</v>
      </c>
      <c r="G646" s="179">
        <f>+'SE-EGM-GL'!I82</f>
        <v>0</v>
      </c>
      <c r="H646" s="141">
        <f>+'SE-EGM-GL'!J82</f>
        <v>0</v>
      </c>
      <c r="I646" s="179">
        <f>+'SE-EGM-GL'!K82</f>
        <v>0</v>
      </c>
      <c r="J646" s="141">
        <f>+'SE-EGM-GL'!L82</f>
        <v>0</v>
      </c>
      <c r="K646" s="141">
        <f>+'SE-EGM-GL'!M82</f>
        <v>0</v>
      </c>
      <c r="L646" s="141">
        <f>+'SE-EGM-GL'!N82</f>
        <v>0</v>
      </c>
      <c r="M646" s="141">
        <f>+'SE-EGM-GL'!O82</f>
        <v>0</v>
      </c>
      <c r="N646" s="141">
        <f>+'SE-EGM-GL'!P82</f>
        <v>0</v>
      </c>
      <c r="O646" s="141">
        <f>+'SE-EGM-GL'!Q82</f>
        <v>0</v>
      </c>
      <c r="P646" s="141">
        <f>+'SE-EGM-GL'!R82</f>
        <v>0</v>
      </c>
      <c r="Q646" s="141">
        <f>+'SE-EGM-GL'!S82</f>
        <v>0</v>
      </c>
      <c r="R646" s="141">
        <f>+'SE-EGM-GL'!T82</f>
        <v>0</v>
      </c>
      <c r="S646" s="141">
        <f>+'SE-EGM-GL'!U82</f>
        <v>0</v>
      </c>
      <c r="T646" s="141">
        <f>+'SE-EGM-GL'!V82</f>
        <v>0</v>
      </c>
      <c r="U646" s="141">
        <f>+'SE-EGM-GL'!W82</f>
        <v>0</v>
      </c>
      <c r="V646" s="141">
        <f>+'SE-EGM-GL'!X82</f>
        <v>0</v>
      </c>
      <c r="W646" s="141">
        <f>+'SE-EGM-GL'!Y82</f>
        <v>0</v>
      </c>
      <c r="X646" s="141">
        <f>+'SE-EGM-GL'!Z82</f>
        <v>0</v>
      </c>
      <c r="Y646" s="141">
        <f>+'SE-EGM-GL'!AA82</f>
        <v>0</v>
      </c>
      <c r="Z646" s="141">
        <f>+'SE-EGM-GL'!AB82</f>
        <v>0</v>
      </c>
      <c r="AA646" s="141">
        <f>+'SE-EGM-GL'!AC82</f>
        <v>0</v>
      </c>
      <c r="AB646" s="141">
        <f>+'SE-EGM-GL'!AD82</f>
        <v>0</v>
      </c>
      <c r="AC646" s="143">
        <f>+'SE-EGM-GL'!AE82</f>
        <v>0</v>
      </c>
      <c r="AD646" s="141">
        <f>+'SE-EGM-GL'!AF82</f>
        <v>0</v>
      </c>
      <c r="AE646" s="143">
        <f>+'SE-EGM-GL'!AG82</f>
        <v>0</v>
      </c>
      <c r="AF646" s="141">
        <f>+'SE-EGM-GL'!AH82</f>
        <v>0</v>
      </c>
      <c r="AG646" s="143">
        <f>+'SE-EGM-GL'!AI82</f>
        <v>0</v>
      </c>
      <c r="AH646" s="141">
        <f>+'SE-EGM-GL'!AJ82</f>
        <v>0</v>
      </c>
      <c r="AI646" s="143">
        <f>+'SE-EGM-GL'!AK82</f>
        <v>0</v>
      </c>
      <c r="AJ646" s="141">
        <f>+'SE-EGM-GL'!AL82</f>
        <v>0</v>
      </c>
      <c r="AK646" s="143">
        <f>+'SE-EGM-GL'!AM82</f>
        <v>0</v>
      </c>
      <c r="AL646" s="141">
        <f>+'SE-EGM-GL'!AN82</f>
        <v>0</v>
      </c>
      <c r="AM646" s="143">
        <f>+'SE-EGM-GL'!AO82</f>
        <v>0</v>
      </c>
      <c r="AN646" s="141">
        <f>+'SE-EGM-GL'!AP82</f>
        <v>0</v>
      </c>
      <c r="AO646" s="143">
        <f>+'SE-EGM-GL'!AQ82</f>
        <v>0</v>
      </c>
      <c r="AP646" s="141">
        <f>+'SE-EGM-GL'!AR82</f>
        <v>0</v>
      </c>
      <c r="AQ646" s="143">
        <f>+'SE-EGM-GL'!AS82</f>
        <v>0</v>
      </c>
      <c r="AR646" s="141">
        <f>+'SE-EGM-GL'!AT82</f>
        <v>0</v>
      </c>
      <c r="AS646" s="143">
        <f>+'SE-EGM-GL'!AU82</f>
        <v>0</v>
      </c>
    </row>
    <row r="647" spans="4:45" x14ac:dyDescent="0.25">
      <c r="D647" s="139" t="s">
        <v>161</v>
      </c>
      <c r="E647" s="140"/>
      <c r="F647" s="141">
        <f>+'SE-CON-GL '!H82</f>
        <v>0</v>
      </c>
      <c r="G647" s="179">
        <f>+'SE-CON-GL '!I82</f>
        <v>1970343.560000001</v>
      </c>
      <c r="H647" s="141">
        <f>+'SE-CON-GL '!J82</f>
        <v>0</v>
      </c>
      <c r="I647" s="179">
        <f>+'SE-CON-GL '!K82</f>
        <v>-1084545.3479999995</v>
      </c>
      <c r="J647" s="141">
        <f>+'SE-CON-GL '!L82</f>
        <v>0</v>
      </c>
      <c r="K647" s="141">
        <f>+'SE-CON-GL '!M82</f>
        <v>1265939.044</v>
      </c>
      <c r="L647" s="141">
        <f>+'SE-CON-GL '!N82</f>
        <v>0</v>
      </c>
      <c r="M647" s="141">
        <f>+'SE-CON-GL '!O82</f>
        <v>562871.43999999994</v>
      </c>
      <c r="N647" s="141">
        <f>+'SE-CON-GL '!P82</f>
        <v>0</v>
      </c>
      <c r="O647" s="141">
        <f>+'SE-CON-GL '!Q82</f>
        <v>-896025.72400000005</v>
      </c>
      <c r="P647" s="141">
        <f>+'SE-CON-GL '!R82</f>
        <v>0</v>
      </c>
      <c r="Q647" s="141">
        <f>+'SE-CON-GL '!S82</f>
        <v>-1478.179999999993</v>
      </c>
      <c r="R647" s="141">
        <f>+'SE-CON-GL '!T82</f>
        <v>0</v>
      </c>
      <c r="S647" s="141">
        <f>+'SE-CON-GL '!U82</f>
        <v>-1419.6459999999988</v>
      </c>
      <c r="T647" s="141">
        <f>+'SE-CON-GL '!V82</f>
        <v>0</v>
      </c>
      <c r="U647" s="141">
        <f>+'SE-CON-GL '!W82</f>
        <v>-8969.4539999999979</v>
      </c>
      <c r="V647" s="141">
        <f>+'SE-CON-GL '!X82</f>
        <v>0</v>
      </c>
      <c r="W647" s="141">
        <f>+'SE-CON-GL '!Y82</f>
        <v>19435.704000000005</v>
      </c>
      <c r="X647" s="141">
        <f>+'SE-CON-GL '!Z82</f>
        <v>0</v>
      </c>
      <c r="Y647" s="141">
        <f>+'SE-CON-GL '!AA82</f>
        <v>-12924.109999999999</v>
      </c>
      <c r="Z647" s="141">
        <f>+'SE-CON-GL '!AB82</f>
        <v>0</v>
      </c>
      <c r="AA647" s="141">
        <f>+'SE-CON-GL '!AC82</f>
        <v>17406.078000000038</v>
      </c>
      <c r="AB647" s="141">
        <f>+'SE-CON-GL '!AD82</f>
        <v>0</v>
      </c>
      <c r="AC647" s="143">
        <f>+'SE-CON-GL '!AE82</f>
        <v>-18001.958000000013</v>
      </c>
      <c r="AD647" s="141">
        <f>+'SE-CON-GL '!AF82</f>
        <v>0</v>
      </c>
      <c r="AE647" s="143">
        <f>+'SE-CON-GL '!AG82</f>
        <v>159.63599999999951</v>
      </c>
      <c r="AF647" s="141">
        <f>+'SE-CON-GL '!AH82</f>
        <v>0</v>
      </c>
      <c r="AG647" s="143">
        <f>+'SE-CON-GL '!AI82</f>
        <v>0</v>
      </c>
      <c r="AH647" s="141">
        <f>+'SE-CON-GL '!AJ82</f>
        <v>0</v>
      </c>
      <c r="AI647" s="143">
        <f>+'SE-CON-GL '!AK82</f>
        <v>0</v>
      </c>
      <c r="AJ647" s="141">
        <f>+'SE-CON-GL '!AL82</f>
        <v>0</v>
      </c>
      <c r="AK647" s="143">
        <f>+'SE-CON-GL '!AM82</f>
        <v>0</v>
      </c>
      <c r="AL647" s="141">
        <f>+'SE-CON-GL '!AN82</f>
        <v>0</v>
      </c>
      <c r="AM647" s="143">
        <f>+'SE-CON-GL '!AO82</f>
        <v>0</v>
      </c>
      <c r="AN647" s="141">
        <f>+'SE-CON-GL '!AP82</f>
        <v>0</v>
      </c>
      <c r="AO647" s="143">
        <f>+'SE-CON-GL '!AQ82</f>
        <v>0</v>
      </c>
      <c r="AP647" s="141">
        <f>+'SE-CON-GL '!AR82</f>
        <v>0</v>
      </c>
      <c r="AQ647" s="143">
        <f>+'SE-CON-GL '!AS82</f>
        <v>0</v>
      </c>
      <c r="AR647" s="141">
        <f>+'SE-CON-GL '!AT82</f>
        <v>0</v>
      </c>
      <c r="AS647" s="143">
        <f>+'SE-CON-GL '!AU82</f>
        <v>0</v>
      </c>
    </row>
    <row r="648" spans="4:45" x14ac:dyDescent="0.25">
      <c r="D648" s="139" t="s">
        <v>162</v>
      </c>
      <c r="E648" s="140"/>
      <c r="F648" s="141">
        <f>+'TX-EGM-GL'!H82</f>
        <v>0</v>
      </c>
      <c r="G648" s="179">
        <f>+'TX-EGM-GL'!I82</f>
        <v>17242287.199999999</v>
      </c>
      <c r="H648" s="141">
        <f>+'TX-EGM-GL'!J82</f>
        <v>0</v>
      </c>
      <c r="I648" s="179">
        <f>+'TX-EGM-GL'!K82</f>
        <v>-6308515.6749999924</v>
      </c>
      <c r="J648" s="141">
        <f>+'TX-EGM-GL'!L82</f>
        <v>0</v>
      </c>
      <c r="K648" s="141">
        <f>+'TX-EGM-GL'!M82</f>
        <v>-115633.51000000804</v>
      </c>
      <c r="L648" s="141">
        <f>+'TX-EGM-GL'!N82</f>
        <v>0</v>
      </c>
      <c r="M648" s="142">
        <f>+'TX-EGM-GL'!O82</f>
        <v>2537899.3450000002</v>
      </c>
      <c r="N648" s="141">
        <f>+'TX-EGM-GL'!P82</f>
        <v>0</v>
      </c>
      <c r="O648" s="141">
        <f>+'TX-EGM-GL'!Q82</f>
        <v>-1945701.85</v>
      </c>
      <c r="P648" s="141">
        <f>+'TX-EGM-GL'!R82</f>
        <v>0</v>
      </c>
      <c r="Q648" s="141">
        <f>+'TX-EGM-GL'!S82</f>
        <v>33194.785000000003</v>
      </c>
      <c r="R648" s="141">
        <f>+'TX-EGM-GL'!T82</f>
        <v>0</v>
      </c>
      <c r="S648" s="142">
        <f>+'TX-EGM-GL'!U82</f>
        <v>-399186.67599999957</v>
      </c>
      <c r="T648" s="141">
        <f>+'TX-EGM-GL'!V82</f>
        <v>0</v>
      </c>
      <c r="U648" s="141">
        <f>+'TX-EGM-GL'!W82</f>
        <v>201870.22999999998</v>
      </c>
      <c r="V648" s="141">
        <f>+'TX-EGM-GL'!X82</f>
        <v>0</v>
      </c>
      <c r="W648" s="142">
        <f>+'TX-EGM-GL'!Y82</f>
        <v>668910.92500000005</v>
      </c>
      <c r="X648" s="141">
        <f>+'TX-EGM-GL'!Z82</f>
        <v>0</v>
      </c>
      <c r="Y648" s="141">
        <f>+'TX-EGM-GL'!AA82</f>
        <v>1415.8799999999114</v>
      </c>
      <c r="Z648" s="141">
        <f>+'TX-EGM-GL'!AB82</f>
        <v>0</v>
      </c>
      <c r="AA648" s="141">
        <f>+'TX-EGM-GL'!AC82</f>
        <v>-83433.96500000004</v>
      </c>
      <c r="AB648" s="141">
        <f>+'TX-EGM-GL'!AD82</f>
        <v>0</v>
      </c>
      <c r="AC648" s="143">
        <f>+'TX-EGM-GL'!AE82</f>
        <v>-62470.545000000115</v>
      </c>
      <c r="AD648" s="141">
        <f>+'TX-EGM-GL'!AF82</f>
        <v>0</v>
      </c>
      <c r="AE648" s="206">
        <f>+'TX-EGM-GL'!AG82</f>
        <v>-68993.109999999971</v>
      </c>
      <c r="AF648" s="141">
        <f>+'TX-EGM-GL'!AH82</f>
        <v>0</v>
      </c>
      <c r="AG648" s="206">
        <f>+'TX-EGM-GL'!AI82</f>
        <v>-656308.91000000027</v>
      </c>
      <c r="AH648" s="141">
        <f>+'TX-EGM-GL'!AJ82</f>
        <v>0</v>
      </c>
      <c r="AI648" s="206">
        <f>+'TX-EGM-GL'!AK82</f>
        <v>84132.074999999968</v>
      </c>
      <c r="AJ648" s="141">
        <f>+'TX-EGM-GL'!AL82</f>
        <v>0</v>
      </c>
      <c r="AK648" s="206">
        <f>+'TX-EGM-GL'!AM82</f>
        <v>-174278.84499999986</v>
      </c>
      <c r="AL648" s="141">
        <f>+'TX-EGM-GL'!AN82</f>
        <v>0</v>
      </c>
      <c r="AM648" s="206">
        <f>+'TX-EGM-GL'!AO82</f>
        <v>-7837.109999999986</v>
      </c>
      <c r="AN648" s="141">
        <f>+'TX-EGM-GL'!AP82</f>
        <v>0</v>
      </c>
      <c r="AO648" s="206">
        <f>+'TX-EGM-GL'!AQ82</f>
        <v>4245.9499999999962</v>
      </c>
      <c r="AP648" s="141">
        <f>+'TX-EGM-GL'!AR82</f>
        <v>0</v>
      </c>
      <c r="AQ648" s="206">
        <f>+'TX-EGM-GL'!AS82</f>
        <v>-91.909999999997922</v>
      </c>
      <c r="AR648" s="141">
        <f>+'TX-EGM-GL'!AT82</f>
        <v>0</v>
      </c>
      <c r="AS648" s="206">
        <f>+'TX-EGM-GL'!AU82</f>
        <v>-2767.1200000000849</v>
      </c>
    </row>
    <row r="649" spans="4:45" x14ac:dyDescent="0.25">
      <c r="D649" s="139" t="s">
        <v>163</v>
      </c>
      <c r="E649" s="140"/>
      <c r="F649" s="141">
        <f>+'TX-HPL-GL '!H82</f>
        <v>0</v>
      </c>
      <c r="G649" s="179">
        <f>+'TX-HPL-GL '!I82</f>
        <v>3077220.7099999948</v>
      </c>
      <c r="H649" s="141">
        <f>+'TX-HPL-GL '!J82</f>
        <v>0</v>
      </c>
      <c r="I649" s="179">
        <f>+'TX-HPL-GL '!K82</f>
        <v>-9554964.5375000034</v>
      </c>
      <c r="J649" s="141">
        <f>+'TX-HPL-GL '!L82</f>
        <v>0</v>
      </c>
      <c r="K649" s="141">
        <f>+'TX-HPL-GL '!M82</f>
        <v>20047.439500000539</v>
      </c>
      <c r="L649" s="141">
        <f>+'TX-HPL-GL '!N82</f>
        <v>0</v>
      </c>
      <c r="M649" s="142">
        <f>+'TX-HPL-GL '!O82</f>
        <v>7463552.3151999991</v>
      </c>
      <c r="N649" s="141">
        <f>+'TX-HPL-GL '!P82</f>
        <v>0</v>
      </c>
      <c r="O649" s="141">
        <f>+'TX-HPL-GL '!Q82</f>
        <v>-14115.930399999997</v>
      </c>
      <c r="P649" s="141">
        <f>+'TX-HPL-GL '!R82</f>
        <v>0</v>
      </c>
      <c r="Q649" s="141">
        <f>+'TX-HPL-GL '!S82</f>
        <v>303794.43180000002</v>
      </c>
      <c r="R649" s="141">
        <f>+'TX-HPL-GL '!T82</f>
        <v>0</v>
      </c>
      <c r="S649" s="142">
        <f>+'TX-HPL-GL '!U82</f>
        <v>-80581.887400000094</v>
      </c>
      <c r="T649" s="141">
        <f>+'TX-HPL-GL '!V82</f>
        <v>0</v>
      </c>
      <c r="U649" s="141">
        <f>+'TX-HPL-GL '!W82</f>
        <v>-24312.435000000019</v>
      </c>
      <c r="V649" s="141">
        <f>+'TX-HPL-GL '!X82</f>
        <v>0</v>
      </c>
      <c r="W649" s="142">
        <f>+'TX-HPL-GL '!Y82</f>
        <v>-15760.77420000002</v>
      </c>
      <c r="X649" s="141">
        <f>+'TX-HPL-GL '!Z82</f>
        <v>0</v>
      </c>
      <c r="Y649" s="141">
        <f>+'TX-HPL-GL '!AA82</f>
        <v>-29346.122799999997</v>
      </c>
      <c r="Z649" s="141">
        <f>+'TX-HPL-GL '!AB82</f>
        <v>0</v>
      </c>
      <c r="AA649" s="141">
        <f>+'TX-HPL-GL '!AC82</f>
        <v>-9025.5109999999549</v>
      </c>
      <c r="AB649" s="141">
        <f>+'TX-HPL-GL '!AD82</f>
        <v>0</v>
      </c>
      <c r="AC649" s="143">
        <f>+'TX-HPL-GL '!AE82</f>
        <v>100.47</v>
      </c>
      <c r="AD649" s="141">
        <f>+'TX-HPL-GL '!AF82</f>
        <v>0</v>
      </c>
      <c r="AE649" s="143">
        <f>+'TX-HPL-GL '!AG82</f>
        <v>0</v>
      </c>
      <c r="AF649" s="141">
        <f>+'TX-HPL-GL '!AH82</f>
        <v>0</v>
      </c>
      <c r="AG649" s="206">
        <f>+'TX-HPL-GL '!AI82</f>
        <v>15109.960000000001</v>
      </c>
      <c r="AH649" s="141">
        <f>+'TX-HPL-GL '!AJ82</f>
        <v>0</v>
      </c>
      <c r="AI649" s="206">
        <f>+'TX-HPL-GL '!AK82</f>
        <v>0</v>
      </c>
      <c r="AJ649" s="141">
        <f>+'TX-HPL-GL '!AL82</f>
        <v>0</v>
      </c>
      <c r="AK649" s="206">
        <f>+'TX-HPL-GL '!AM82</f>
        <v>-1950.11</v>
      </c>
      <c r="AL649" s="141">
        <f>+'TX-HPL-GL '!AN82</f>
        <v>0</v>
      </c>
      <c r="AM649" s="206">
        <f>+'TX-HPL-GL '!AO82</f>
        <v>21629.400000000009</v>
      </c>
      <c r="AN649" s="141">
        <f>+'TX-HPL-GL '!AP82</f>
        <v>0</v>
      </c>
      <c r="AO649" s="206">
        <f>+'TX-HPL-GL '!AQ82</f>
        <v>0</v>
      </c>
      <c r="AP649" s="141">
        <f>+'TX-HPL-GL '!AR82</f>
        <v>0</v>
      </c>
      <c r="AQ649" s="206">
        <f>+'TX-HPL-GL '!AS82</f>
        <v>0</v>
      </c>
      <c r="AR649" s="141">
        <f>+'TX-HPL-GL '!AT82</f>
        <v>0</v>
      </c>
      <c r="AS649" s="206">
        <f>+'TX-HPL-GL '!AU82</f>
        <v>0</v>
      </c>
    </row>
    <row r="650" spans="4:45" x14ac:dyDescent="0.25">
      <c r="D650" s="139" t="s">
        <v>164</v>
      </c>
      <c r="E650" s="140"/>
      <c r="F650" s="141">
        <f>+'TX-CON-GL '!H82</f>
        <v>0</v>
      </c>
      <c r="G650" s="179">
        <f>+'TX-CON-GL '!I82</f>
        <v>20319507.909999989</v>
      </c>
      <c r="H650" s="141">
        <f>+'TX-CON-GL '!J82</f>
        <v>0</v>
      </c>
      <c r="I650" s="179">
        <f>+'TX-CON-GL '!K82</f>
        <v>-15863480.212499997</v>
      </c>
      <c r="J650" s="141">
        <f>+'TX-CON-GL '!L82</f>
        <v>0</v>
      </c>
      <c r="K650" s="141">
        <f>+'TX-CON-GL '!M82</f>
        <v>-95586.070499999681</v>
      </c>
      <c r="L650" s="141">
        <f>+'TX-CON-GL '!N82</f>
        <v>0</v>
      </c>
      <c r="M650" s="141">
        <f>+'TX-CON-GL '!O82</f>
        <v>10001451.660200004</v>
      </c>
      <c r="N650" s="141">
        <f>+'TX-CON-GL '!P82</f>
        <v>0</v>
      </c>
      <c r="O650" s="141">
        <f>+'TX-CON-GL '!Q82</f>
        <v>-1959817.7803999998</v>
      </c>
      <c r="P650" s="141">
        <f>+'TX-CON-GL '!R82</f>
        <v>0</v>
      </c>
      <c r="Q650" s="141">
        <f>+'TX-CON-GL '!S82</f>
        <v>336989.21680000005</v>
      </c>
      <c r="R650" s="141">
        <f>+'TX-CON-GL '!T82</f>
        <v>0</v>
      </c>
      <c r="S650" s="141">
        <f>+'TX-CON-GL '!U82</f>
        <v>-479768.56339999998</v>
      </c>
      <c r="T650" s="141">
        <f>+'TX-CON-GL '!V82</f>
        <v>0</v>
      </c>
      <c r="U650" s="141">
        <f>+'TX-CON-GL '!W82</f>
        <v>177557.79499999998</v>
      </c>
      <c r="V650" s="141">
        <f>+'TX-CON-GL '!X82</f>
        <v>0</v>
      </c>
      <c r="W650" s="142">
        <f>+'TX-CON-GL '!Y82</f>
        <v>653150.15080000006</v>
      </c>
      <c r="X650" s="141">
        <f>+'TX-CON-GL '!Z82</f>
        <v>0</v>
      </c>
      <c r="Y650" s="141">
        <f>+'TX-CON-GL '!AA82</f>
        <v>-27930.242800000065</v>
      </c>
      <c r="Z650" s="141">
        <f>+'TX-CON-GL '!AB82</f>
        <v>0</v>
      </c>
      <c r="AA650" s="141">
        <f>+'TX-CON-GL '!AC82</f>
        <v>-92459.475999999981</v>
      </c>
      <c r="AB650" s="141">
        <f>+'TX-CON-GL '!AD82</f>
        <v>0</v>
      </c>
      <c r="AC650" s="143">
        <f>+'TX-CON-GL '!AE82</f>
        <v>-62370.07499999991</v>
      </c>
      <c r="AD650" s="141">
        <f>+'TX-CON-GL '!AF82</f>
        <v>0</v>
      </c>
      <c r="AE650" s="143">
        <f>+'TX-CON-GL '!AG82</f>
        <v>13792.289999999992</v>
      </c>
      <c r="AF650" s="141">
        <f>+'TX-CON-GL '!AH82</f>
        <v>0</v>
      </c>
      <c r="AG650" s="143">
        <f>+'TX-CON-GL '!AI82</f>
        <v>-91.909999999997922</v>
      </c>
      <c r="AH650" s="141">
        <f>+'TX-CON-GL '!AJ82</f>
        <v>0</v>
      </c>
      <c r="AI650" s="143">
        <f>+'TX-CON-GL '!AK82</f>
        <v>0</v>
      </c>
      <c r="AJ650" s="141">
        <f>+'TX-CON-GL '!AL82</f>
        <v>0</v>
      </c>
      <c r="AK650" s="143">
        <f>+'TX-CON-GL '!AM82</f>
        <v>0</v>
      </c>
      <c r="AL650" s="141">
        <f>+'TX-CON-GL '!AN82</f>
        <v>0</v>
      </c>
      <c r="AM650" s="143">
        <f>+'TX-CON-GL '!AO82</f>
        <v>0</v>
      </c>
      <c r="AN650" s="141">
        <f>+'TX-CON-GL '!AP82</f>
        <v>0</v>
      </c>
      <c r="AO650" s="143">
        <f>+'TX-CON-GL '!AQ82</f>
        <v>0</v>
      </c>
      <c r="AP650" s="141">
        <f>+'TX-CON-GL '!AR82</f>
        <v>0</v>
      </c>
      <c r="AQ650" s="143">
        <f>+'TX-CON-GL '!AS82</f>
        <v>0</v>
      </c>
      <c r="AR650" s="141">
        <f>+'TX-CON-GL '!AT82</f>
        <v>0</v>
      </c>
      <c r="AS650" s="143">
        <f>+'TX-CON-GL '!AU82</f>
        <v>0</v>
      </c>
    </row>
    <row r="651" spans="4:45" x14ac:dyDescent="0.25">
      <c r="D651" s="139" t="s">
        <v>153</v>
      </c>
      <c r="E651" s="140"/>
      <c r="F651" s="141">
        <f>+'WE-GL '!H82</f>
        <v>0</v>
      </c>
      <c r="G651" s="179">
        <f>+'WE-GL '!I82</f>
        <v>-85568.508000001777</v>
      </c>
      <c r="H651" s="141">
        <f>+'WE-GL '!J82</f>
        <v>0</v>
      </c>
      <c r="I651" s="179">
        <f>+'WE-GL '!K82</f>
        <v>336919.47699999955</v>
      </c>
      <c r="J651" s="141">
        <f>+'WE-GL '!L82</f>
        <v>0</v>
      </c>
      <c r="K651" s="141">
        <f>+'WE-GL '!M82</f>
        <v>2584532.997</v>
      </c>
      <c r="L651" s="141">
        <f>+'WE-GL '!N82</f>
        <v>0</v>
      </c>
      <c r="M651" s="141">
        <f>+'WE-GL '!O82</f>
        <v>-4095112.2130000005</v>
      </c>
      <c r="N651" s="141">
        <f>+'WE-GL '!P82</f>
        <v>0</v>
      </c>
      <c r="O651" s="141">
        <f>+'WE-GL '!Q82</f>
        <v>174.86200000000002</v>
      </c>
      <c r="P651" s="141">
        <f>+'WE-GL '!R82</f>
        <v>0</v>
      </c>
      <c r="Q651" s="141">
        <f>+'WE-GL '!S82</f>
        <v>-581.35</v>
      </c>
      <c r="R651" s="141">
        <f>+'WE-GL '!T82</f>
        <v>0</v>
      </c>
      <c r="S651" s="142">
        <f>+'WE-GL '!U82</f>
        <v>-1214485.1229999999</v>
      </c>
      <c r="T651" s="141">
        <f>+'WE-GL '!V82</f>
        <v>0</v>
      </c>
      <c r="U651" s="141">
        <f>+'WE-GL '!W82</f>
        <v>1113397.673</v>
      </c>
      <c r="V651" s="141">
        <f>+'WE-GL '!X82</f>
        <v>0</v>
      </c>
      <c r="W651" s="141">
        <f>+'WE-GL '!Y82</f>
        <v>75765.251999999979</v>
      </c>
      <c r="X651" s="141">
        <f>+'WE-GL '!Z82</f>
        <v>0</v>
      </c>
      <c r="Y651" s="141">
        <f>+'WE-GL '!AA82</f>
        <v>0</v>
      </c>
      <c r="Z651" s="141">
        <f>+'WE-GL '!AB82</f>
        <v>0</v>
      </c>
      <c r="AA651" s="141">
        <f>+'WE-GL '!AC82</f>
        <v>3122.0969999999943</v>
      </c>
      <c r="AB651" s="141">
        <f>+'WE-GL '!AD82</f>
        <v>0</v>
      </c>
      <c r="AC651" s="143">
        <f>+'WE-GL '!AE82</f>
        <v>-3122.0969999999943</v>
      </c>
      <c r="AD651" s="141">
        <f>+'WE-GL '!AF82</f>
        <v>0</v>
      </c>
      <c r="AE651" s="206">
        <f>+'WE-GL '!AG82</f>
        <v>-5868.45</v>
      </c>
      <c r="AF651" s="141">
        <f>+'WE-GL '!AH82</f>
        <v>0</v>
      </c>
      <c r="AG651" s="206">
        <f>+'WE-GL '!AI82</f>
        <v>3122.0969999999943</v>
      </c>
      <c r="AH651" s="141">
        <f>+'WE-GL '!AJ82</f>
        <v>0</v>
      </c>
      <c r="AI651" s="206">
        <f>+'WE-GL '!AK82</f>
        <v>0</v>
      </c>
      <c r="AJ651" s="141">
        <f>+'WE-GL '!AL82</f>
        <v>0</v>
      </c>
      <c r="AK651" s="206">
        <f>+'WE-GL '!AM82</f>
        <v>0</v>
      </c>
      <c r="AL651" s="141">
        <f>+'WE-GL '!AN82</f>
        <v>0</v>
      </c>
      <c r="AM651" s="206">
        <f>+'WE-GL '!AO82</f>
        <v>0</v>
      </c>
      <c r="AN651" s="141">
        <f>+'WE-GL '!AP82</f>
        <v>0</v>
      </c>
      <c r="AO651" s="206">
        <f>+'WE-GL '!AQ82</f>
        <v>0</v>
      </c>
      <c r="AP651" s="141">
        <f>+'WE-GL '!AR82</f>
        <v>0</v>
      </c>
      <c r="AQ651" s="206">
        <f>+'WE-GL '!AS82</f>
        <v>0</v>
      </c>
      <c r="AR651" s="141">
        <f>+'WE-GL '!AT82</f>
        <v>0</v>
      </c>
      <c r="AS651" s="206">
        <f>+'WE-GL '!AU82</f>
        <v>0</v>
      </c>
    </row>
    <row r="652" spans="4:45" x14ac:dyDescent="0.25">
      <c r="D652" t="s">
        <v>155</v>
      </c>
      <c r="F652" s="144">
        <f>+STG_GL!H82</f>
        <v>0</v>
      </c>
      <c r="G652" s="180">
        <f>+STG_GL!I82</f>
        <v>0</v>
      </c>
      <c r="H652" s="144">
        <f>+STG_GL!J82</f>
        <v>0</v>
      </c>
      <c r="I652" s="144">
        <f>+STG_GL!K82</f>
        <v>0</v>
      </c>
      <c r="J652" s="144">
        <f>+STG_GL!L82</f>
        <v>0</v>
      </c>
      <c r="K652" s="144">
        <f>+STG_GL!M82</f>
        <v>6921606</v>
      </c>
      <c r="L652" s="144">
        <f>+STG_GL!N82</f>
        <v>0</v>
      </c>
      <c r="M652" s="144">
        <f>+STG_GL!O82</f>
        <v>-12535210</v>
      </c>
      <c r="N652" s="144">
        <f>+STG_GL!P82</f>
        <v>0</v>
      </c>
      <c r="O652" s="144">
        <f>+STG_GL!Q82</f>
        <v>0</v>
      </c>
      <c r="P652" s="144">
        <f>+STG_GL!R82</f>
        <v>0</v>
      </c>
      <c r="Q652" s="144">
        <f>+STG_GL!S82</f>
        <v>655833</v>
      </c>
      <c r="R652" s="144">
        <f>+STG_GL!T82</f>
        <v>0</v>
      </c>
      <c r="S652" s="144">
        <f>+STG_GL!U82</f>
        <v>0</v>
      </c>
      <c r="T652" s="144">
        <f>+STG_GL!V82</f>
        <v>0</v>
      </c>
      <c r="U652" s="144">
        <f>+STG_GL!W82</f>
        <v>0</v>
      </c>
      <c r="V652" s="144">
        <f>+STG_GL!X82</f>
        <v>0</v>
      </c>
      <c r="W652" s="144">
        <f>+STG_GL!Y82</f>
        <v>-13177</v>
      </c>
      <c r="X652" s="144">
        <f>+STG_GL!Z82</f>
        <v>0</v>
      </c>
      <c r="Y652" s="144">
        <f>+STG_GL!AA82</f>
        <v>-50115</v>
      </c>
      <c r="Z652" s="144">
        <f>+STG_GL!AB82</f>
        <v>0</v>
      </c>
      <c r="AA652" s="144">
        <f>+STG_GL!AC82</f>
        <v>0</v>
      </c>
      <c r="AB652" s="144">
        <f>+STG_GL!AD82</f>
        <v>0</v>
      </c>
      <c r="AC652" s="144">
        <f>+STG_GL!AE82</f>
        <v>-536296</v>
      </c>
      <c r="AD652" s="144">
        <f>+STG_GL!AF82</f>
        <v>0</v>
      </c>
      <c r="AE652" s="144">
        <f>+STG_GL!AG82</f>
        <v>0</v>
      </c>
      <c r="AF652" s="144">
        <f>+STG_GL!AH82</f>
        <v>0</v>
      </c>
      <c r="AG652" s="144">
        <f>+STG_GL!AI82</f>
        <v>3</v>
      </c>
      <c r="AH652" s="144">
        <f>+STG_GL!AJ82</f>
        <v>0</v>
      </c>
      <c r="AI652" s="144">
        <f>+STG_GL!AK82</f>
        <v>0</v>
      </c>
      <c r="AJ652" s="144">
        <f>+STG_GL!AL82</f>
        <v>0</v>
      </c>
      <c r="AK652" s="144">
        <f>+STG_GL!AM82</f>
        <v>0</v>
      </c>
      <c r="AL652" s="144">
        <f>+STG_GL!AN82</f>
        <v>0</v>
      </c>
      <c r="AM652" s="144">
        <f>+STG_GL!AO82</f>
        <v>0</v>
      </c>
      <c r="AN652" s="144">
        <f>+STG_GL!AP82</f>
        <v>0</v>
      </c>
      <c r="AO652" s="144">
        <f>+STG_GL!AQ82</f>
        <v>0</v>
      </c>
      <c r="AP652" s="144">
        <f>+STG_GL!AR82</f>
        <v>0</v>
      </c>
      <c r="AQ652" s="144">
        <f>+STG_GL!AS82</f>
        <v>0</v>
      </c>
      <c r="AR652" s="144">
        <f>+STG_GL!AT82</f>
        <v>0</v>
      </c>
      <c r="AS652" s="144">
        <f>+STG_GL!AU82</f>
        <v>0</v>
      </c>
    </row>
    <row r="653" spans="4:45" x14ac:dyDescent="0.25">
      <c r="D653" t="s">
        <v>180</v>
      </c>
      <c r="F653" s="144">
        <f>+'ONT_GL '!H82</f>
        <v>0</v>
      </c>
      <c r="G653" s="144">
        <f>+'ONT_GL '!I82</f>
        <v>-140148</v>
      </c>
      <c r="H653" s="144">
        <f>+'ONT_GL '!J82</f>
        <v>0</v>
      </c>
      <c r="I653" s="144">
        <f>+'ONT_GL '!K82</f>
        <v>15705</v>
      </c>
      <c r="J653" s="144">
        <f>+'ONT_GL '!L82</f>
        <v>0</v>
      </c>
      <c r="K653" s="144">
        <f>+'ONT_GL '!M82</f>
        <v>604295</v>
      </c>
      <c r="L653" s="144">
        <f>+'ONT_GL '!N82</f>
        <v>0</v>
      </c>
      <c r="M653" s="144">
        <f>+'ONT_GL '!O82</f>
        <v>140148</v>
      </c>
      <c r="N653" s="144">
        <f>+'ONT_GL '!P82</f>
        <v>0</v>
      </c>
      <c r="O653" s="144">
        <f>+'ONT_GL '!Q82</f>
        <v>0</v>
      </c>
      <c r="P653" s="144">
        <f>+'ONT_GL '!R82</f>
        <v>0</v>
      </c>
      <c r="Q653" s="144">
        <f>+'ONT_GL '!S82</f>
        <v>0</v>
      </c>
      <c r="R653" s="144">
        <f>+'ONT_GL '!T82</f>
        <v>0</v>
      </c>
      <c r="S653" s="204">
        <f>+'ONT_GL '!U82</f>
        <v>-620000</v>
      </c>
      <c r="T653" s="144">
        <f>+'ONT_GL '!V82</f>
        <v>0</v>
      </c>
      <c r="U653" s="204">
        <f>+'ONT_GL '!W82</f>
        <v>-990</v>
      </c>
      <c r="V653" s="144">
        <f>+'ONT_GL '!X82</f>
        <v>0</v>
      </c>
      <c r="W653" s="144">
        <f>+'ONT_GL '!Y82</f>
        <v>0</v>
      </c>
      <c r="X653" s="144">
        <f>+'ONT_GL '!Z82</f>
        <v>0</v>
      </c>
      <c r="Y653" s="144">
        <f>+'ONT_GL '!AA82</f>
        <v>0</v>
      </c>
      <c r="Z653" s="144">
        <f>+'ONT_GL '!AB82</f>
        <v>0</v>
      </c>
      <c r="AA653" s="144">
        <f>+'ONT_GL '!AC82</f>
        <v>0</v>
      </c>
      <c r="AB653" s="144">
        <f>+'ONT_GL '!AD82</f>
        <v>0</v>
      </c>
      <c r="AC653" s="144">
        <f>+'ONT_GL '!AE82</f>
        <v>0</v>
      </c>
      <c r="AD653" s="144">
        <f>+'ONT_GL '!AF82</f>
        <v>0</v>
      </c>
      <c r="AE653" s="144">
        <f>+'ONT_GL '!AG82</f>
        <v>0</v>
      </c>
      <c r="AF653" s="144">
        <f>+'ONT_GL '!AH82</f>
        <v>0</v>
      </c>
      <c r="AG653" s="144">
        <f>+'ONT_GL '!AI82</f>
        <v>0</v>
      </c>
      <c r="AH653" s="144">
        <f>+'ONT_GL '!AJ82</f>
        <v>0</v>
      </c>
      <c r="AI653" s="144">
        <f>+'ONT_GL '!AK82</f>
        <v>0</v>
      </c>
      <c r="AJ653" s="144">
        <f>+'ONT_GL '!AL82</f>
        <v>0</v>
      </c>
      <c r="AK653" s="144">
        <f>+'ONT_GL '!AM82</f>
        <v>0</v>
      </c>
      <c r="AL653" s="144">
        <f>+'ONT_GL '!AN82</f>
        <v>0</v>
      </c>
      <c r="AM653" s="144">
        <f>+'ONT_GL '!AO82</f>
        <v>0</v>
      </c>
      <c r="AN653" s="144">
        <f>+'ONT_GL '!AP82</f>
        <v>0</v>
      </c>
      <c r="AO653" s="144">
        <f>+'ONT_GL '!AQ82</f>
        <v>0</v>
      </c>
      <c r="AP653" s="144">
        <f>+'ONT_GL '!AR82</f>
        <v>0</v>
      </c>
      <c r="AQ653" s="144">
        <f>+'ONT_GL '!AS82</f>
        <v>0</v>
      </c>
      <c r="AR653" s="144">
        <f>+'ONT_GL '!AT82</f>
        <v>0</v>
      </c>
      <c r="AS653" s="144">
        <f>+'ONT_GL '!AU82</f>
        <v>0</v>
      </c>
    </row>
    <row r="654" spans="4:45" x14ac:dyDescent="0.25">
      <c r="G654" s="45"/>
    </row>
    <row r="655" spans="4:45" x14ac:dyDescent="0.25">
      <c r="D655" t="s">
        <v>2</v>
      </c>
    </row>
  </sheetData>
  <mergeCells count="35">
    <mergeCell ref="AF640:AG640"/>
    <mergeCell ref="AP640:AQ640"/>
    <mergeCell ref="AR640:AS640"/>
    <mergeCell ref="AN640:AO640"/>
    <mergeCell ref="AL640:AM640"/>
    <mergeCell ref="T640:U640"/>
    <mergeCell ref="W1:X1"/>
    <mergeCell ref="AJ640:AK640"/>
    <mergeCell ref="AB640:AC640"/>
    <mergeCell ref="AD640:AE640"/>
    <mergeCell ref="V640:W640"/>
    <mergeCell ref="X640:Y640"/>
    <mergeCell ref="Z640:AA640"/>
    <mergeCell ref="AH640:AI640"/>
    <mergeCell ref="Y1:Z1"/>
    <mergeCell ref="AG1:AH1"/>
    <mergeCell ref="AE1:AF1"/>
    <mergeCell ref="F640:G640"/>
    <mergeCell ref="H640:I640"/>
    <mergeCell ref="J640:K640"/>
    <mergeCell ref="L640:M640"/>
    <mergeCell ref="N640:O640"/>
    <mergeCell ref="P640:Q640"/>
    <mergeCell ref="R640:S640"/>
    <mergeCell ref="U1:V1"/>
    <mergeCell ref="E1:F1"/>
    <mergeCell ref="G1:H1"/>
    <mergeCell ref="I1:J1"/>
    <mergeCell ref="K1:L1"/>
    <mergeCell ref="AA1:AB1"/>
    <mergeCell ref="AC1:AD1"/>
    <mergeCell ref="M1:N1"/>
    <mergeCell ref="O1:P1"/>
    <mergeCell ref="Q1:R1"/>
    <mergeCell ref="S1:T1"/>
  </mergeCells>
  <pageMargins left="0.75" right="0.75" top="1" bottom="1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Havlíček Jan</cp:lastModifiedBy>
  <cp:lastPrinted>1999-06-17T20:56:49Z</cp:lastPrinted>
  <dcterms:created xsi:type="dcterms:W3CDTF">1997-07-11T21:57:33Z</dcterms:created>
  <dcterms:modified xsi:type="dcterms:W3CDTF">2023-09-10T12:18:41Z</dcterms:modified>
</cp:coreProperties>
</file>